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drawings/drawing8.xml" ContentType="application/vnd.openxmlformats-officedocument.drawing+xml"/>
  <Override PartName="/xl/worksheets/sheet7.xml" ContentType="application/vnd.openxmlformats-officedocument.spreadsheetml.worksheet+xml"/>
  <Override PartName="/xl/worksheets/sheet11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worksheets/sheet40.xml" ContentType="application/vnd.openxmlformats-officedocument.spreadsheetml.worksheet+xml"/>
  <Override PartName="/xl/drawings/drawing4.xml" ContentType="application/vnd.openxmlformats-officedocument.drawin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drawings/drawing11.xml" ContentType="application/vnd.openxmlformats-officedocument.drawing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sharedStrings.xml" ContentType="application/vnd.openxmlformats-officedocument.spreadsheetml.sharedStrings+xml"/>
  <Override PartName="/xl/drawings/drawing10.xml" ContentType="application/vnd.openxmlformats-officedocument.drawing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docProps/core.xml" ContentType="application/vnd.openxmlformats-package.core-properties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Default Extension="bin" ContentType="application/vnd.openxmlformats-officedocument.spreadsheetml.printerSettings"/>
  <Default Extension="png" ContentType="image/png"/>
  <Override PartName="/xl/drawings/drawing9.xml" ContentType="application/vnd.openxmlformats-officedocument.drawing+xml"/>
  <Override PartName="/xl/worksheets/sheet14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drawings/drawing7.xml" ContentType="application/vnd.openxmlformats-officedocument.drawing+xml"/>
  <Override PartName="/xl/worksheets/sheet6.xml" ContentType="application/vnd.openxmlformats-officedocument.spreadsheetml.worksheet+xml"/>
  <Override PartName="/xl/worksheets/sheet8.xml" ContentType="application/vnd.openxmlformats-officedocument.spreadsheetml.worksheet+xml"/>
  <Override PartName="/xl/worksheets/sheet12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drawings/drawing5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05" yWindow="-105" windowWidth="21825" windowHeight="13905" firstSheet="32" activeTab="32"/>
  </bookViews>
  <sheets>
    <sheet name="基本支出合计" sheetId="29" state="hidden" r:id="rId1"/>
    <sheet name="2024年绩效预估" sheetId="30" state="hidden" r:id="rId2"/>
    <sheet name="2023年绩效清算" sheetId="39" state="hidden" r:id="rId3"/>
    <sheet name="残疾就业保障" sheetId="31" state="hidden" r:id="rId4"/>
    <sheet name="抚恤金" sheetId="38" state="hidden" r:id="rId5"/>
    <sheet name="社区教育" sheetId="43" state="hidden" r:id="rId6"/>
    <sheet name="保安经费" sheetId="33" state="hidden" r:id="rId7"/>
    <sheet name="补充公用经费" sheetId="32" state="hidden" r:id="rId8"/>
    <sheet name="清算补充公用经费" sheetId="41" state="hidden" r:id="rId9"/>
    <sheet name="公办义务教育减免书薄费" sheetId="36" state="hidden" r:id="rId10"/>
    <sheet name="公办义务教育资助" sheetId="35" state="hidden" r:id="rId11"/>
    <sheet name="公办义务教育营养午餐" sheetId="37" state="hidden" r:id="rId12"/>
    <sheet name="公办学前资助" sheetId="34" state="hidden" r:id="rId13"/>
    <sheet name="莘庄维修" sheetId="45" state="hidden" r:id="rId14"/>
    <sheet name="吴泾维修" sheetId="46" state="hidden" r:id="rId15"/>
    <sheet name="七宝维修" sheetId="47" state="hidden" r:id="rId16"/>
    <sheet name="浦江维修" sheetId="50" state="hidden" r:id="rId17"/>
    <sheet name="梅陇维修" sheetId="49" state="hidden" r:id="rId18"/>
    <sheet name="马桥维修" sheetId="48" state="hidden" r:id="rId19"/>
    <sheet name="华漕维修" sheetId="52" state="hidden" r:id="rId20"/>
    <sheet name="颛桥维修" sheetId="51" state="hidden" r:id="rId21"/>
    <sheet name="虹桥维修" sheetId="53" state="hidden" r:id="rId22"/>
    <sheet name="尾款清算" sheetId="44" state="hidden" r:id="rId23"/>
    <sheet name="莘庄" sheetId="20" state="hidden" r:id="rId24"/>
    <sheet name="吴泾" sheetId="21" state="hidden" r:id="rId25"/>
    <sheet name="七宝" sheetId="22" state="hidden" r:id="rId26"/>
    <sheet name="浦江" sheetId="23" state="hidden" r:id="rId27"/>
    <sheet name="梅陇" sheetId="24" state="hidden" r:id="rId28"/>
    <sheet name="马桥" sheetId="25" state="hidden" r:id="rId29"/>
    <sheet name="华漕" sheetId="26" state="hidden" r:id="rId30"/>
    <sheet name="颛桥" sheetId="27" state="hidden" r:id="rId31"/>
    <sheet name="虹桥" sheetId="28" state="hidden" r:id="rId32"/>
    <sheet name="莘庄镇" sheetId="78" r:id="rId33"/>
    <sheet name="莘庄镇调整" sheetId="60" state="hidden" r:id="rId34"/>
    <sheet name="残疾就业保障调整" sheetId="56" state="hidden" r:id="rId35"/>
    <sheet name="公办义务教育减免书薄费调整" sheetId="74" state="hidden" r:id="rId36"/>
    <sheet name="公办营养午餐调整" sheetId="68" state="hidden" r:id="rId37"/>
    <sheet name="公办义务教育资助调整" sheetId="75" state="hidden" r:id="rId38"/>
    <sheet name="公办学前教育资助调整" sheetId="69" state="hidden" r:id="rId39"/>
    <sheet name="2024年校舍维修清算" sheetId="77" state="hidden" r:id="rId40"/>
  </sheets>
  <externalReferences>
    <externalReference r:id="rId41"/>
    <externalReference r:id="rId42"/>
  </externalReferences>
  <definedNames>
    <definedName name="_xlnm.Print_Area" localSheetId="2">'2023年绩效清算'!$A$1:$Q$125</definedName>
    <definedName name="_xlnm.Print_Area" localSheetId="1">'2024年绩效预估'!$A$1:$H$123</definedName>
    <definedName name="_xlnm.Print_Area" localSheetId="39">'2024年校舍维修清算'!$A$1:$L$7</definedName>
    <definedName name="_xlnm.Print_Area" localSheetId="7">补充公用经费!$A$1:$AO$116</definedName>
    <definedName name="_xlnm.Print_Area" localSheetId="3">残疾就业保障!$A$1:$D$123</definedName>
    <definedName name="_xlnm.Print_Area" localSheetId="34">残疾就业保障调整!$A$1:$F$8</definedName>
    <definedName name="_xlnm.Print_Area" localSheetId="38">公办学前教育资助调整!$A$1:$AB$7</definedName>
    <definedName name="_xlnm.Print_Area" localSheetId="12">公办学前资助!$A$1:$N$55</definedName>
    <definedName name="_xlnm.Print_Area" localSheetId="9">公办义务教育减免书薄费!$A$1:$I$62</definedName>
    <definedName name="_xlnm.Print_Area" localSheetId="35">公办义务教育减免书薄费调整!$A$1:$K$4</definedName>
    <definedName name="_xlnm.Print_Area" localSheetId="11">公办义务教育营养午餐!$A$1:$E$73</definedName>
    <definedName name="_xlnm.Print_Area" localSheetId="10">公办义务教育资助!$A$1:$L$72</definedName>
    <definedName name="_xlnm.Print_Area" localSheetId="37">公办义务教育资助调整!$A$1:$R$7</definedName>
    <definedName name="_xlnm.Print_Area" localSheetId="36">公办营养午餐调整!$A$1:$H$4</definedName>
    <definedName name="_xlnm.Print_Area" localSheetId="31">虹桥!$A$1:$P$73</definedName>
    <definedName name="_xlnm.Print_Area" localSheetId="21">虹桥维修!$A$1:$K$65</definedName>
    <definedName name="_xlnm.Print_Area" localSheetId="29">华漕!$A$1:$N$73</definedName>
    <definedName name="_xlnm.Print_Area" localSheetId="19">华漕维修!$A$1:$K$39</definedName>
    <definedName name="_xlnm.Print_Area" localSheetId="0">基本支出合计!$A$1:$N$73</definedName>
    <definedName name="_xlnm.Print_Area" localSheetId="28">马桥!$A$1:$R$73</definedName>
    <definedName name="_xlnm.Print_Area" localSheetId="18">马桥维修!$A$1:$J$46</definedName>
    <definedName name="_xlnm.Print_Area" localSheetId="27">梅陇!$A$1:$V$73</definedName>
    <definedName name="_xlnm.Print_Area" localSheetId="17">梅陇维修!$A$1:$K$81</definedName>
    <definedName name="_xlnm.Print_Area" localSheetId="26">浦江!$A$1:$Y$73</definedName>
    <definedName name="_xlnm.Print_Area" localSheetId="16">浦江维修!$A$1:$J$165</definedName>
    <definedName name="_xlnm.Print_Area" localSheetId="25">七宝!$A$1:$Z$73</definedName>
    <definedName name="_xlnm.Print_Area" localSheetId="15">七宝维修!$A$1:$K$121</definedName>
    <definedName name="_xlnm.Print_Area" localSheetId="8">清算补充公用经费!$A$1:$I$60</definedName>
    <definedName name="_xlnm.Print_Area" localSheetId="5">社区教育!$A$1:$C$13</definedName>
    <definedName name="_xlnm.Print_Area" localSheetId="23">莘庄!$A$1:$K$73</definedName>
    <definedName name="_xlnm.Print_Area" localSheetId="13">莘庄维修!$A$1:$K$35</definedName>
    <definedName name="_xlnm.Print_Area" localSheetId="33">莘庄镇调整!$A$1:$L$73</definedName>
    <definedName name="_xlnm.Print_Area" localSheetId="22">尾款清算!$A$1:$K$67</definedName>
    <definedName name="_xlnm.Print_Area" localSheetId="24">吴泾!$A$1:$L$73</definedName>
    <definedName name="_xlnm.Print_Area" localSheetId="14">吴泾维修!$A$1:$J$30</definedName>
    <definedName name="_xlnm.Print_Area" localSheetId="30">颛桥!$A$1:$U$73</definedName>
    <definedName name="_xlnm.Print_Area" localSheetId="20">颛桥维修!$A$1:$K$79</definedName>
    <definedName name="_xlnm.Print_Titles" localSheetId="2">'2023年绩效清算'!$1:$3</definedName>
    <definedName name="_xlnm.Print_Titles" localSheetId="1">'2024年绩效预估'!$1:$2</definedName>
    <definedName name="_xlnm.Print_Titles" localSheetId="39">'2024年校舍维修清算'!$1:$2</definedName>
    <definedName name="_xlnm.Print_Titles" localSheetId="7">补充公用经费!$1:$3</definedName>
    <definedName name="_xlnm.Print_Titles" localSheetId="3">残疾就业保障!$1:$2</definedName>
    <definedName name="_xlnm.Print_Titles" localSheetId="34">残疾就业保障调整!$1:$2</definedName>
    <definedName name="_xlnm.Print_Titles" localSheetId="38">公办学前教育资助调整!$1:$4</definedName>
    <definedName name="_xlnm.Print_Titles" localSheetId="12">公办学前资助!$1:$4</definedName>
    <definedName name="_xlnm.Print_Titles" localSheetId="9">公办义务教育减免书薄费!$1:$2</definedName>
    <definedName name="_xlnm.Print_Titles" localSheetId="35">公办义务教育减免书薄费调整!$1:$2</definedName>
    <definedName name="_xlnm.Print_Titles" localSheetId="11">公办义务教育营养午餐!$1:$2</definedName>
    <definedName name="_xlnm.Print_Titles" localSheetId="10">公办义务教育资助!$1:$4</definedName>
    <definedName name="_xlnm.Print_Titles" localSheetId="37">公办义务教育资助调整!$1:$4</definedName>
    <definedName name="_xlnm.Print_Titles" localSheetId="36">公办营养午餐调整!$1:$2</definedName>
    <definedName name="_xlnm.Print_Titles" localSheetId="31">虹桥!$1:$2</definedName>
    <definedName name="_xlnm.Print_Titles" localSheetId="21">虹桥维修!$1:$2</definedName>
    <definedName name="_xlnm.Print_Titles" localSheetId="29">华漕!$1:$2</definedName>
    <definedName name="_xlnm.Print_Titles" localSheetId="19">华漕维修!$1:$2</definedName>
    <definedName name="_xlnm.Print_Titles" localSheetId="0">基本支出合计!$1:$2</definedName>
    <definedName name="_xlnm.Print_Titles" localSheetId="28">马桥!$1:$2</definedName>
    <definedName name="_xlnm.Print_Titles" localSheetId="18">马桥维修!$1:$2</definedName>
    <definedName name="_xlnm.Print_Titles" localSheetId="27">梅陇!$1:$2</definedName>
    <definedName name="_xlnm.Print_Titles" localSheetId="17">梅陇维修!$1:$2</definedName>
    <definedName name="_xlnm.Print_Titles" localSheetId="26">浦江!$1:$2</definedName>
    <definedName name="_xlnm.Print_Titles" localSheetId="16">浦江维修!$1:$2</definedName>
    <definedName name="_xlnm.Print_Titles" localSheetId="25">七宝!$1:$2</definedName>
    <definedName name="_xlnm.Print_Titles" localSheetId="15">七宝维修!$1:$2</definedName>
    <definedName name="_xlnm.Print_Titles" localSheetId="8">清算补充公用经费!$1:$2</definedName>
    <definedName name="_xlnm.Print_Titles" localSheetId="23">莘庄!$1:$2</definedName>
    <definedName name="_xlnm.Print_Titles" localSheetId="33">莘庄镇调整!$1:$2</definedName>
    <definedName name="_xlnm.Print_Titles" localSheetId="22">尾款清算!$1:$2</definedName>
    <definedName name="_xlnm.Print_Titles" localSheetId="24">吴泾!$1:$2</definedName>
    <definedName name="_xlnm.Print_Titles" localSheetId="14">吴泾维修!$1:$2</definedName>
    <definedName name="_xlnm.Print_Titles" localSheetId="30">颛桥!$1:$2</definedName>
    <definedName name="_xlnm.Print_Titles" localSheetId="20">颛桥维修!$1:$2</definedName>
  </definedName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12" i="78"/>
  <c r="C11"/>
  <c r="C10"/>
  <c r="C9"/>
  <c r="C8"/>
  <c r="C7"/>
  <c r="C6"/>
  <c r="C5"/>
  <c r="C4"/>
  <c r="C14" l="1"/>
  <c r="E7" i="77" l="1"/>
  <c r="F7"/>
  <c r="G7"/>
  <c r="J7"/>
  <c r="D7"/>
  <c r="H5"/>
  <c r="I5" s="1"/>
  <c r="K5" s="1"/>
  <c r="I3"/>
  <c r="I7" l="1"/>
  <c r="K3"/>
  <c r="K7" s="1"/>
  <c r="H7"/>
  <c r="Q7" i="75" l="1"/>
  <c r="N7" l="1"/>
  <c r="M7"/>
  <c r="L7"/>
  <c r="K7"/>
  <c r="J7"/>
  <c r="H7"/>
  <c r="G7"/>
  <c r="F7"/>
  <c r="E7"/>
  <c r="D7"/>
  <c r="O6"/>
  <c r="I6"/>
  <c r="O5"/>
  <c r="I5"/>
  <c r="P6" l="1"/>
  <c r="R6" s="1"/>
  <c r="O7"/>
  <c r="I7"/>
  <c r="P5"/>
  <c r="P7" l="1"/>
  <c r="R5"/>
  <c r="R7" s="1"/>
  <c r="F4" i="74" l="1"/>
  <c r="G4"/>
  <c r="H4"/>
  <c r="J4"/>
  <c r="E4"/>
  <c r="I3" l="1"/>
  <c r="I4" l="1"/>
  <c r="K3"/>
  <c r="K4" l="1"/>
  <c r="AA7" i="69" l="1"/>
  <c r="Y7"/>
  <c r="V7"/>
  <c r="U7"/>
  <c r="T7"/>
  <c r="S7"/>
  <c r="R7"/>
  <c r="Q7"/>
  <c r="P7"/>
  <c r="O7"/>
  <c r="N7"/>
  <c r="L7"/>
  <c r="K7"/>
  <c r="J7"/>
  <c r="I7"/>
  <c r="H7"/>
  <c r="G7"/>
  <c r="F7"/>
  <c r="E7"/>
  <c r="D7"/>
  <c r="W6"/>
  <c r="M6"/>
  <c r="W5"/>
  <c r="M5"/>
  <c r="W7" l="1"/>
  <c r="X6"/>
  <c r="Z6" s="1"/>
  <c r="AB6" s="1"/>
  <c r="M7"/>
  <c r="X5"/>
  <c r="X7" l="1"/>
  <c r="Z5"/>
  <c r="E4" i="68"/>
  <c r="G4"/>
  <c r="AB5" i="69" l="1"/>
  <c r="AB7" s="1"/>
  <c r="Z7"/>
  <c r="D4" i="68"/>
  <c r="F3"/>
  <c r="F4" s="1"/>
  <c r="H3" l="1"/>
  <c r="H4" s="1"/>
  <c r="J73" i="60" l="1"/>
  <c r="J72"/>
  <c r="L71"/>
  <c r="J71"/>
  <c r="J70"/>
  <c r="L69"/>
  <c r="J69"/>
  <c r="J68"/>
  <c r="L67"/>
  <c r="J67"/>
  <c r="I66"/>
  <c r="H66"/>
  <c r="G66"/>
  <c r="F66"/>
  <c r="E66"/>
  <c r="J65"/>
  <c r="J64"/>
  <c r="J63"/>
  <c r="J62"/>
  <c r="I61"/>
  <c r="H61"/>
  <c r="G61"/>
  <c r="F61"/>
  <c r="E61"/>
  <c r="L60"/>
  <c r="J60"/>
  <c r="J59"/>
  <c r="I58"/>
  <c r="H58"/>
  <c r="G58"/>
  <c r="F58"/>
  <c r="E58"/>
  <c r="J57"/>
  <c r="J56"/>
  <c r="I55"/>
  <c r="I54" s="1"/>
  <c r="H55"/>
  <c r="H54" s="1"/>
  <c r="G55"/>
  <c r="G54" s="1"/>
  <c r="F55"/>
  <c r="E55"/>
  <c r="E54" s="1"/>
  <c r="J53"/>
  <c r="I52"/>
  <c r="H52"/>
  <c r="G52"/>
  <c r="F52"/>
  <c r="E52"/>
  <c r="J51"/>
  <c r="I50"/>
  <c r="H50"/>
  <c r="G50"/>
  <c r="F50"/>
  <c r="E50"/>
  <c r="J49"/>
  <c r="J48"/>
  <c r="I47"/>
  <c r="H47"/>
  <c r="G47"/>
  <c r="F47"/>
  <c r="E47"/>
  <c r="J46"/>
  <c r="I45"/>
  <c r="H45"/>
  <c r="G45"/>
  <c r="F45"/>
  <c r="E45"/>
  <c r="J44"/>
  <c r="I43"/>
  <c r="H43"/>
  <c r="G43"/>
  <c r="F43"/>
  <c r="E43"/>
  <c r="J42"/>
  <c r="I41"/>
  <c r="H41"/>
  <c r="G41"/>
  <c r="F41"/>
  <c r="E41"/>
  <c r="J40"/>
  <c r="J39"/>
  <c r="L37"/>
  <c r="J37"/>
  <c r="I36"/>
  <c r="I31" s="1"/>
  <c r="H36"/>
  <c r="G36"/>
  <c r="F36"/>
  <c r="E36"/>
  <c r="J35"/>
  <c r="I34"/>
  <c r="H34"/>
  <c r="G34"/>
  <c r="F34"/>
  <c r="E34"/>
  <c r="L33"/>
  <c r="J33"/>
  <c r="I32"/>
  <c r="H32"/>
  <c r="G32"/>
  <c r="F32"/>
  <c r="E32"/>
  <c r="H31"/>
  <c r="F31"/>
  <c r="L30"/>
  <c r="J30"/>
  <c r="J29"/>
  <c r="L28"/>
  <c r="J28"/>
  <c r="I27"/>
  <c r="H27"/>
  <c r="G27"/>
  <c r="F27"/>
  <c r="E27"/>
  <c r="J26"/>
  <c r="L26" s="1"/>
  <c r="I25"/>
  <c r="H25"/>
  <c r="G25"/>
  <c r="F25"/>
  <c r="J25" s="1"/>
  <c r="E25"/>
  <c r="J24"/>
  <c r="J23"/>
  <c r="I22"/>
  <c r="I20" s="1"/>
  <c r="H22"/>
  <c r="H20" s="1"/>
  <c r="G22"/>
  <c r="G20" s="1"/>
  <c r="F22"/>
  <c r="F20" s="1"/>
  <c r="E22"/>
  <c r="J21"/>
  <c r="J19"/>
  <c r="J18"/>
  <c r="J17"/>
  <c r="J16"/>
  <c r="I15"/>
  <c r="H15"/>
  <c r="G15"/>
  <c r="F15"/>
  <c r="E15"/>
  <c r="J14"/>
  <c r="J13"/>
  <c r="I12"/>
  <c r="H12"/>
  <c r="G12"/>
  <c r="F12"/>
  <c r="E12"/>
  <c r="J11"/>
  <c r="I10"/>
  <c r="I8" s="1"/>
  <c r="H10"/>
  <c r="H8" s="1"/>
  <c r="G10"/>
  <c r="G8" s="1"/>
  <c r="F10"/>
  <c r="F8" s="1"/>
  <c r="E10"/>
  <c r="J10" s="1"/>
  <c r="F9"/>
  <c r="J9" s="1"/>
  <c r="J7"/>
  <c r="J6"/>
  <c r="I5"/>
  <c r="H5"/>
  <c r="G5"/>
  <c r="F5"/>
  <c r="E5"/>
  <c r="H38" l="1"/>
  <c r="L18"/>
  <c r="J5"/>
  <c r="L29"/>
  <c r="J43"/>
  <c r="L43" s="1"/>
  <c r="L42"/>
  <c r="L7"/>
  <c r="J41"/>
  <c r="L70"/>
  <c r="L53"/>
  <c r="E8"/>
  <c r="J8" s="1"/>
  <c r="L19"/>
  <c r="J32"/>
  <c r="J34"/>
  <c r="L48"/>
  <c r="L51"/>
  <c r="L5"/>
  <c r="L62"/>
  <c r="L10"/>
  <c r="L25"/>
  <c r="L40"/>
  <c r="G38"/>
  <c r="L49"/>
  <c r="L13"/>
  <c r="L16"/>
  <c r="L23"/>
  <c r="G31"/>
  <c r="L46"/>
  <c r="J50"/>
  <c r="J52"/>
  <c r="L56"/>
  <c r="L63"/>
  <c r="L72"/>
  <c r="L6"/>
  <c r="L14"/>
  <c r="L21"/>
  <c r="J27"/>
  <c r="I38"/>
  <c r="L44"/>
  <c r="L57"/>
  <c r="L64"/>
  <c r="L59"/>
  <c r="I4"/>
  <c r="H4"/>
  <c r="L11"/>
  <c r="J15"/>
  <c r="L17"/>
  <c r="J22"/>
  <c r="L24"/>
  <c r="L35"/>
  <c r="J45"/>
  <c r="J47"/>
  <c r="J58"/>
  <c r="J61"/>
  <c r="L65"/>
  <c r="L68"/>
  <c r="L73"/>
  <c r="F4"/>
  <c r="L9"/>
  <c r="E31"/>
  <c r="J31" s="1"/>
  <c r="L39"/>
  <c r="J55"/>
  <c r="J66"/>
  <c r="I3"/>
  <c r="I74"/>
  <c r="F74"/>
  <c r="H74"/>
  <c r="H3"/>
  <c r="G4"/>
  <c r="E20"/>
  <c r="J20" s="1"/>
  <c r="J36"/>
  <c r="E38"/>
  <c r="F54"/>
  <c r="F38" s="1"/>
  <c r="F3" s="1"/>
  <c r="J12"/>
  <c r="L31" l="1"/>
  <c r="L15"/>
  <c r="L32"/>
  <c r="L58"/>
  <c r="L47"/>
  <c r="L12"/>
  <c r="L45"/>
  <c r="L8"/>
  <c r="L36"/>
  <c r="L20"/>
  <c r="L66"/>
  <c r="L27"/>
  <c r="L41"/>
  <c r="L55"/>
  <c r="L52"/>
  <c r="L22"/>
  <c r="L50"/>
  <c r="L61"/>
  <c r="L34"/>
  <c r="J54"/>
  <c r="J38"/>
  <c r="E4"/>
  <c r="G74"/>
  <c r="G3"/>
  <c r="L38" l="1"/>
  <c r="L54"/>
  <c r="J4"/>
  <c r="E3"/>
  <c r="J3" s="1"/>
  <c r="E74"/>
  <c r="L3" l="1"/>
  <c r="J74"/>
  <c r="L4"/>
  <c r="D8" i="56" l="1"/>
  <c r="C8" l="1"/>
  <c r="E7"/>
  <c r="F7" s="1"/>
  <c r="E6"/>
  <c r="F6" s="1"/>
  <c r="E5"/>
  <c r="F5" s="1"/>
  <c r="E4"/>
  <c r="F4" s="1"/>
  <c r="E3"/>
  <c r="E8" l="1"/>
  <c r="F3"/>
  <c r="F8" s="1"/>
  <c r="H59" i="41" l="1"/>
  <c r="F59"/>
  <c r="D59"/>
  <c r="C59"/>
  <c r="H54"/>
  <c r="F54"/>
  <c r="D54"/>
  <c r="C54"/>
  <c r="H45"/>
  <c r="F45"/>
  <c r="D45"/>
  <c r="C45"/>
  <c r="H41"/>
  <c r="F41"/>
  <c r="D41"/>
  <c r="C41"/>
  <c r="H37"/>
  <c r="F37"/>
  <c r="D37"/>
  <c r="H30"/>
  <c r="F30"/>
  <c r="D30"/>
  <c r="C30"/>
  <c r="H18"/>
  <c r="F18"/>
  <c r="D18"/>
  <c r="C18"/>
  <c r="H7"/>
  <c r="F7"/>
  <c r="D7"/>
  <c r="C7"/>
  <c r="H4"/>
  <c r="H60" s="1"/>
  <c r="F4"/>
  <c r="F60" s="1"/>
  <c r="D4"/>
  <c r="C4"/>
  <c r="I8"/>
  <c r="I17"/>
  <c r="I29"/>
  <c r="I36"/>
  <c r="D60" l="1"/>
  <c r="J20" i="46"/>
  <c r="J3"/>
  <c r="J30" s="1"/>
  <c r="I30"/>
  <c r="I41" i="48"/>
  <c r="I38"/>
  <c r="I33"/>
  <c r="I31"/>
  <c r="I28"/>
  <c r="I25"/>
  <c r="I23"/>
  <c r="I22"/>
  <c r="I21"/>
  <c r="I20"/>
  <c r="I19"/>
  <c r="I18"/>
  <c r="I17"/>
  <c r="G16"/>
  <c r="I16" s="1"/>
  <c r="G15"/>
  <c r="I15" s="1"/>
  <c r="G14"/>
  <c r="I14" s="1"/>
  <c r="G10"/>
  <c r="I10" s="1"/>
  <c r="I9"/>
  <c r="G7"/>
  <c r="I7" s="1"/>
  <c r="I6"/>
  <c r="I5"/>
  <c r="I4"/>
  <c r="I3"/>
  <c r="J159" i="50"/>
  <c r="J152"/>
  <c r="J147"/>
  <c r="J135"/>
  <c r="J87"/>
  <c r="J57"/>
  <c r="J21"/>
  <c r="J15"/>
  <c r="J10"/>
  <c r="J3"/>
  <c r="I165"/>
  <c r="K53" i="53"/>
  <c r="K35"/>
  <c r="K30"/>
  <c r="K10"/>
  <c r="K3"/>
  <c r="K71" i="51"/>
  <c r="K63"/>
  <c r="K50"/>
  <c r="K44"/>
  <c r="K36"/>
  <c r="K19"/>
  <c r="K10"/>
  <c r="K3"/>
  <c r="K39" i="52"/>
  <c r="L39" s="1"/>
  <c r="K13"/>
  <c r="K3"/>
  <c r="K70" i="47"/>
  <c r="K55"/>
  <c r="K35"/>
  <c r="K29"/>
  <c r="K18"/>
  <c r="K3"/>
  <c r="K31" i="45"/>
  <c r="K26"/>
  <c r="K35" s="1"/>
  <c r="K11"/>
  <c r="K3"/>
  <c r="K65" i="49"/>
  <c r="K46"/>
  <c r="K37"/>
  <c r="K31"/>
  <c r="K22"/>
  <c r="K3"/>
  <c r="G21" i="53"/>
  <c r="G22" s="1"/>
  <c r="G15"/>
  <c r="K81" i="49" l="1"/>
  <c r="K79" i="51"/>
  <c r="K65" i="53"/>
  <c r="K121" i="47"/>
  <c r="L121" s="1"/>
  <c r="L35" i="45"/>
  <c r="L81" i="49"/>
  <c r="L65" i="53"/>
  <c r="L79" i="51"/>
  <c r="I11" i="48"/>
  <c r="I12" s="1"/>
  <c r="I13" s="1"/>
  <c r="J3" s="1"/>
  <c r="I42"/>
  <c r="I43" s="1"/>
  <c r="I45" s="1"/>
  <c r="J38" s="1"/>
  <c r="K30" i="46"/>
  <c r="I26" i="48"/>
  <c r="I27" s="1"/>
  <c r="I30" s="1"/>
  <c r="J14" s="1"/>
  <c r="I34"/>
  <c r="I35" s="1"/>
  <c r="I37" s="1"/>
  <c r="J31" s="1"/>
  <c r="J165" i="50"/>
  <c r="J46" i="48" l="1"/>
  <c r="K165" i="50"/>
  <c r="I46" i="48"/>
  <c r="D28" i="38"/>
  <c r="D22"/>
  <c r="D19"/>
  <c r="D15"/>
  <c r="D13"/>
  <c r="D7"/>
  <c r="D5"/>
  <c r="K46" i="48" l="1"/>
  <c r="J40" i="45" s="1"/>
  <c r="D9" i="38"/>
  <c r="D11" l="1"/>
  <c r="J66" i="44"/>
  <c r="H66"/>
  <c r="G66"/>
  <c r="F66"/>
  <c r="E66"/>
  <c r="D66"/>
  <c r="I65"/>
  <c r="K65" s="1"/>
  <c r="I64"/>
  <c r="K64" s="1"/>
  <c r="I63"/>
  <c r="K63" s="1"/>
  <c r="I62"/>
  <c r="K62" s="1"/>
  <c r="I61"/>
  <c r="K61" s="1"/>
  <c r="I60"/>
  <c r="K60" s="1"/>
  <c r="I59"/>
  <c r="J58"/>
  <c r="H58"/>
  <c r="G58"/>
  <c r="F58"/>
  <c r="E58"/>
  <c r="D58"/>
  <c r="I57"/>
  <c r="K57" s="1"/>
  <c r="I56"/>
  <c r="K56" s="1"/>
  <c r="I55"/>
  <c r="K55" s="1"/>
  <c r="I54"/>
  <c r="K54" s="1"/>
  <c r="I53"/>
  <c r="K53" s="1"/>
  <c r="I52"/>
  <c r="K52" s="1"/>
  <c r="I51"/>
  <c r="K51" s="1"/>
  <c r="I50"/>
  <c r="K50" s="1"/>
  <c r="I49"/>
  <c r="K49" s="1"/>
  <c r="I48"/>
  <c r="K48" s="1"/>
  <c r="K47"/>
  <c r="I47"/>
  <c r="I46"/>
  <c r="I45"/>
  <c r="K45" s="1"/>
  <c r="J44"/>
  <c r="H44"/>
  <c r="G44"/>
  <c r="F44"/>
  <c r="E44"/>
  <c r="D44"/>
  <c r="I43"/>
  <c r="I42"/>
  <c r="I41"/>
  <c r="K41" s="1"/>
  <c r="I40"/>
  <c r="K40" s="1"/>
  <c r="I39"/>
  <c r="K39" s="1"/>
  <c r="I38"/>
  <c r="K38" s="1"/>
  <c r="K37"/>
  <c r="I37"/>
  <c r="I36"/>
  <c r="K36" s="1"/>
  <c r="I35"/>
  <c r="K35" s="1"/>
  <c r="I34"/>
  <c r="K34" s="1"/>
  <c r="I33"/>
  <c r="K33" s="1"/>
  <c r="I32"/>
  <c r="K32" s="1"/>
  <c r="I31"/>
  <c r="K31" s="1"/>
  <c r="I30"/>
  <c r="K30" s="1"/>
  <c r="I29"/>
  <c r="K29" s="1"/>
  <c r="I28"/>
  <c r="J27"/>
  <c r="H27"/>
  <c r="G27"/>
  <c r="F27"/>
  <c r="E27"/>
  <c r="D27"/>
  <c r="K26"/>
  <c r="I26"/>
  <c r="I25"/>
  <c r="K25" s="1"/>
  <c r="I24"/>
  <c r="K24" s="1"/>
  <c r="I23"/>
  <c r="K22"/>
  <c r="I22"/>
  <c r="J21"/>
  <c r="H21"/>
  <c r="G21"/>
  <c r="F21"/>
  <c r="E21"/>
  <c r="D21"/>
  <c r="I20"/>
  <c r="K20" s="1"/>
  <c r="I19"/>
  <c r="K19" s="1"/>
  <c r="I18"/>
  <c r="K18" s="1"/>
  <c r="I17"/>
  <c r="K17" s="1"/>
  <c r="I16"/>
  <c r="G15"/>
  <c r="F15"/>
  <c r="E15"/>
  <c r="D15"/>
  <c r="J14"/>
  <c r="J15" s="1"/>
  <c r="H14"/>
  <c r="H15" s="1"/>
  <c r="J13"/>
  <c r="H13"/>
  <c r="G13"/>
  <c r="F13"/>
  <c r="E13"/>
  <c r="D13"/>
  <c r="K12"/>
  <c r="I12"/>
  <c r="I11"/>
  <c r="J10"/>
  <c r="H10"/>
  <c r="H67" s="1"/>
  <c r="G10"/>
  <c r="G67" s="1"/>
  <c r="F10"/>
  <c r="E10"/>
  <c r="E67" s="1"/>
  <c r="D10"/>
  <c r="I9"/>
  <c r="K9" s="1"/>
  <c r="I8"/>
  <c r="K8" s="1"/>
  <c r="K7"/>
  <c r="I7"/>
  <c r="I6"/>
  <c r="K6" s="1"/>
  <c r="K5"/>
  <c r="I5"/>
  <c r="I4"/>
  <c r="K4" s="1"/>
  <c r="I3"/>
  <c r="I10" s="1"/>
  <c r="B13" i="43"/>
  <c r="C12"/>
  <c r="C11"/>
  <c r="C10"/>
  <c r="C9"/>
  <c r="C8"/>
  <c r="C7"/>
  <c r="C6"/>
  <c r="C5"/>
  <c r="C4"/>
  <c r="C3"/>
  <c r="K3" i="44" l="1"/>
  <c r="I13"/>
  <c r="I27"/>
  <c r="I21"/>
  <c r="D67"/>
  <c r="K11"/>
  <c r="K13" s="1"/>
  <c r="F67"/>
  <c r="I58"/>
  <c r="I66"/>
  <c r="D29" i="38"/>
  <c r="K10" i="44"/>
  <c r="J67"/>
  <c r="I44"/>
  <c r="K58"/>
  <c r="I14"/>
  <c r="K16"/>
  <c r="K21" s="1"/>
  <c r="K23"/>
  <c r="K27" s="1"/>
  <c r="K28"/>
  <c r="K44" s="1"/>
  <c r="K46"/>
  <c r="K59"/>
  <c r="K66" s="1"/>
  <c r="C13" i="43"/>
  <c r="G50" i="41"/>
  <c r="I50" s="1"/>
  <c r="K14" i="44" l="1"/>
  <c r="I15"/>
  <c r="I67" s="1"/>
  <c r="G9" i="41"/>
  <c r="I9" l="1"/>
  <c r="K15" i="44"/>
  <c r="E56" i="41"/>
  <c r="G56" s="1"/>
  <c r="I56" s="1"/>
  <c r="E57"/>
  <c r="G57" s="1"/>
  <c r="I57" s="1"/>
  <c r="E58"/>
  <c r="G58" s="1"/>
  <c r="I58" s="1"/>
  <c r="E55"/>
  <c r="E47"/>
  <c r="G47" s="1"/>
  <c r="I47" s="1"/>
  <c r="E48"/>
  <c r="G48" s="1"/>
  <c r="I48" s="1"/>
  <c r="E49"/>
  <c r="G49" s="1"/>
  <c r="I49" s="1"/>
  <c r="E51"/>
  <c r="G51" s="1"/>
  <c r="I51" s="1"/>
  <c r="E52"/>
  <c r="G52" s="1"/>
  <c r="I52" s="1"/>
  <c r="E53"/>
  <c r="G53" s="1"/>
  <c r="I53" s="1"/>
  <c r="E46"/>
  <c r="E43"/>
  <c r="G43" s="1"/>
  <c r="I43" s="1"/>
  <c r="E44"/>
  <c r="G44" s="1"/>
  <c r="I44" s="1"/>
  <c r="E42"/>
  <c r="E39"/>
  <c r="G39" s="1"/>
  <c r="I39" s="1"/>
  <c r="E40"/>
  <c r="G40" s="1"/>
  <c r="I40" s="1"/>
  <c r="E38"/>
  <c r="E41" s="1"/>
  <c r="E32"/>
  <c r="G32" s="1"/>
  <c r="I32" s="1"/>
  <c r="E34"/>
  <c r="G34" s="1"/>
  <c r="I34" s="1"/>
  <c r="E35"/>
  <c r="G35" s="1"/>
  <c r="I35" s="1"/>
  <c r="E31"/>
  <c r="E20"/>
  <c r="G20" s="1"/>
  <c r="I20" s="1"/>
  <c r="E21"/>
  <c r="G21" s="1"/>
  <c r="I21" s="1"/>
  <c r="E22"/>
  <c r="G22" s="1"/>
  <c r="I22" s="1"/>
  <c r="E23"/>
  <c r="G23" s="1"/>
  <c r="I23" s="1"/>
  <c r="E24"/>
  <c r="G24" s="1"/>
  <c r="I24" s="1"/>
  <c r="E25"/>
  <c r="G25" s="1"/>
  <c r="I25" s="1"/>
  <c r="E26"/>
  <c r="G26" s="1"/>
  <c r="I26" s="1"/>
  <c r="E27"/>
  <c r="G27" s="1"/>
  <c r="I27" s="1"/>
  <c r="E28"/>
  <c r="G28" s="1"/>
  <c r="I28" s="1"/>
  <c r="E19"/>
  <c r="E10"/>
  <c r="E11"/>
  <c r="G11" s="1"/>
  <c r="I11" s="1"/>
  <c r="E12"/>
  <c r="G12" s="1"/>
  <c r="I12" s="1"/>
  <c r="E13"/>
  <c r="G13" s="1"/>
  <c r="I13" s="1"/>
  <c r="E14"/>
  <c r="G14" s="1"/>
  <c r="I14" s="1"/>
  <c r="E15"/>
  <c r="G15" s="1"/>
  <c r="I15" s="1"/>
  <c r="E16"/>
  <c r="G16" s="1"/>
  <c r="I16" s="1"/>
  <c r="E6"/>
  <c r="G6" s="1"/>
  <c r="I6" s="1"/>
  <c r="E5"/>
  <c r="E3"/>
  <c r="C33"/>
  <c r="G38" l="1"/>
  <c r="G19"/>
  <c r="E30"/>
  <c r="G42"/>
  <c r="E45"/>
  <c r="G31"/>
  <c r="E37"/>
  <c r="K67" i="44"/>
  <c r="J38" i="45" s="1"/>
  <c r="J39" s="1"/>
  <c r="E33" i="41"/>
  <c r="G33" s="1"/>
  <c r="I33" s="1"/>
  <c r="C37"/>
  <c r="C60"/>
  <c r="G3"/>
  <c r="E4"/>
  <c r="E60" s="1"/>
  <c r="E18"/>
  <c r="G55"/>
  <c r="E59"/>
  <c r="G5"/>
  <c r="E7"/>
  <c r="G46"/>
  <c r="E54"/>
  <c r="G10"/>
  <c r="G54" l="1"/>
  <c r="I46"/>
  <c r="I54" s="1"/>
  <c r="I10"/>
  <c r="I18" s="1"/>
  <c r="G18"/>
  <c r="I42"/>
  <c r="I45" s="1"/>
  <c r="G45"/>
  <c r="G37"/>
  <c r="I31"/>
  <c r="I37" s="1"/>
  <c r="I3"/>
  <c r="G4"/>
  <c r="I19"/>
  <c r="I30" s="1"/>
  <c r="G30"/>
  <c r="I5"/>
  <c r="I7" s="1"/>
  <c r="G7"/>
  <c r="G59"/>
  <c r="I55"/>
  <c r="I59" s="1"/>
  <c r="G41"/>
  <c r="I38"/>
  <c r="I41" s="1"/>
  <c r="AD5" i="32"/>
  <c r="AD6"/>
  <c r="AD7"/>
  <c r="AD8"/>
  <c r="AD9"/>
  <c r="AD10"/>
  <c r="AD11"/>
  <c r="AD12"/>
  <c r="AD14"/>
  <c r="AD15"/>
  <c r="AD16"/>
  <c r="AD17"/>
  <c r="AD18"/>
  <c r="AD19"/>
  <c r="AD20"/>
  <c r="AD22"/>
  <c r="AD23"/>
  <c r="AD24"/>
  <c r="AD25"/>
  <c r="AD26"/>
  <c r="AD27"/>
  <c r="AD28"/>
  <c r="AD29"/>
  <c r="AD30"/>
  <c r="AD31"/>
  <c r="AD32"/>
  <c r="AD34"/>
  <c r="AD35"/>
  <c r="AD36"/>
  <c r="AD37"/>
  <c r="AD38"/>
  <c r="AD39"/>
  <c r="AD40"/>
  <c r="AD41"/>
  <c r="AD42"/>
  <c r="AD43"/>
  <c r="AD44"/>
  <c r="AD45"/>
  <c r="AD46"/>
  <c r="AD47"/>
  <c r="AD48"/>
  <c r="AD50"/>
  <c r="AD51"/>
  <c r="AD52"/>
  <c r="AD53"/>
  <c r="AD54"/>
  <c r="AD55"/>
  <c r="AD56"/>
  <c r="AD57"/>
  <c r="AD58"/>
  <c r="AD59"/>
  <c r="AD60"/>
  <c r="AD61"/>
  <c r="AD62"/>
  <c r="AD63"/>
  <c r="AD64"/>
  <c r="AD65"/>
  <c r="AD66"/>
  <c r="AD67"/>
  <c r="AD69"/>
  <c r="AD70"/>
  <c r="AD71"/>
  <c r="AD72"/>
  <c r="AD73"/>
  <c r="AD74"/>
  <c r="AD75"/>
  <c r="AD76"/>
  <c r="AD77"/>
  <c r="AD78"/>
  <c r="AD79"/>
  <c r="AD80"/>
  <c r="AD81"/>
  <c r="AD82"/>
  <c r="AD83"/>
  <c r="AD84"/>
  <c r="AD85"/>
  <c r="AD86"/>
  <c r="AD87"/>
  <c r="AD89"/>
  <c r="AD90"/>
  <c r="AD91"/>
  <c r="AD92"/>
  <c r="AD93"/>
  <c r="AD94"/>
  <c r="AD96"/>
  <c r="AD100" s="1"/>
  <c r="AD97"/>
  <c r="AD98"/>
  <c r="AD99"/>
  <c r="AD101"/>
  <c r="AD102"/>
  <c r="AD103"/>
  <c r="AD104"/>
  <c r="AD105"/>
  <c r="AD106"/>
  <c r="AD107"/>
  <c r="AD108"/>
  <c r="AD109"/>
  <c r="AD110"/>
  <c r="AD111"/>
  <c r="AD112"/>
  <c r="AD113"/>
  <c r="AD114"/>
  <c r="AD4"/>
  <c r="G60" i="41" l="1"/>
  <c r="AD88" i="32"/>
  <c r="AD49"/>
  <c r="AD68"/>
  <c r="AD115"/>
  <c r="AD21"/>
  <c r="AD33"/>
  <c r="AD13"/>
  <c r="AD95"/>
  <c r="I4" i="41"/>
  <c r="I60"/>
  <c r="F114" i="39"/>
  <c r="F26"/>
  <c r="F91"/>
  <c r="G91"/>
  <c r="F93"/>
  <c r="G93"/>
  <c r="AD116" i="32" l="1"/>
  <c r="F71" i="39"/>
  <c r="K59"/>
  <c r="J59"/>
  <c r="L124" l="1"/>
  <c r="K124"/>
  <c r="J124"/>
  <c r="H124"/>
  <c r="G124"/>
  <c r="F124"/>
  <c r="P123"/>
  <c r="O123"/>
  <c r="N123"/>
  <c r="M123"/>
  <c r="I123"/>
  <c r="P122"/>
  <c r="O122"/>
  <c r="N122"/>
  <c r="M122"/>
  <c r="I122"/>
  <c r="P121"/>
  <c r="O121"/>
  <c r="N121"/>
  <c r="M121"/>
  <c r="I121"/>
  <c r="P120"/>
  <c r="O120"/>
  <c r="N120"/>
  <c r="M120"/>
  <c r="I120"/>
  <c r="P119"/>
  <c r="O119"/>
  <c r="N119"/>
  <c r="M119"/>
  <c r="I119"/>
  <c r="P118"/>
  <c r="O118"/>
  <c r="N118"/>
  <c r="M118"/>
  <c r="I118"/>
  <c r="P117"/>
  <c r="O117"/>
  <c r="N117"/>
  <c r="M117"/>
  <c r="I117"/>
  <c r="P116"/>
  <c r="O116"/>
  <c r="N116"/>
  <c r="M116"/>
  <c r="I116"/>
  <c r="P115"/>
  <c r="O115"/>
  <c r="N115"/>
  <c r="M115"/>
  <c r="I115"/>
  <c r="P114"/>
  <c r="O114"/>
  <c r="N114"/>
  <c r="M114"/>
  <c r="I114"/>
  <c r="L113"/>
  <c r="K113"/>
  <c r="J113"/>
  <c r="H113"/>
  <c r="G113"/>
  <c r="P112"/>
  <c r="O112"/>
  <c r="N112"/>
  <c r="M112"/>
  <c r="I112"/>
  <c r="P111"/>
  <c r="O111"/>
  <c r="N111"/>
  <c r="M111"/>
  <c r="I111"/>
  <c r="P110"/>
  <c r="O110"/>
  <c r="N110"/>
  <c r="M110"/>
  <c r="I110"/>
  <c r="P109"/>
  <c r="O109"/>
  <c r="N109"/>
  <c r="M109"/>
  <c r="I109"/>
  <c r="P108"/>
  <c r="O108"/>
  <c r="N108"/>
  <c r="M108"/>
  <c r="I108"/>
  <c r="P107"/>
  <c r="O107"/>
  <c r="N107"/>
  <c r="M107"/>
  <c r="I107"/>
  <c r="P106"/>
  <c r="O106"/>
  <c r="N106"/>
  <c r="M106"/>
  <c r="I106"/>
  <c r="P105"/>
  <c r="O105"/>
  <c r="N105"/>
  <c r="M105"/>
  <c r="I105"/>
  <c r="P104"/>
  <c r="O104"/>
  <c r="N104"/>
  <c r="M104"/>
  <c r="I104"/>
  <c r="P103"/>
  <c r="O103"/>
  <c r="N103"/>
  <c r="M103"/>
  <c r="I103"/>
  <c r="P102"/>
  <c r="O102"/>
  <c r="N102"/>
  <c r="M102"/>
  <c r="I102"/>
  <c r="F113"/>
  <c r="P101"/>
  <c r="O101"/>
  <c r="N101"/>
  <c r="M101"/>
  <c r="I101"/>
  <c r="P100"/>
  <c r="O100"/>
  <c r="N100"/>
  <c r="M100"/>
  <c r="I100"/>
  <c r="P99"/>
  <c r="O99"/>
  <c r="N99"/>
  <c r="M99"/>
  <c r="I99"/>
  <c r="P98"/>
  <c r="O98"/>
  <c r="N98"/>
  <c r="M98"/>
  <c r="I98"/>
  <c r="L97"/>
  <c r="K97"/>
  <c r="J97"/>
  <c r="H97"/>
  <c r="G97"/>
  <c r="F97"/>
  <c r="P96"/>
  <c r="O96"/>
  <c r="N96"/>
  <c r="M96"/>
  <c r="I96"/>
  <c r="P95"/>
  <c r="M95"/>
  <c r="I95"/>
  <c r="O95"/>
  <c r="N95"/>
  <c r="P94"/>
  <c r="O94"/>
  <c r="N94"/>
  <c r="M94"/>
  <c r="I94"/>
  <c r="P93"/>
  <c r="O93"/>
  <c r="N93"/>
  <c r="M93"/>
  <c r="I93"/>
  <c r="P92"/>
  <c r="O92"/>
  <c r="N92"/>
  <c r="M92"/>
  <c r="I92"/>
  <c r="P91"/>
  <c r="O91"/>
  <c r="N91"/>
  <c r="M91"/>
  <c r="I91"/>
  <c r="P90"/>
  <c r="O90"/>
  <c r="N90"/>
  <c r="M90"/>
  <c r="I90"/>
  <c r="P89"/>
  <c r="O89"/>
  <c r="N89"/>
  <c r="M89"/>
  <c r="I89"/>
  <c r="L88"/>
  <c r="K88"/>
  <c r="J88"/>
  <c r="H88"/>
  <c r="G88"/>
  <c r="F88"/>
  <c r="P87"/>
  <c r="O87"/>
  <c r="N87"/>
  <c r="M87"/>
  <c r="I87"/>
  <c r="P86"/>
  <c r="O86"/>
  <c r="N86"/>
  <c r="M86"/>
  <c r="I86"/>
  <c r="P85"/>
  <c r="O85"/>
  <c r="N85"/>
  <c r="M85"/>
  <c r="I85"/>
  <c r="P84"/>
  <c r="O84"/>
  <c r="N84"/>
  <c r="M84"/>
  <c r="I84"/>
  <c r="P83"/>
  <c r="O83"/>
  <c r="N83"/>
  <c r="M83"/>
  <c r="I83"/>
  <c r="P82"/>
  <c r="O82"/>
  <c r="N82"/>
  <c r="M82"/>
  <c r="I82"/>
  <c r="P81"/>
  <c r="O81"/>
  <c r="N81"/>
  <c r="M81"/>
  <c r="I81"/>
  <c r="P80"/>
  <c r="O80"/>
  <c r="N80"/>
  <c r="M80"/>
  <c r="I80"/>
  <c r="P79"/>
  <c r="O79"/>
  <c r="N79"/>
  <c r="M79"/>
  <c r="I79"/>
  <c r="P78"/>
  <c r="O78"/>
  <c r="N78"/>
  <c r="M78"/>
  <c r="I78"/>
  <c r="P77"/>
  <c r="O77"/>
  <c r="N77"/>
  <c r="M77"/>
  <c r="I77"/>
  <c r="P76"/>
  <c r="O76"/>
  <c r="N76"/>
  <c r="M76"/>
  <c r="I76"/>
  <c r="L75"/>
  <c r="K75"/>
  <c r="J75"/>
  <c r="H75"/>
  <c r="G75"/>
  <c r="F75"/>
  <c r="P74"/>
  <c r="O74"/>
  <c r="N74"/>
  <c r="M74"/>
  <c r="I74"/>
  <c r="P73"/>
  <c r="O73"/>
  <c r="N73"/>
  <c r="M73"/>
  <c r="I73"/>
  <c r="P72"/>
  <c r="O72"/>
  <c r="N72"/>
  <c r="M72"/>
  <c r="I72"/>
  <c r="P71"/>
  <c r="O71"/>
  <c r="N71"/>
  <c r="M71"/>
  <c r="I71"/>
  <c r="P70"/>
  <c r="O70"/>
  <c r="N70"/>
  <c r="M70"/>
  <c r="I70"/>
  <c r="P69"/>
  <c r="O69"/>
  <c r="N69"/>
  <c r="M69"/>
  <c r="I69"/>
  <c r="P68"/>
  <c r="O68"/>
  <c r="N68"/>
  <c r="M68"/>
  <c r="I68"/>
  <c r="P67"/>
  <c r="O67"/>
  <c r="N67"/>
  <c r="M67"/>
  <c r="I67"/>
  <c r="P66"/>
  <c r="O66"/>
  <c r="N66"/>
  <c r="M66"/>
  <c r="I66"/>
  <c r="P65"/>
  <c r="O65"/>
  <c r="N65"/>
  <c r="M65"/>
  <c r="I65"/>
  <c r="P64"/>
  <c r="O64"/>
  <c r="N64"/>
  <c r="M64"/>
  <c r="I64"/>
  <c r="P63"/>
  <c r="O63"/>
  <c r="N63"/>
  <c r="M63"/>
  <c r="I63"/>
  <c r="P62"/>
  <c r="O62"/>
  <c r="N62"/>
  <c r="M62"/>
  <c r="I62"/>
  <c r="P61"/>
  <c r="O61"/>
  <c r="N61"/>
  <c r="M61"/>
  <c r="I61"/>
  <c r="P60"/>
  <c r="O60"/>
  <c r="N60"/>
  <c r="M60"/>
  <c r="I60"/>
  <c r="P59"/>
  <c r="O59"/>
  <c r="N59"/>
  <c r="M59"/>
  <c r="I59"/>
  <c r="L58"/>
  <c r="K58"/>
  <c r="J58"/>
  <c r="H58"/>
  <c r="G58"/>
  <c r="F58"/>
  <c r="P57"/>
  <c r="O57"/>
  <c r="N57"/>
  <c r="M57"/>
  <c r="I57"/>
  <c r="P56"/>
  <c r="O56"/>
  <c r="N56"/>
  <c r="M56"/>
  <c r="I56"/>
  <c r="P55"/>
  <c r="O55"/>
  <c r="N55"/>
  <c r="M55"/>
  <c r="I55"/>
  <c r="P54"/>
  <c r="O54"/>
  <c r="N54"/>
  <c r="M54"/>
  <c r="I54"/>
  <c r="P53"/>
  <c r="O53"/>
  <c r="N53"/>
  <c r="M53"/>
  <c r="I53"/>
  <c r="P52"/>
  <c r="O52"/>
  <c r="N52"/>
  <c r="M52"/>
  <c r="I52"/>
  <c r="P51"/>
  <c r="O51"/>
  <c r="N51"/>
  <c r="M51"/>
  <c r="I51"/>
  <c r="P50"/>
  <c r="O50"/>
  <c r="N50"/>
  <c r="M50"/>
  <c r="I50"/>
  <c r="P49"/>
  <c r="O49"/>
  <c r="N49"/>
  <c r="M49"/>
  <c r="I49"/>
  <c r="P48"/>
  <c r="O48"/>
  <c r="N48"/>
  <c r="M48"/>
  <c r="I48"/>
  <c r="P47"/>
  <c r="O47"/>
  <c r="N47"/>
  <c r="M47"/>
  <c r="I47"/>
  <c r="P46"/>
  <c r="O46"/>
  <c r="N46"/>
  <c r="M46"/>
  <c r="I46"/>
  <c r="P45"/>
  <c r="O45"/>
  <c r="N45"/>
  <c r="M45"/>
  <c r="I45"/>
  <c r="P44"/>
  <c r="O44"/>
  <c r="N44"/>
  <c r="M44"/>
  <c r="I44"/>
  <c r="P43"/>
  <c r="O43"/>
  <c r="N43"/>
  <c r="M43"/>
  <c r="I43"/>
  <c r="P42"/>
  <c r="O42"/>
  <c r="N42"/>
  <c r="M42"/>
  <c r="I42"/>
  <c r="P41"/>
  <c r="O41"/>
  <c r="N41"/>
  <c r="M41"/>
  <c r="I41"/>
  <c r="P40"/>
  <c r="O40"/>
  <c r="N40"/>
  <c r="M40"/>
  <c r="I40"/>
  <c r="P39"/>
  <c r="O39"/>
  <c r="N39"/>
  <c r="M39"/>
  <c r="I39"/>
  <c r="L38"/>
  <c r="K38"/>
  <c r="J38"/>
  <c r="H38"/>
  <c r="G38"/>
  <c r="F38"/>
  <c r="P37"/>
  <c r="O37"/>
  <c r="N37"/>
  <c r="M37"/>
  <c r="I37"/>
  <c r="P36"/>
  <c r="O36"/>
  <c r="N36"/>
  <c r="M36"/>
  <c r="I36"/>
  <c r="P35"/>
  <c r="O35"/>
  <c r="N35"/>
  <c r="M35"/>
  <c r="I35"/>
  <c r="P34"/>
  <c r="O34"/>
  <c r="N34"/>
  <c r="M34"/>
  <c r="I34"/>
  <c r="P33"/>
  <c r="O33"/>
  <c r="N33"/>
  <c r="M33"/>
  <c r="I33"/>
  <c r="P32"/>
  <c r="O32"/>
  <c r="N32"/>
  <c r="M32"/>
  <c r="I32"/>
  <c r="P31"/>
  <c r="O31"/>
  <c r="N31"/>
  <c r="M31"/>
  <c r="I31"/>
  <c r="P30"/>
  <c r="O30"/>
  <c r="N30"/>
  <c r="M30"/>
  <c r="I30"/>
  <c r="P29"/>
  <c r="O29"/>
  <c r="N29"/>
  <c r="M29"/>
  <c r="I29"/>
  <c r="P28"/>
  <c r="O28"/>
  <c r="N28"/>
  <c r="M28"/>
  <c r="I28"/>
  <c r="P27"/>
  <c r="O27"/>
  <c r="N27"/>
  <c r="M27"/>
  <c r="I27"/>
  <c r="P26"/>
  <c r="O26"/>
  <c r="N26"/>
  <c r="M26"/>
  <c r="I26"/>
  <c r="P25"/>
  <c r="O25"/>
  <c r="N25"/>
  <c r="M25"/>
  <c r="I25"/>
  <c r="P24"/>
  <c r="O24"/>
  <c r="N24"/>
  <c r="M24"/>
  <c r="I24"/>
  <c r="P23"/>
  <c r="O23"/>
  <c r="N23"/>
  <c r="M23"/>
  <c r="I23"/>
  <c r="P22"/>
  <c r="O22"/>
  <c r="N22"/>
  <c r="M22"/>
  <c r="I22"/>
  <c r="P21"/>
  <c r="O21"/>
  <c r="N21"/>
  <c r="M21"/>
  <c r="I21"/>
  <c r="P20"/>
  <c r="O20"/>
  <c r="N20"/>
  <c r="M20"/>
  <c r="I20"/>
  <c r="P19"/>
  <c r="O19"/>
  <c r="N19"/>
  <c r="M19"/>
  <c r="Q19" s="1"/>
  <c r="I19"/>
  <c r="P18"/>
  <c r="O18"/>
  <c r="N18"/>
  <c r="M18"/>
  <c r="I18"/>
  <c r="L17"/>
  <c r="K17"/>
  <c r="J17"/>
  <c r="H17"/>
  <c r="G17"/>
  <c r="F17"/>
  <c r="P16"/>
  <c r="O16"/>
  <c r="N16"/>
  <c r="M16"/>
  <c r="I16"/>
  <c r="P15"/>
  <c r="O15"/>
  <c r="N15"/>
  <c r="M15"/>
  <c r="I15"/>
  <c r="P14"/>
  <c r="O14"/>
  <c r="N14"/>
  <c r="M14"/>
  <c r="I14"/>
  <c r="P13"/>
  <c r="O13"/>
  <c r="N13"/>
  <c r="M13"/>
  <c r="I13"/>
  <c r="P12"/>
  <c r="O12"/>
  <c r="N12"/>
  <c r="M12"/>
  <c r="I12"/>
  <c r="P11"/>
  <c r="O11"/>
  <c r="N11"/>
  <c r="M11"/>
  <c r="I11"/>
  <c r="P10"/>
  <c r="O10"/>
  <c r="N10"/>
  <c r="M10"/>
  <c r="I10"/>
  <c r="L9"/>
  <c r="K9"/>
  <c r="J9"/>
  <c r="H9"/>
  <c r="G9"/>
  <c r="F9"/>
  <c r="P8"/>
  <c r="O8"/>
  <c r="N8"/>
  <c r="M8"/>
  <c r="I8"/>
  <c r="P7"/>
  <c r="O7"/>
  <c r="N7"/>
  <c r="M7"/>
  <c r="I7"/>
  <c r="P6"/>
  <c r="O6"/>
  <c r="N6"/>
  <c r="M6"/>
  <c r="I6"/>
  <c r="P5"/>
  <c r="O5"/>
  <c r="N5"/>
  <c r="M5"/>
  <c r="I5"/>
  <c r="P4"/>
  <c r="O4"/>
  <c r="N4"/>
  <c r="M4"/>
  <c r="I4"/>
  <c r="E7" i="25"/>
  <c r="E6"/>
  <c r="I33"/>
  <c r="Q42" i="39" l="1"/>
  <c r="Q68"/>
  <c r="Q23"/>
  <c r="Q46"/>
  <c r="Q64"/>
  <c r="Q71"/>
  <c r="P9"/>
  <c r="Q7"/>
  <c r="Q8"/>
  <c r="M17"/>
  <c r="Q14"/>
  <c r="Q15"/>
  <c r="Q21"/>
  <c r="Q22"/>
  <c r="Q25"/>
  <c r="Q26"/>
  <c r="Q29"/>
  <c r="Q30"/>
  <c r="Q33"/>
  <c r="Q34"/>
  <c r="Q37"/>
  <c r="Q40"/>
  <c r="Q44"/>
  <c r="Q103"/>
  <c r="Q107"/>
  <c r="Q115"/>
  <c r="Q119"/>
  <c r="Q51"/>
  <c r="Q81"/>
  <c r="Q92"/>
  <c r="Q96"/>
  <c r="Q55"/>
  <c r="Q62"/>
  <c r="Q105"/>
  <c r="Q109"/>
  <c r="Q35"/>
  <c r="Q78"/>
  <c r="Q82"/>
  <c r="M124"/>
  <c r="Q49"/>
  <c r="Q53"/>
  <c r="Q57"/>
  <c r="N75"/>
  <c r="Q60"/>
  <c r="Q66"/>
  <c r="Q70"/>
  <c r="Q73"/>
  <c r="Q76"/>
  <c r="Q80"/>
  <c r="Q84"/>
  <c r="Q91"/>
  <c r="Q98"/>
  <c r="I75"/>
  <c r="O88"/>
  <c r="Q86"/>
  <c r="M97"/>
  <c r="Q93"/>
  <c r="Q95"/>
  <c r="Q100"/>
  <c r="N124"/>
  <c r="Q116"/>
  <c r="Q120"/>
  <c r="Q31"/>
  <c r="Q27"/>
  <c r="I38"/>
  <c r="Q5"/>
  <c r="I9"/>
  <c r="Q117"/>
  <c r="Q121"/>
  <c r="Q123"/>
  <c r="Q114"/>
  <c r="Q118"/>
  <c r="Q122"/>
  <c r="P124"/>
  <c r="O124"/>
  <c r="O113"/>
  <c r="N113"/>
  <c r="Q104"/>
  <c r="Q108"/>
  <c r="Q112"/>
  <c r="Q111"/>
  <c r="Q102"/>
  <c r="Q106"/>
  <c r="Q110"/>
  <c r="I113"/>
  <c r="P113"/>
  <c r="Q101"/>
  <c r="Q99"/>
  <c r="N97"/>
  <c r="Q90"/>
  <c r="Q94"/>
  <c r="I97"/>
  <c r="P97"/>
  <c r="O97"/>
  <c r="Q79"/>
  <c r="Q83"/>
  <c r="Q87"/>
  <c r="N88"/>
  <c r="Q77"/>
  <c r="Q85"/>
  <c r="I88"/>
  <c r="P88"/>
  <c r="M75"/>
  <c r="P75"/>
  <c r="Q65"/>
  <c r="Q69"/>
  <c r="Q72"/>
  <c r="O75"/>
  <c r="Q61"/>
  <c r="Q63"/>
  <c r="Q67"/>
  <c r="Q74"/>
  <c r="M58"/>
  <c r="I58"/>
  <c r="O58"/>
  <c r="N58"/>
  <c r="Q41"/>
  <c r="Q45"/>
  <c r="Q48"/>
  <c r="Q52"/>
  <c r="Q56"/>
  <c r="Q43"/>
  <c r="Q47"/>
  <c r="Q50"/>
  <c r="Q54"/>
  <c r="P58"/>
  <c r="Q24"/>
  <c r="M38"/>
  <c r="P38"/>
  <c r="Q20"/>
  <c r="Q28"/>
  <c r="Q32"/>
  <c r="Q36"/>
  <c r="O38"/>
  <c r="N38"/>
  <c r="N17"/>
  <c r="Q13"/>
  <c r="I17"/>
  <c r="P17"/>
  <c r="O17"/>
  <c r="Q12"/>
  <c r="Q16"/>
  <c r="M9"/>
  <c r="L125"/>
  <c r="K125"/>
  <c r="J125"/>
  <c r="Q6"/>
  <c r="O9"/>
  <c r="N9"/>
  <c r="G125"/>
  <c r="F125"/>
  <c r="H125"/>
  <c r="Q10"/>
  <c r="M113"/>
  <c r="I124"/>
  <c r="Q4"/>
  <c r="Q11"/>
  <c r="Q18"/>
  <c r="Q39"/>
  <c r="Q59"/>
  <c r="M88"/>
  <c r="Q89"/>
  <c r="O73" i="28"/>
  <c r="O72"/>
  <c r="O71"/>
  <c r="O70"/>
  <c r="O69"/>
  <c r="O68"/>
  <c r="O67"/>
  <c r="N66"/>
  <c r="M66"/>
  <c r="L66"/>
  <c r="K66"/>
  <c r="J66"/>
  <c r="I66"/>
  <c r="H66"/>
  <c r="G66"/>
  <c r="F66"/>
  <c r="E66"/>
  <c r="O65"/>
  <c r="O64"/>
  <c r="O63"/>
  <c r="O62"/>
  <c r="N61"/>
  <c r="M61"/>
  <c r="L61"/>
  <c r="K61"/>
  <c r="K42" s="1"/>
  <c r="K41" s="1"/>
  <c r="J61"/>
  <c r="I61"/>
  <c r="I19" s="1"/>
  <c r="H61"/>
  <c r="H19" s="1"/>
  <c r="G61"/>
  <c r="G19" s="1"/>
  <c r="F61"/>
  <c r="F19" s="1"/>
  <c r="E61"/>
  <c r="E19" s="1"/>
  <c r="O60"/>
  <c r="O59"/>
  <c r="N58"/>
  <c r="M58"/>
  <c r="L58"/>
  <c r="K58"/>
  <c r="J58"/>
  <c r="I58"/>
  <c r="H58"/>
  <c r="G58"/>
  <c r="F58"/>
  <c r="E58"/>
  <c r="O57"/>
  <c r="N56"/>
  <c r="N55" s="1"/>
  <c r="N54" s="1"/>
  <c r="M56"/>
  <c r="M55" s="1"/>
  <c r="M54" s="1"/>
  <c r="L56"/>
  <c r="K56"/>
  <c r="J56"/>
  <c r="J55" s="1"/>
  <c r="J54" s="1"/>
  <c r="I56"/>
  <c r="H56"/>
  <c r="G56"/>
  <c r="G55" s="1"/>
  <c r="F56"/>
  <c r="F55" s="1"/>
  <c r="F54" s="1"/>
  <c r="E56"/>
  <c r="K55"/>
  <c r="I55"/>
  <c r="H55" s="1"/>
  <c r="E55"/>
  <c r="E54" s="1"/>
  <c r="I54"/>
  <c r="H54" s="1"/>
  <c r="O53"/>
  <c r="N52"/>
  <c r="M52"/>
  <c r="L52"/>
  <c r="K52"/>
  <c r="J52"/>
  <c r="I52"/>
  <c r="H52"/>
  <c r="G52"/>
  <c r="F52"/>
  <c r="E52"/>
  <c r="N51"/>
  <c r="N50" s="1"/>
  <c r="M51"/>
  <c r="L51"/>
  <c r="K51"/>
  <c r="J51"/>
  <c r="I51"/>
  <c r="H51"/>
  <c r="G51"/>
  <c r="F51"/>
  <c r="F50" s="1"/>
  <c r="E51"/>
  <c r="E50" s="1"/>
  <c r="L50"/>
  <c r="K50"/>
  <c r="J50"/>
  <c r="H50"/>
  <c r="G50"/>
  <c r="N49"/>
  <c r="M49"/>
  <c r="M47" s="1"/>
  <c r="L49"/>
  <c r="K49"/>
  <c r="J49"/>
  <c r="I49"/>
  <c r="H49"/>
  <c r="G49"/>
  <c r="F49"/>
  <c r="E49"/>
  <c r="N48"/>
  <c r="M48"/>
  <c r="L48"/>
  <c r="J48"/>
  <c r="I48"/>
  <c r="I47" s="1"/>
  <c r="H48"/>
  <c r="G48" s="1"/>
  <c r="F48"/>
  <c r="E48"/>
  <c r="E47" s="1"/>
  <c r="L47"/>
  <c r="H47"/>
  <c r="G47" s="1"/>
  <c r="N46"/>
  <c r="M46"/>
  <c r="L46"/>
  <c r="K46"/>
  <c r="K45" s="1"/>
  <c r="J46"/>
  <c r="I46"/>
  <c r="H46"/>
  <c r="G46"/>
  <c r="G45" s="1"/>
  <c r="F46"/>
  <c r="F45" s="1"/>
  <c r="E46"/>
  <c r="N45"/>
  <c r="M45"/>
  <c r="L45" s="1"/>
  <c r="J45"/>
  <c r="I45"/>
  <c r="E45"/>
  <c r="N44"/>
  <c r="M44"/>
  <c r="M43" s="1"/>
  <c r="L44"/>
  <c r="K44"/>
  <c r="K43" s="1"/>
  <c r="J43" s="1"/>
  <c r="J44"/>
  <c r="I44"/>
  <c r="H44"/>
  <c r="G44"/>
  <c r="G43" s="1"/>
  <c r="F43" s="1"/>
  <c r="F44"/>
  <c r="E44"/>
  <c r="L43"/>
  <c r="I43"/>
  <c r="H43"/>
  <c r="N42"/>
  <c r="M42" s="1"/>
  <c r="L42"/>
  <c r="J42"/>
  <c r="I42" s="1"/>
  <c r="H42"/>
  <c r="G42"/>
  <c r="F42"/>
  <c r="F41" s="1"/>
  <c r="E42"/>
  <c r="E41" s="1"/>
  <c r="N41"/>
  <c r="M41" s="1"/>
  <c r="J41"/>
  <c r="I41" s="1"/>
  <c r="H41" s="1"/>
  <c r="G41"/>
  <c r="O40"/>
  <c r="O39"/>
  <c r="O37"/>
  <c r="N36"/>
  <c r="M36"/>
  <c r="L36"/>
  <c r="K36"/>
  <c r="J36"/>
  <c r="I36"/>
  <c r="H36"/>
  <c r="G36"/>
  <c r="F36"/>
  <c r="E36"/>
  <c r="O35"/>
  <c r="N34"/>
  <c r="M34"/>
  <c r="L34"/>
  <c r="K34"/>
  <c r="J34"/>
  <c r="I34"/>
  <c r="H34"/>
  <c r="G34"/>
  <c r="F34"/>
  <c r="E34"/>
  <c r="O33"/>
  <c r="N32"/>
  <c r="N31" s="1"/>
  <c r="M32"/>
  <c r="L32"/>
  <c r="K32"/>
  <c r="J32"/>
  <c r="I32"/>
  <c r="H32"/>
  <c r="G32"/>
  <c r="G31" s="1"/>
  <c r="F32"/>
  <c r="F31" s="1"/>
  <c r="E32"/>
  <c r="E31" s="1"/>
  <c r="M31"/>
  <c r="J31"/>
  <c r="O30"/>
  <c r="O29"/>
  <c r="N28"/>
  <c r="N27" s="1"/>
  <c r="M28"/>
  <c r="L28"/>
  <c r="K28"/>
  <c r="J28"/>
  <c r="I28"/>
  <c r="I27" s="1"/>
  <c r="H27" s="1"/>
  <c r="H28"/>
  <c r="G28"/>
  <c r="G27" s="1"/>
  <c r="F28"/>
  <c r="F27" s="1"/>
  <c r="E28"/>
  <c r="E27" s="1"/>
  <c r="M27"/>
  <c r="L27" s="1"/>
  <c r="K27"/>
  <c r="J27"/>
  <c r="N26"/>
  <c r="M26"/>
  <c r="M25" s="1"/>
  <c r="L26"/>
  <c r="L25" s="1"/>
  <c r="K26"/>
  <c r="J26"/>
  <c r="I26"/>
  <c r="H26"/>
  <c r="H25" s="1"/>
  <c r="G26"/>
  <c r="F26"/>
  <c r="E26"/>
  <c r="E25" s="1"/>
  <c r="K25"/>
  <c r="J25" s="1"/>
  <c r="I25"/>
  <c r="G25"/>
  <c r="N24"/>
  <c r="M24"/>
  <c r="M22" s="1"/>
  <c r="L24"/>
  <c r="K24"/>
  <c r="J24"/>
  <c r="I24"/>
  <c r="H24"/>
  <c r="G24"/>
  <c r="F24"/>
  <c r="E24"/>
  <c r="N23"/>
  <c r="N22" s="1"/>
  <c r="N20" s="1"/>
  <c r="M23"/>
  <c r="L23"/>
  <c r="K23"/>
  <c r="J23"/>
  <c r="I23"/>
  <c r="I22" s="1"/>
  <c r="H23"/>
  <c r="H22" s="1"/>
  <c r="H20" s="1"/>
  <c r="G23"/>
  <c r="F23"/>
  <c r="E23"/>
  <c r="L22"/>
  <c r="K22" s="1"/>
  <c r="J22"/>
  <c r="N21"/>
  <c r="M21"/>
  <c r="L21"/>
  <c r="K21"/>
  <c r="J21"/>
  <c r="I21"/>
  <c r="H21"/>
  <c r="G21"/>
  <c r="F21"/>
  <c r="E21"/>
  <c r="L20"/>
  <c r="K20" s="1"/>
  <c r="J20"/>
  <c r="O19"/>
  <c r="N18"/>
  <c r="M18"/>
  <c r="M15" s="1"/>
  <c r="L18"/>
  <c r="L15" s="1"/>
  <c r="K18"/>
  <c r="J18"/>
  <c r="I18"/>
  <c r="H18"/>
  <c r="G18"/>
  <c r="F18"/>
  <c r="E18"/>
  <c r="O18" s="1"/>
  <c r="O17"/>
  <c r="O16"/>
  <c r="I15"/>
  <c r="H15"/>
  <c r="G15" s="1"/>
  <c r="F15" s="1"/>
  <c r="N14"/>
  <c r="M14"/>
  <c r="L14"/>
  <c r="L12" s="1"/>
  <c r="K12" s="1"/>
  <c r="K14"/>
  <c r="J14"/>
  <c r="I14"/>
  <c r="H14"/>
  <c r="G14"/>
  <c r="F14"/>
  <c r="E14"/>
  <c r="N13"/>
  <c r="N12" s="1"/>
  <c r="M13"/>
  <c r="M12" s="1"/>
  <c r="L13"/>
  <c r="K13"/>
  <c r="J13"/>
  <c r="J12" s="1"/>
  <c r="I13"/>
  <c r="I12" s="1"/>
  <c r="H13"/>
  <c r="G13"/>
  <c r="F13"/>
  <c r="F12" s="1"/>
  <c r="E13"/>
  <c r="E12" s="1"/>
  <c r="H12"/>
  <c r="G12" s="1"/>
  <c r="N11"/>
  <c r="N10" s="1"/>
  <c r="M11"/>
  <c r="L11"/>
  <c r="L10" s="1"/>
  <c r="L8" s="1"/>
  <c r="J11"/>
  <c r="I11"/>
  <c r="H11"/>
  <c r="H10" s="1"/>
  <c r="H8" s="1"/>
  <c r="G11"/>
  <c r="G10" s="1"/>
  <c r="G8" s="1"/>
  <c r="F11"/>
  <c r="F10" s="1"/>
  <c r="F8" s="1"/>
  <c r="E11"/>
  <c r="J10"/>
  <c r="I10" s="1"/>
  <c r="E10"/>
  <c r="E8" s="1"/>
  <c r="O9"/>
  <c r="O7"/>
  <c r="O6"/>
  <c r="N5"/>
  <c r="M5"/>
  <c r="L5"/>
  <c r="K5"/>
  <c r="J5"/>
  <c r="I5"/>
  <c r="H5"/>
  <c r="G5"/>
  <c r="F5"/>
  <c r="E5"/>
  <c r="K73" i="27"/>
  <c r="S72"/>
  <c r="K72"/>
  <c r="K44" s="1"/>
  <c r="K43" s="1"/>
  <c r="T71"/>
  <c r="T70"/>
  <c r="T69"/>
  <c r="T68"/>
  <c r="T67"/>
  <c r="S66"/>
  <c r="R66"/>
  <c r="Q66"/>
  <c r="P66"/>
  <c r="O66"/>
  <c r="N66"/>
  <c r="M66"/>
  <c r="L66"/>
  <c r="K66"/>
  <c r="J66"/>
  <c r="I66"/>
  <c r="H66"/>
  <c r="G66"/>
  <c r="F66"/>
  <c r="E66"/>
  <c r="T65"/>
  <c r="T64"/>
  <c r="T63"/>
  <c r="T62"/>
  <c r="S61"/>
  <c r="R61"/>
  <c r="R19" s="1"/>
  <c r="Q61"/>
  <c r="P61"/>
  <c r="O61"/>
  <c r="O19" s="1"/>
  <c r="N61"/>
  <c r="M61"/>
  <c r="L61"/>
  <c r="L18" s="1"/>
  <c r="L15" s="1"/>
  <c r="K61"/>
  <c r="J61"/>
  <c r="J19" s="1"/>
  <c r="I61"/>
  <c r="I19" s="1"/>
  <c r="H61"/>
  <c r="H19" s="1"/>
  <c r="G61"/>
  <c r="G19" s="1"/>
  <c r="F61"/>
  <c r="F19" s="1"/>
  <c r="E61"/>
  <c r="E19" s="1"/>
  <c r="T60"/>
  <c r="T59"/>
  <c r="S58"/>
  <c r="R58"/>
  <c r="Q58"/>
  <c r="P58"/>
  <c r="O58"/>
  <c r="N58"/>
  <c r="M58"/>
  <c r="L58"/>
  <c r="K58"/>
  <c r="J58"/>
  <c r="I58"/>
  <c r="H58"/>
  <c r="G58"/>
  <c r="F58"/>
  <c r="E58"/>
  <c r="T57"/>
  <c r="S56"/>
  <c r="R56"/>
  <c r="Q56"/>
  <c r="P56"/>
  <c r="O56"/>
  <c r="O55" s="1"/>
  <c r="O54" s="1"/>
  <c r="N56"/>
  <c r="M56"/>
  <c r="M55" s="1"/>
  <c r="M54" s="1"/>
  <c r="L56"/>
  <c r="K56"/>
  <c r="J56"/>
  <c r="I56"/>
  <c r="H56"/>
  <c r="G56"/>
  <c r="G55" s="1"/>
  <c r="G54" s="1"/>
  <c r="F56"/>
  <c r="E56"/>
  <c r="E55" s="1"/>
  <c r="S55"/>
  <c r="R55"/>
  <c r="Q55"/>
  <c r="P55"/>
  <c r="N55"/>
  <c r="N54" s="1"/>
  <c r="L55"/>
  <c r="L54" s="1"/>
  <c r="K55"/>
  <c r="J55"/>
  <c r="J54" s="1"/>
  <c r="I55"/>
  <c r="H55"/>
  <c r="F55"/>
  <c r="F54" s="1"/>
  <c r="S54"/>
  <c r="R54"/>
  <c r="Q54"/>
  <c r="P54"/>
  <c r="K54"/>
  <c r="I54"/>
  <c r="H54"/>
  <c r="T53"/>
  <c r="S52"/>
  <c r="R52"/>
  <c r="Q52"/>
  <c r="P52"/>
  <c r="O52"/>
  <c r="N52"/>
  <c r="M52"/>
  <c r="L52"/>
  <c r="K52"/>
  <c r="J52"/>
  <c r="I52"/>
  <c r="H52"/>
  <c r="G52"/>
  <c r="F52"/>
  <c r="E52"/>
  <c r="S51"/>
  <c r="S50" s="1"/>
  <c r="R51"/>
  <c r="Q51"/>
  <c r="Q50" s="1"/>
  <c r="P51"/>
  <c r="O51"/>
  <c r="O50" s="1"/>
  <c r="N51"/>
  <c r="M51"/>
  <c r="L51"/>
  <c r="K51"/>
  <c r="K50" s="1"/>
  <c r="I51"/>
  <c r="H51"/>
  <c r="H50" s="1"/>
  <c r="G51"/>
  <c r="F51"/>
  <c r="F50" s="1"/>
  <c r="E51"/>
  <c r="R50"/>
  <c r="P50"/>
  <c r="N50"/>
  <c r="M50"/>
  <c r="L50"/>
  <c r="I50"/>
  <c r="G50"/>
  <c r="E50"/>
  <c r="S49"/>
  <c r="R49"/>
  <c r="Q49"/>
  <c r="Q47" s="1"/>
  <c r="P49"/>
  <c r="O49"/>
  <c r="N49"/>
  <c r="M49"/>
  <c r="L49"/>
  <c r="K49"/>
  <c r="J49"/>
  <c r="I49"/>
  <c r="I47" s="1"/>
  <c r="H49"/>
  <c r="G49"/>
  <c r="F49"/>
  <c r="E49"/>
  <c r="S48"/>
  <c r="R48"/>
  <c r="Q48"/>
  <c r="P48"/>
  <c r="P47" s="1"/>
  <c r="O48"/>
  <c r="N48"/>
  <c r="M48"/>
  <c r="K48"/>
  <c r="J48"/>
  <c r="I48"/>
  <c r="H48"/>
  <c r="H47" s="1"/>
  <c r="G48"/>
  <c r="G47" s="1"/>
  <c r="F48"/>
  <c r="F47" s="1"/>
  <c r="E48"/>
  <c r="S47"/>
  <c r="R47"/>
  <c r="O47"/>
  <c r="N47"/>
  <c r="M47"/>
  <c r="K47"/>
  <c r="J47"/>
  <c r="E47"/>
  <c r="S46"/>
  <c r="R46"/>
  <c r="Q46"/>
  <c r="Q45" s="1"/>
  <c r="P46"/>
  <c r="O46"/>
  <c r="N46"/>
  <c r="N45" s="1"/>
  <c r="M46"/>
  <c r="L46"/>
  <c r="K46"/>
  <c r="J46"/>
  <c r="I46"/>
  <c r="I45" s="1"/>
  <c r="H46"/>
  <c r="H45" s="1"/>
  <c r="G46"/>
  <c r="F46"/>
  <c r="F45" s="1"/>
  <c r="E46"/>
  <c r="S45"/>
  <c r="R45"/>
  <c r="P45"/>
  <c r="O45"/>
  <c r="M45"/>
  <c r="L45"/>
  <c r="K45"/>
  <c r="J45"/>
  <c r="G45"/>
  <c r="E45"/>
  <c r="S44"/>
  <c r="R44"/>
  <c r="Q44"/>
  <c r="P44"/>
  <c r="O44"/>
  <c r="N44"/>
  <c r="M44"/>
  <c r="M43" s="1"/>
  <c r="L44"/>
  <c r="L43" s="1"/>
  <c r="J44"/>
  <c r="I44"/>
  <c r="H44"/>
  <c r="G44"/>
  <c r="F44"/>
  <c r="E44"/>
  <c r="S43"/>
  <c r="R43"/>
  <c r="Q43"/>
  <c r="P43"/>
  <c r="O43"/>
  <c r="N43"/>
  <c r="J43"/>
  <c r="I43"/>
  <c r="H43"/>
  <c r="G43"/>
  <c r="F43"/>
  <c r="E43"/>
  <c r="S42"/>
  <c r="R42"/>
  <c r="R41" s="1"/>
  <c r="Q42"/>
  <c r="P42"/>
  <c r="O42"/>
  <c r="N42"/>
  <c r="M42"/>
  <c r="K42"/>
  <c r="J42"/>
  <c r="J41" s="1"/>
  <c r="I42"/>
  <c r="I41" s="1"/>
  <c r="H42"/>
  <c r="G42"/>
  <c r="F42"/>
  <c r="F41" s="1"/>
  <c r="E42"/>
  <c r="S41"/>
  <c r="Q41"/>
  <c r="P41"/>
  <c r="O41"/>
  <c r="N41"/>
  <c r="M41"/>
  <c r="K41"/>
  <c r="H41"/>
  <c r="G41"/>
  <c r="E41"/>
  <c r="Q40"/>
  <c r="L40"/>
  <c r="Q39"/>
  <c r="P39"/>
  <c r="L39"/>
  <c r="T37"/>
  <c r="S36"/>
  <c r="R36"/>
  <c r="Q36"/>
  <c r="P36"/>
  <c r="O36"/>
  <c r="N36"/>
  <c r="M36"/>
  <c r="L36"/>
  <c r="K36"/>
  <c r="J36"/>
  <c r="I36"/>
  <c r="H36"/>
  <c r="G36"/>
  <c r="F36"/>
  <c r="E36"/>
  <c r="T35" s="1"/>
  <c r="R35"/>
  <c r="R34" s="1"/>
  <c r="S34"/>
  <c r="Q34"/>
  <c r="P34"/>
  <c r="O34"/>
  <c r="N34"/>
  <c r="M34"/>
  <c r="L34"/>
  <c r="K34"/>
  <c r="J34"/>
  <c r="I34"/>
  <c r="H34"/>
  <c r="G34"/>
  <c r="F34"/>
  <c r="E34"/>
  <c r="T33"/>
  <c r="S32"/>
  <c r="R32"/>
  <c r="Q32"/>
  <c r="P32"/>
  <c r="O32"/>
  <c r="N32"/>
  <c r="M32"/>
  <c r="L32"/>
  <c r="K32"/>
  <c r="J32"/>
  <c r="I32"/>
  <c r="H32"/>
  <c r="G32"/>
  <c r="G31" s="1"/>
  <c r="F32"/>
  <c r="F31" s="1"/>
  <c r="E32"/>
  <c r="E31" s="1"/>
  <c r="N31"/>
  <c r="M31" s="1"/>
  <c r="T30"/>
  <c r="T29" s="1"/>
  <c r="J29"/>
  <c r="J51" s="1"/>
  <c r="S28"/>
  <c r="R28"/>
  <c r="Q28"/>
  <c r="P28"/>
  <c r="O28"/>
  <c r="N28"/>
  <c r="N27" s="1"/>
  <c r="M28"/>
  <c r="L28"/>
  <c r="L27" s="1"/>
  <c r="K28"/>
  <c r="I28"/>
  <c r="H28"/>
  <c r="G28"/>
  <c r="G27" s="1"/>
  <c r="F28"/>
  <c r="F27" s="1"/>
  <c r="E28"/>
  <c r="E27" s="1"/>
  <c r="S27"/>
  <c r="R27"/>
  <c r="Q27"/>
  <c r="P27"/>
  <c r="O27"/>
  <c r="M27"/>
  <c r="K27"/>
  <c r="I27"/>
  <c r="H27"/>
  <c r="S26"/>
  <c r="S25" s="1"/>
  <c r="R26"/>
  <c r="R25" s="1"/>
  <c r="Q26"/>
  <c r="P26"/>
  <c r="O26"/>
  <c r="O25" s="1"/>
  <c r="N26"/>
  <c r="M26"/>
  <c r="L26"/>
  <c r="K26"/>
  <c r="K25" s="1"/>
  <c r="J26"/>
  <c r="I26"/>
  <c r="H26"/>
  <c r="H25" s="1"/>
  <c r="G26"/>
  <c r="G25" s="1"/>
  <c r="F26"/>
  <c r="F25" s="1"/>
  <c r="E26"/>
  <c r="E25" s="1"/>
  <c r="Q25"/>
  <c r="P25"/>
  <c r="N25"/>
  <c r="M25"/>
  <c r="L25"/>
  <c r="I25"/>
  <c r="S24"/>
  <c r="R24"/>
  <c r="Q24"/>
  <c r="P24"/>
  <c r="O24"/>
  <c r="N24"/>
  <c r="M24"/>
  <c r="L24"/>
  <c r="K24"/>
  <c r="J24"/>
  <c r="I24"/>
  <c r="H24"/>
  <c r="G24"/>
  <c r="F24"/>
  <c r="E24"/>
  <c r="S23"/>
  <c r="S22" s="1"/>
  <c r="R23"/>
  <c r="R22" s="1"/>
  <c r="Q23"/>
  <c r="P23"/>
  <c r="O23"/>
  <c r="N23"/>
  <c r="M23"/>
  <c r="L23"/>
  <c r="K23"/>
  <c r="J23"/>
  <c r="I23"/>
  <c r="I22" s="1"/>
  <c r="H23"/>
  <c r="H22" s="1"/>
  <c r="G23"/>
  <c r="G22" s="1"/>
  <c r="G20" s="1"/>
  <c r="F23"/>
  <c r="E23"/>
  <c r="T23" s="1"/>
  <c r="Q22"/>
  <c r="P22"/>
  <c r="O22"/>
  <c r="N22"/>
  <c r="M22"/>
  <c r="L22"/>
  <c r="K22"/>
  <c r="F22"/>
  <c r="E22"/>
  <c r="S21"/>
  <c r="R21"/>
  <c r="Q21"/>
  <c r="P21"/>
  <c r="P20" s="1"/>
  <c r="O21"/>
  <c r="N21"/>
  <c r="M21"/>
  <c r="L21"/>
  <c r="K21"/>
  <c r="K20" s="1"/>
  <c r="J21"/>
  <c r="I21"/>
  <c r="H21"/>
  <c r="G21"/>
  <c r="F21"/>
  <c r="F20" s="1"/>
  <c r="E21"/>
  <c r="O20"/>
  <c r="N20"/>
  <c r="M20"/>
  <c r="L20"/>
  <c r="T19"/>
  <c r="S18"/>
  <c r="R18"/>
  <c r="Q18"/>
  <c r="Q15" s="1"/>
  <c r="P18"/>
  <c r="O18"/>
  <c r="N18"/>
  <c r="M18"/>
  <c r="K18"/>
  <c r="J18"/>
  <c r="I18"/>
  <c r="I15" s="1"/>
  <c r="H18"/>
  <c r="G18"/>
  <c r="F18"/>
  <c r="F15" s="1"/>
  <c r="E18"/>
  <c r="T17"/>
  <c r="T16"/>
  <c r="P15"/>
  <c r="M15"/>
  <c r="H15"/>
  <c r="E15"/>
  <c r="S14"/>
  <c r="R14"/>
  <c r="Q14"/>
  <c r="P14"/>
  <c r="O14"/>
  <c r="N14"/>
  <c r="M14"/>
  <c r="L14"/>
  <c r="K14"/>
  <c r="J14"/>
  <c r="I14"/>
  <c r="H14"/>
  <c r="G14"/>
  <c r="F14"/>
  <c r="E14"/>
  <c r="S13"/>
  <c r="S12" s="1"/>
  <c r="R13"/>
  <c r="R12" s="1"/>
  <c r="Q13"/>
  <c r="P13"/>
  <c r="P12" s="1"/>
  <c r="O13"/>
  <c r="N13"/>
  <c r="M13"/>
  <c r="L13"/>
  <c r="K13"/>
  <c r="J13"/>
  <c r="J12" s="1"/>
  <c r="I13"/>
  <c r="H13"/>
  <c r="H12" s="1"/>
  <c r="G13"/>
  <c r="F13"/>
  <c r="E13"/>
  <c r="T13" s="1"/>
  <c r="Q12"/>
  <c r="O12"/>
  <c r="N12"/>
  <c r="M12"/>
  <c r="L12"/>
  <c r="K12"/>
  <c r="I12"/>
  <c r="G12"/>
  <c r="F12"/>
  <c r="E12"/>
  <c r="S11"/>
  <c r="R11"/>
  <c r="Q11"/>
  <c r="Q10" s="1"/>
  <c r="Q8" s="1"/>
  <c r="P11"/>
  <c r="O11"/>
  <c r="O10" s="1"/>
  <c r="N11"/>
  <c r="M11"/>
  <c r="M10" s="1"/>
  <c r="K11"/>
  <c r="K10" s="1"/>
  <c r="J11"/>
  <c r="I11"/>
  <c r="H11"/>
  <c r="G11"/>
  <c r="G10" s="1"/>
  <c r="F11"/>
  <c r="E11"/>
  <c r="E10" s="1"/>
  <c r="S10"/>
  <c r="R10"/>
  <c r="P10"/>
  <c r="N10"/>
  <c r="J10"/>
  <c r="I10"/>
  <c r="H10"/>
  <c r="F10"/>
  <c r="S9"/>
  <c r="S8" s="1"/>
  <c r="R9"/>
  <c r="Q9"/>
  <c r="P9"/>
  <c r="O9"/>
  <c r="N9"/>
  <c r="M9"/>
  <c r="L9"/>
  <c r="K9"/>
  <c r="J9"/>
  <c r="I9"/>
  <c r="H9"/>
  <c r="G9"/>
  <c r="F9"/>
  <c r="E9"/>
  <c r="R8"/>
  <c r="P8"/>
  <c r="J8"/>
  <c r="I8"/>
  <c r="H8"/>
  <c r="S7"/>
  <c r="R7"/>
  <c r="Q7"/>
  <c r="P7"/>
  <c r="N7"/>
  <c r="M7"/>
  <c r="L7"/>
  <c r="K7"/>
  <c r="J7"/>
  <c r="I7"/>
  <c r="H7"/>
  <c r="G7"/>
  <c r="F7"/>
  <c r="E7"/>
  <c r="S6"/>
  <c r="R6"/>
  <c r="Q6"/>
  <c r="P6"/>
  <c r="O6"/>
  <c r="N6"/>
  <c r="M6"/>
  <c r="L6"/>
  <c r="K6"/>
  <c r="J6"/>
  <c r="I6"/>
  <c r="H6"/>
  <c r="G6"/>
  <c r="F6"/>
  <c r="E6"/>
  <c r="K8" l="1"/>
  <c r="T12"/>
  <c r="S20"/>
  <c r="T51"/>
  <c r="I31" i="28"/>
  <c r="H31" s="1"/>
  <c r="I20" i="27"/>
  <c r="K15"/>
  <c r="J15" s="1"/>
  <c r="T61"/>
  <c r="T21"/>
  <c r="R20"/>
  <c r="H38"/>
  <c r="O23" i="28"/>
  <c r="K31"/>
  <c r="M50"/>
  <c r="O8" i="27"/>
  <c r="E20"/>
  <c r="Q20"/>
  <c r="J25"/>
  <c r="F22" i="28"/>
  <c r="F20" s="1"/>
  <c r="F4" s="1"/>
  <c r="G8" i="27"/>
  <c r="T24"/>
  <c r="J31"/>
  <c r="I31" s="1"/>
  <c r="H31" s="1"/>
  <c r="R38"/>
  <c r="I38" i="28"/>
  <c r="N8" i="27"/>
  <c r="H20"/>
  <c r="T25"/>
  <c r="G38" i="28"/>
  <c r="F38" s="1"/>
  <c r="O58"/>
  <c r="T34" i="27"/>
  <c r="O5" i="28"/>
  <c r="F47"/>
  <c r="I50"/>
  <c r="E8" i="27"/>
  <c r="T7" s="1"/>
  <c r="M8"/>
  <c r="F8"/>
  <c r="T8" s="1"/>
  <c r="T32"/>
  <c r="F38"/>
  <c r="L41" i="28"/>
  <c r="O41" s="1"/>
  <c r="G54"/>
  <c r="E54" i="27"/>
  <c r="T54" s="1"/>
  <c r="O26" i="28"/>
  <c r="O27"/>
  <c r="M10"/>
  <c r="N8"/>
  <c r="J50" i="27"/>
  <c r="T50" s="1"/>
  <c r="E38"/>
  <c r="N38"/>
  <c r="M38" s="1"/>
  <c r="G38"/>
  <c r="T26"/>
  <c r="T36"/>
  <c r="T43"/>
  <c r="T52"/>
  <c r="O13" i="28"/>
  <c r="I20"/>
  <c r="O36"/>
  <c r="O51"/>
  <c r="L55"/>
  <c r="O15" i="27"/>
  <c r="N15" s="1"/>
  <c r="J22"/>
  <c r="J20" s="1"/>
  <c r="L42"/>
  <c r="L41" s="1"/>
  <c r="T41" s="1"/>
  <c r="T72"/>
  <c r="O24" i="28"/>
  <c r="O42"/>
  <c r="K48"/>
  <c r="K47" s="1"/>
  <c r="O66"/>
  <c r="M38"/>
  <c r="T6" i="27"/>
  <c r="T49"/>
  <c r="T66"/>
  <c r="K11" i="28"/>
  <c r="K10" s="1"/>
  <c r="K8" s="1"/>
  <c r="E15"/>
  <c r="M20"/>
  <c r="F25"/>
  <c r="O32"/>
  <c r="E43"/>
  <c r="E38" s="1"/>
  <c r="O52"/>
  <c r="O55"/>
  <c r="T55" i="27"/>
  <c r="T14"/>
  <c r="L48"/>
  <c r="O44" i="28"/>
  <c r="O61"/>
  <c r="T44" i="27"/>
  <c r="L11"/>
  <c r="L10" s="1"/>
  <c r="L8" s="1"/>
  <c r="T11"/>
  <c r="T18"/>
  <c r="T20"/>
  <c r="O56" i="28"/>
  <c r="G22"/>
  <c r="G20" s="1"/>
  <c r="G4" s="1"/>
  <c r="L54"/>
  <c r="K54" s="1"/>
  <c r="O54" s="1"/>
  <c r="T10" i="27"/>
  <c r="G15"/>
  <c r="J28"/>
  <c r="T28" s="1"/>
  <c r="T46"/>
  <c r="J8" i="28"/>
  <c r="K15"/>
  <c r="J15" s="1"/>
  <c r="E22"/>
  <c r="O28"/>
  <c r="L31"/>
  <c r="O31" s="1"/>
  <c r="O34"/>
  <c r="T9" i="27"/>
  <c r="J27"/>
  <c r="L31"/>
  <c r="K31" s="1"/>
  <c r="T39"/>
  <c r="T45"/>
  <c r="T56"/>
  <c r="T58"/>
  <c r="O12" i="28"/>
  <c r="H45"/>
  <c r="H38" s="1"/>
  <c r="O46"/>
  <c r="O49"/>
  <c r="O50"/>
  <c r="Q38" i="27"/>
  <c r="P38" s="1"/>
  <c r="O38" s="1"/>
  <c r="T40"/>
  <c r="Q97" i="39"/>
  <c r="Q113"/>
  <c r="Q75"/>
  <c r="Q124"/>
  <c r="Q58"/>
  <c r="I125"/>
  <c r="Q9"/>
  <c r="O125"/>
  <c r="M125"/>
  <c r="Q88"/>
  <c r="P125"/>
  <c r="Q38"/>
  <c r="N125"/>
  <c r="Q17"/>
  <c r="S5" i="27"/>
  <c r="R5"/>
  <c r="Q5"/>
  <c r="P5"/>
  <c r="O5"/>
  <c r="O4" s="1"/>
  <c r="N4" s="1"/>
  <c r="M4" s="1"/>
  <c r="N5"/>
  <c r="M5"/>
  <c r="L5"/>
  <c r="K5"/>
  <c r="J5"/>
  <c r="I5"/>
  <c r="H5"/>
  <c r="G5"/>
  <c r="F5"/>
  <c r="F4" s="1"/>
  <c r="E5"/>
  <c r="P4"/>
  <c r="H4"/>
  <c r="G4" s="1"/>
  <c r="M73" i="26"/>
  <c r="M72"/>
  <c r="M71"/>
  <c r="M70"/>
  <c r="M69"/>
  <c r="M68"/>
  <c r="M67"/>
  <c r="L66"/>
  <c r="K66"/>
  <c r="J66"/>
  <c r="I66"/>
  <c r="H66"/>
  <c r="G66"/>
  <c r="F66"/>
  <c r="E66"/>
  <c r="M65"/>
  <c r="M64"/>
  <c r="M63"/>
  <c r="M62"/>
  <c r="L61"/>
  <c r="L48" s="1"/>
  <c r="K48" s="1"/>
  <c r="K61"/>
  <c r="J61"/>
  <c r="I61"/>
  <c r="H61"/>
  <c r="H11" s="1"/>
  <c r="G61"/>
  <c r="G19" s="1"/>
  <c r="M19" s="1"/>
  <c r="F61"/>
  <c r="F19" s="1"/>
  <c r="E61"/>
  <c r="E19" s="1"/>
  <c r="M60"/>
  <c r="M59"/>
  <c r="L58"/>
  <c r="K58"/>
  <c r="J58"/>
  <c r="I58"/>
  <c r="H58"/>
  <c r="G58"/>
  <c r="F58"/>
  <c r="E58"/>
  <c r="M57"/>
  <c r="L56"/>
  <c r="K56"/>
  <c r="K55" s="1"/>
  <c r="K54" s="1"/>
  <c r="J56"/>
  <c r="J55" s="1"/>
  <c r="I56"/>
  <c r="H56"/>
  <c r="G56"/>
  <c r="G55" s="1"/>
  <c r="G54" s="1"/>
  <c r="F56"/>
  <c r="E56"/>
  <c r="F55"/>
  <c r="E55" s="1"/>
  <c r="M53"/>
  <c r="L52"/>
  <c r="K52"/>
  <c r="J52"/>
  <c r="I52"/>
  <c r="H52"/>
  <c r="G52"/>
  <c r="F52"/>
  <c r="E52"/>
  <c r="L51"/>
  <c r="L50" s="1"/>
  <c r="K51"/>
  <c r="K50" s="1"/>
  <c r="J50" s="1"/>
  <c r="I50" s="1"/>
  <c r="J51"/>
  <c r="I51"/>
  <c r="H51"/>
  <c r="H50" s="1"/>
  <c r="F51"/>
  <c r="E51"/>
  <c r="E50"/>
  <c r="L49"/>
  <c r="K49"/>
  <c r="J49"/>
  <c r="I49"/>
  <c r="H49"/>
  <c r="G49"/>
  <c r="F49"/>
  <c r="E49"/>
  <c r="J48"/>
  <c r="I48"/>
  <c r="H48"/>
  <c r="F48"/>
  <c r="F47" s="1"/>
  <c r="J47"/>
  <c r="L46"/>
  <c r="K46"/>
  <c r="J46"/>
  <c r="I46"/>
  <c r="I45" s="1"/>
  <c r="H46"/>
  <c r="H45" s="1"/>
  <c r="G46"/>
  <c r="F46"/>
  <c r="E46"/>
  <c r="E45" s="1"/>
  <c r="L45"/>
  <c r="L44"/>
  <c r="K44"/>
  <c r="K43" s="1"/>
  <c r="J44"/>
  <c r="J43" s="1"/>
  <c r="I43" s="1"/>
  <c r="H43" s="1"/>
  <c r="I44"/>
  <c r="H44"/>
  <c r="G44"/>
  <c r="G43" s="1"/>
  <c r="F44"/>
  <c r="F43" s="1"/>
  <c r="E43" s="1"/>
  <c r="E44"/>
  <c r="J42"/>
  <c r="I42" s="1"/>
  <c r="H42"/>
  <c r="H41" s="1"/>
  <c r="M40"/>
  <c r="M39"/>
  <c r="M37"/>
  <c r="L36"/>
  <c r="L31" s="1"/>
  <c r="K36"/>
  <c r="J36"/>
  <c r="I36"/>
  <c r="H36"/>
  <c r="G36"/>
  <c r="F36"/>
  <c r="E36"/>
  <c r="H35"/>
  <c r="M35" s="1"/>
  <c r="L34"/>
  <c r="K34"/>
  <c r="J34"/>
  <c r="I34"/>
  <c r="G34"/>
  <c r="F34"/>
  <c r="E34"/>
  <c r="E31" s="1"/>
  <c r="M33"/>
  <c r="L32"/>
  <c r="K32"/>
  <c r="J32"/>
  <c r="I32"/>
  <c r="H32"/>
  <c r="G32"/>
  <c r="G31" s="1"/>
  <c r="F32"/>
  <c r="E32"/>
  <c r="M30"/>
  <c r="G29"/>
  <c r="G26" s="1"/>
  <c r="L28"/>
  <c r="K28"/>
  <c r="J28"/>
  <c r="I28"/>
  <c r="I27" s="1"/>
  <c r="H28"/>
  <c r="G28"/>
  <c r="F28"/>
  <c r="E28"/>
  <c r="L27"/>
  <c r="K27" s="1"/>
  <c r="H27"/>
  <c r="E27"/>
  <c r="L26"/>
  <c r="K26"/>
  <c r="J26"/>
  <c r="J25" s="1"/>
  <c r="I25" s="1"/>
  <c r="I26"/>
  <c r="H26"/>
  <c r="F26"/>
  <c r="F25" s="1"/>
  <c r="E26"/>
  <c r="K25"/>
  <c r="L24"/>
  <c r="K24"/>
  <c r="J24"/>
  <c r="I24"/>
  <c r="H24"/>
  <c r="G24"/>
  <c r="F24"/>
  <c r="E24"/>
  <c r="L23"/>
  <c r="K23"/>
  <c r="J23"/>
  <c r="I23"/>
  <c r="I22" s="1"/>
  <c r="H23"/>
  <c r="G23"/>
  <c r="F23"/>
  <c r="F22" s="1"/>
  <c r="E23"/>
  <c r="E22" s="1"/>
  <c r="J22"/>
  <c r="L21"/>
  <c r="K21"/>
  <c r="J21"/>
  <c r="I21"/>
  <c r="H21"/>
  <c r="G21"/>
  <c r="F21"/>
  <c r="E21"/>
  <c r="L18"/>
  <c r="J18"/>
  <c r="I18"/>
  <c r="H18"/>
  <c r="H15" s="1"/>
  <c r="F18"/>
  <c r="E18"/>
  <c r="E15" s="1"/>
  <c r="M17"/>
  <c r="M16"/>
  <c r="L15"/>
  <c r="I15"/>
  <c r="L14"/>
  <c r="K14"/>
  <c r="J14"/>
  <c r="I14"/>
  <c r="H14"/>
  <c r="F14"/>
  <c r="E14"/>
  <c r="L13"/>
  <c r="K13"/>
  <c r="K12" s="1"/>
  <c r="J13"/>
  <c r="I13"/>
  <c r="H13"/>
  <c r="F13"/>
  <c r="E13"/>
  <c r="E12" s="1"/>
  <c r="L12"/>
  <c r="L11"/>
  <c r="J11"/>
  <c r="J10" s="1"/>
  <c r="I11"/>
  <c r="G11"/>
  <c r="F11"/>
  <c r="F10" s="1"/>
  <c r="E11"/>
  <c r="I10"/>
  <c r="I8" s="1"/>
  <c r="H9"/>
  <c r="H7"/>
  <c r="M7" s="1"/>
  <c r="H6"/>
  <c r="M6" s="1"/>
  <c r="L5"/>
  <c r="K5"/>
  <c r="J5"/>
  <c r="I5"/>
  <c r="G5"/>
  <c r="F5"/>
  <c r="E5"/>
  <c r="Q73" i="25"/>
  <c r="Q72"/>
  <c r="Q71"/>
  <c r="Q70"/>
  <c r="Q69"/>
  <c r="Q68"/>
  <c r="Q67"/>
  <c r="P66"/>
  <c r="O66"/>
  <c r="N66"/>
  <c r="M66"/>
  <c r="L66"/>
  <c r="K66"/>
  <c r="J66"/>
  <c r="I66"/>
  <c r="H66"/>
  <c r="G66"/>
  <c r="F66"/>
  <c r="E66"/>
  <c r="Q65"/>
  <c r="Q64"/>
  <c r="Q63"/>
  <c r="Q62"/>
  <c r="P61"/>
  <c r="P18" s="1"/>
  <c r="P15" s="1"/>
  <c r="O61"/>
  <c r="O18" s="1"/>
  <c r="O15" s="1"/>
  <c r="N15" s="1"/>
  <c r="N61"/>
  <c r="M61"/>
  <c r="M48" s="1"/>
  <c r="L61"/>
  <c r="K61"/>
  <c r="J61"/>
  <c r="I61"/>
  <c r="I19" s="1"/>
  <c r="H61"/>
  <c r="H19" s="1"/>
  <c r="G61"/>
  <c r="G19" s="1"/>
  <c r="Q19" s="1"/>
  <c r="F61"/>
  <c r="F19" s="1"/>
  <c r="E61"/>
  <c r="E48" s="1"/>
  <c r="Q60"/>
  <c r="Q59"/>
  <c r="P58"/>
  <c r="O58"/>
  <c r="N58"/>
  <c r="M58"/>
  <c r="L58"/>
  <c r="K58"/>
  <c r="J58"/>
  <c r="I58"/>
  <c r="H58"/>
  <c r="G58"/>
  <c r="F58"/>
  <c r="E58"/>
  <c r="Q57"/>
  <c r="P56"/>
  <c r="O56"/>
  <c r="O55" s="1"/>
  <c r="O54" s="1"/>
  <c r="N56"/>
  <c r="N55" s="1"/>
  <c r="M56"/>
  <c r="L56"/>
  <c r="K56"/>
  <c r="K55" s="1"/>
  <c r="K54" s="1"/>
  <c r="J56"/>
  <c r="J55" s="1"/>
  <c r="I56"/>
  <c r="H56"/>
  <c r="G56"/>
  <c r="F56"/>
  <c r="F55" s="1"/>
  <c r="E56"/>
  <c r="G55"/>
  <c r="G54" s="1"/>
  <c r="Q53"/>
  <c r="P52"/>
  <c r="O52"/>
  <c r="N52"/>
  <c r="M52"/>
  <c r="L52"/>
  <c r="K52"/>
  <c r="J52"/>
  <c r="I52"/>
  <c r="H52"/>
  <c r="G52"/>
  <c r="F52"/>
  <c r="E52"/>
  <c r="P51"/>
  <c r="O51"/>
  <c r="O50" s="1"/>
  <c r="M51"/>
  <c r="J51"/>
  <c r="J50" s="1"/>
  <c r="I51"/>
  <c r="H51"/>
  <c r="G51"/>
  <c r="G50" s="1"/>
  <c r="F51"/>
  <c r="F50" s="1"/>
  <c r="E51"/>
  <c r="P50"/>
  <c r="H50"/>
  <c r="P49"/>
  <c r="O49"/>
  <c r="N49"/>
  <c r="M49"/>
  <c r="L49"/>
  <c r="K49"/>
  <c r="J49"/>
  <c r="I49"/>
  <c r="H49"/>
  <c r="G49"/>
  <c r="F49"/>
  <c r="E49"/>
  <c r="P48"/>
  <c r="O48" s="1"/>
  <c r="N48"/>
  <c r="L48"/>
  <c r="J48"/>
  <c r="J47" s="1"/>
  <c r="I48"/>
  <c r="I47" s="1"/>
  <c r="E47"/>
  <c r="P46"/>
  <c r="P45" s="1"/>
  <c r="O46"/>
  <c r="O45" s="1"/>
  <c r="N45" s="1"/>
  <c r="N46"/>
  <c r="M46"/>
  <c r="M45" s="1"/>
  <c r="L46"/>
  <c r="L45" s="1"/>
  <c r="K46"/>
  <c r="J46"/>
  <c r="I46"/>
  <c r="I45" s="1"/>
  <c r="H46"/>
  <c r="H45" s="1"/>
  <c r="G46"/>
  <c r="G45" s="1"/>
  <c r="F45" s="1"/>
  <c r="F46"/>
  <c r="E46"/>
  <c r="E45" s="1"/>
  <c r="K45"/>
  <c r="J45" s="1"/>
  <c r="P44"/>
  <c r="O44"/>
  <c r="O43" s="1"/>
  <c r="N44"/>
  <c r="N43" s="1"/>
  <c r="M44"/>
  <c r="M43" s="1"/>
  <c r="L43" s="1"/>
  <c r="L44"/>
  <c r="K44"/>
  <c r="K43" s="1"/>
  <c r="J44"/>
  <c r="J43" s="1"/>
  <c r="I44"/>
  <c r="I43" s="1"/>
  <c r="H44"/>
  <c r="G44"/>
  <c r="G43" s="1"/>
  <c r="F44"/>
  <c r="F43" s="1"/>
  <c r="E44"/>
  <c r="E43" s="1"/>
  <c r="O42"/>
  <c r="O41" s="1"/>
  <c r="N42"/>
  <c r="M42" s="1"/>
  <c r="L42"/>
  <c r="J42"/>
  <c r="I42" s="1"/>
  <c r="F42"/>
  <c r="E42"/>
  <c r="L41"/>
  <c r="Q40"/>
  <c r="M39"/>
  <c r="L39"/>
  <c r="K39"/>
  <c r="Q37"/>
  <c r="P36"/>
  <c r="O36"/>
  <c r="N36"/>
  <c r="N31" s="1"/>
  <c r="M36"/>
  <c r="L36"/>
  <c r="K36"/>
  <c r="J36"/>
  <c r="I36"/>
  <c r="H36"/>
  <c r="G36"/>
  <c r="F36"/>
  <c r="E36"/>
  <c r="Q35"/>
  <c r="P34"/>
  <c r="O34"/>
  <c r="N34"/>
  <c r="M34"/>
  <c r="M31" s="1"/>
  <c r="L34"/>
  <c r="K34"/>
  <c r="J34"/>
  <c r="I34"/>
  <c r="H34"/>
  <c r="G34"/>
  <c r="F34"/>
  <c r="E34"/>
  <c r="H33"/>
  <c r="H32" s="1"/>
  <c r="H31" s="1"/>
  <c r="G31" s="1"/>
  <c r="F33"/>
  <c r="E33"/>
  <c r="E32" s="1"/>
  <c r="P32"/>
  <c r="O32"/>
  <c r="N32"/>
  <c r="M32"/>
  <c r="L32"/>
  <c r="K32"/>
  <c r="J32"/>
  <c r="J31" s="1"/>
  <c r="I32"/>
  <c r="G32"/>
  <c r="Q30"/>
  <c r="N29"/>
  <c r="N28" s="1"/>
  <c r="L29"/>
  <c r="L26" s="1"/>
  <c r="K29"/>
  <c r="K28" s="1"/>
  <c r="K27" s="1"/>
  <c r="J27" s="1"/>
  <c r="P28"/>
  <c r="P27" s="1"/>
  <c r="O28"/>
  <c r="M28"/>
  <c r="M27" s="1"/>
  <c r="J28"/>
  <c r="I28"/>
  <c r="I27" s="1"/>
  <c r="H28"/>
  <c r="H27" s="1"/>
  <c r="G28"/>
  <c r="G27" s="1"/>
  <c r="F27" s="1"/>
  <c r="F28"/>
  <c r="E28"/>
  <c r="E27" s="1"/>
  <c r="O27"/>
  <c r="P26"/>
  <c r="O26"/>
  <c r="O25" s="1"/>
  <c r="N26"/>
  <c r="N25" s="1"/>
  <c r="M26"/>
  <c r="M25" s="1"/>
  <c r="L25" s="1"/>
  <c r="K25" s="1"/>
  <c r="K26"/>
  <c r="J26"/>
  <c r="J25" s="1"/>
  <c r="I26"/>
  <c r="H26"/>
  <c r="G26"/>
  <c r="G25" s="1"/>
  <c r="F26"/>
  <c r="F25" s="1"/>
  <c r="E26"/>
  <c r="I25"/>
  <c r="P24"/>
  <c r="O24"/>
  <c r="N24"/>
  <c r="M24"/>
  <c r="J24"/>
  <c r="I24"/>
  <c r="H24"/>
  <c r="G24"/>
  <c r="F24"/>
  <c r="E24"/>
  <c r="E22" s="1"/>
  <c r="E20" s="1"/>
  <c r="P23"/>
  <c r="O23"/>
  <c r="M23"/>
  <c r="M22" s="1"/>
  <c r="K23"/>
  <c r="J23"/>
  <c r="I23"/>
  <c r="I22" s="1"/>
  <c r="H23"/>
  <c r="H22" s="1"/>
  <c r="G23"/>
  <c r="F23"/>
  <c r="E23"/>
  <c r="P21"/>
  <c r="O21"/>
  <c r="M21"/>
  <c r="K21"/>
  <c r="J21"/>
  <c r="I21"/>
  <c r="H21"/>
  <c r="G21"/>
  <c r="F21"/>
  <c r="E21"/>
  <c r="N18"/>
  <c r="M18"/>
  <c r="M15" s="1"/>
  <c r="L18"/>
  <c r="L15" s="1"/>
  <c r="J18"/>
  <c r="I18"/>
  <c r="H18"/>
  <c r="F18"/>
  <c r="E18"/>
  <c r="E15" s="1"/>
  <c r="Q17"/>
  <c r="Q16"/>
  <c r="I15"/>
  <c r="H15"/>
  <c r="P14"/>
  <c r="O14"/>
  <c r="N14"/>
  <c r="M14"/>
  <c r="K14"/>
  <c r="J14"/>
  <c r="I14"/>
  <c r="H14"/>
  <c r="G14"/>
  <c r="F14"/>
  <c r="F12" s="1"/>
  <c r="E14"/>
  <c r="P13"/>
  <c r="P12" s="1"/>
  <c r="O13"/>
  <c r="M13"/>
  <c r="K13"/>
  <c r="J13"/>
  <c r="J12" s="1"/>
  <c r="I13"/>
  <c r="H13"/>
  <c r="G13"/>
  <c r="F13"/>
  <c r="E13"/>
  <c r="H12"/>
  <c r="P11"/>
  <c r="P10" s="1"/>
  <c r="O10" s="1"/>
  <c r="O11"/>
  <c r="N11"/>
  <c r="M11"/>
  <c r="L11"/>
  <c r="L10" s="1"/>
  <c r="J11"/>
  <c r="J10" s="1"/>
  <c r="J8" s="1"/>
  <c r="I11"/>
  <c r="H11"/>
  <c r="H10" s="1"/>
  <c r="G11"/>
  <c r="F11"/>
  <c r="E11"/>
  <c r="E10" s="1"/>
  <c r="N10"/>
  <c r="M10"/>
  <c r="M8" s="1"/>
  <c r="I10"/>
  <c r="I8" s="1"/>
  <c r="F10"/>
  <c r="F8" s="1"/>
  <c r="N9"/>
  <c r="N8" s="1"/>
  <c r="L9"/>
  <c r="K9"/>
  <c r="N7"/>
  <c r="L7"/>
  <c r="K7"/>
  <c r="N6"/>
  <c r="L6"/>
  <c r="K6"/>
  <c r="P5"/>
  <c r="O5"/>
  <c r="M5"/>
  <c r="J5"/>
  <c r="I5"/>
  <c r="H5"/>
  <c r="G5"/>
  <c r="F5"/>
  <c r="E5"/>
  <c r="U73" i="24"/>
  <c r="U72"/>
  <c r="U71"/>
  <c r="U70"/>
  <c r="U69"/>
  <c r="U68"/>
  <c r="U67"/>
  <c r="T66"/>
  <c r="S66"/>
  <c r="R66"/>
  <c r="Q66"/>
  <c r="P66"/>
  <c r="O66"/>
  <c r="N66"/>
  <c r="M66"/>
  <c r="L66"/>
  <c r="K66"/>
  <c r="J66"/>
  <c r="I66"/>
  <c r="H66"/>
  <c r="G66"/>
  <c r="F66"/>
  <c r="E66"/>
  <c r="U65"/>
  <c r="U64"/>
  <c r="U63"/>
  <c r="U62"/>
  <c r="T61"/>
  <c r="T42" s="1"/>
  <c r="S61"/>
  <c r="R61"/>
  <c r="Q61"/>
  <c r="P61"/>
  <c r="O61"/>
  <c r="N61"/>
  <c r="M61"/>
  <c r="M48" s="1"/>
  <c r="L61"/>
  <c r="L48" s="1"/>
  <c r="K61"/>
  <c r="K19" s="1"/>
  <c r="J61"/>
  <c r="J19" s="1"/>
  <c r="I61"/>
  <c r="I19" s="1"/>
  <c r="H61"/>
  <c r="H19" s="1"/>
  <c r="G61"/>
  <c r="G19" s="1"/>
  <c r="F61"/>
  <c r="E61"/>
  <c r="E19" s="1"/>
  <c r="U60"/>
  <c r="U59"/>
  <c r="T58"/>
  <c r="S58"/>
  <c r="R58"/>
  <c r="Q58"/>
  <c r="P58"/>
  <c r="O58"/>
  <c r="N58"/>
  <c r="M58"/>
  <c r="L58"/>
  <c r="K58"/>
  <c r="J58"/>
  <c r="I58"/>
  <c r="H58"/>
  <c r="G58"/>
  <c r="F58"/>
  <c r="E58"/>
  <c r="U57"/>
  <c r="T56"/>
  <c r="S56"/>
  <c r="R56"/>
  <c r="Q56"/>
  <c r="Q55" s="1"/>
  <c r="P56"/>
  <c r="O56"/>
  <c r="O55" s="1"/>
  <c r="O54" s="1"/>
  <c r="N56"/>
  <c r="M56"/>
  <c r="L56"/>
  <c r="K56"/>
  <c r="K55" s="1"/>
  <c r="K54" s="1"/>
  <c r="J56"/>
  <c r="I56"/>
  <c r="I55" s="1"/>
  <c r="H56"/>
  <c r="G56"/>
  <c r="G55" s="1"/>
  <c r="G54" s="1"/>
  <c r="F56"/>
  <c r="E56"/>
  <c r="S55"/>
  <c r="S54" s="1"/>
  <c r="R55"/>
  <c r="N55"/>
  <c r="M55"/>
  <c r="L55" s="1"/>
  <c r="J55"/>
  <c r="J54" s="1"/>
  <c r="I54" s="1"/>
  <c r="F55"/>
  <c r="F54" s="1"/>
  <c r="E55"/>
  <c r="R54"/>
  <c r="N54"/>
  <c r="E54"/>
  <c r="U53"/>
  <c r="T52"/>
  <c r="S52"/>
  <c r="R52"/>
  <c r="Q52"/>
  <c r="P52"/>
  <c r="O52"/>
  <c r="N52"/>
  <c r="M52"/>
  <c r="L52"/>
  <c r="K52"/>
  <c r="J52"/>
  <c r="I52"/>
  <c r="H52"/>
  <c r="G52"/>
  <c r="F52"/>
  <c r="E52"/>
  <c r="T51"/>
  <c r="S51"/>
  <c r="R51"/>
  <c r="Q51"/>
  <c r="P51"/>
  <c r="P50" s="1"/>
  <c r="O51"/>
  <c r="O50" s="1"/>
  <c r="N51"/>
  <c r="N50" s="1"/>
  <c r="M50" s="1"/>
  <c r="M51"/>
  <c r="L51"/>
  <c r="K51"/>
  <c r="J51"/>
  <c r="J50" s="1"/>
  <c r="I50" s="1"/>
  <c r="I51"/>
  <c r="H51"/>
  <c r="H50" s="1"/>
  <c r="G51"/>
  <c r="G50" s="1"/>
  <c r="F51"/>
  <c r="F50" s="1"/>
  <c r="E51"/>
  <c r="T50"/>
  <c r="S50"/>
  <c r="R50"/>
  <c r="Q50" s="1"/>
  <c r="L50"/>
  <c r="K50"/>
  <c r="E50"/>
  <c r="T49"/>
  <c r="S49"/>
  <c r="R49"/>
  <c r="Q49"/>
  <c r="P49"/>
  <c r="O49"/>
  <c r="N49"/>
  <c r="M49"/>
  <c r="L49"/>
  <c r="K49"/>
  <c r="J49"/>
  <c r="I49"/>
  <c r="H49"/>
  <c r="G49"/>
  <c r="F49"/>
  <c r="E49"/>
  <c r="S48"/>
  <c r="R48"/>
  <c r="Q48"/>
  <c r="Q47" s="1"/>
  <c r="P48"/>
  <c r="O48"/>
  <c r="N48"/>
  <c r="N47" s="1"/>
  <c r="K48"/>
  <c r="J48"/>
  <c r="I48"/>
  <c r="I47" s="1"/>
  <c r="H48"/>
  <c r="G48"/>
  <c r="F48"/>
  <c r="F47" s="1"/>
  <c r="R47"/>
  <c r="J47"/>
  <c r="T46"/>
  <c r="S46"/>
  <c r="R46"/>
  <c r="Q46"/>
  <c r="Q45" s="1"/>
  <c r="P46"/>
  <c r="P45" s="1"/>
  <c r="O46"/>
  <c r="N46"/>
  <c r="M46"/>
  <c r="M45" s="1"/>
  <c r="L46"/>
  <c r="L45" s="1"/>
  <c r="K46"/>
  <c r="K45" s="1"/>
  <c r="J45" s="1"/>
  <c r="J46"/>
  <c r="I46"/>
  <c r="I45" s="1"/>
  <c r="H46"/>
  <c r="H45" s="1"/>
  <c r="G46"/>
  <c r="F46"/>
  <c r="E46"/>
  <c r="E45" s="1"/>
  <c r="T45"/>
  <c r="S45"/>
  <c r="R45" s="1"/>
  <c r="O45"/>
  <c r="G45"/>
  <c r="T44"/>
  <c r="S44"/>
  <c r="S43" s="1"/>
  <c r="R44"/>
  <c r="R43" s="1"/>
  <c r="Q44"/>
  <c r="P44"/>
  <c r="O44"/>
  <c r="O43" s="1"/>
  <c r="N44"/>
  <c r="M44"/>
  <c r="L44"/>
  <c r="K44"/>
  <c r="K43" s="1"/>
  <c r="J44"/>
  <c r="J43" s="1"/>
  <c r="I44"/>
  <c r="I43" s="1"/>
  <c r="H43" s="1"/>
  <c r="H44"/>
  <c r="G44"/>
  <c r="F44"/>
  <c r="E44"/>
  <c r="Q43"/>
  <c r="N43"/>
  <c r="M43"/>
  <c r="G43"/>
  <c r="F43"/>
  <c r="E43"/>
  <c r="R42"/>
  <c r="Q42"/>
  <c r="P42"/>
  <c r="O42" s="1"/>
  <c r="J42"/>
  <c r="I42"/>
  <c r="I41" s="1"/>
  <c r="H42"/>
  <c r="G42" s="1"/>
  <c r="Q41"/>
  <c r="H41"/>
  <c r="G41" s="1"/>
  <c r="U40"/>
  <c r="U39"/>
  <c r="U37"/>
  <c r="T36"/>
  <c r="S36"/>
  <c r="R36"/>
  <c r="Q36"/>
  <c r="P36"/>
  <c r="O36"/>
  <c r="N36"/>
  <c r="M36"/>
  <c r="L36"/>
  <c r="K36"/>
  <c r="J36"/>
  <c r="I36"/>
  <c r="H36"/>
  <c r="G36"/>
  <c r="F36"/>
  <c r="E36"/>
  <c r="U35"/>
  <c r="T34"/>
  <c r="S34"/>
  <c r="R34"/>
  <c r="Q34"/>
  <c r="P34"/>
  <c r="O34"/>
  <c r="N34"/>
  <c r="M34"/>
  <c r="L34"/>
  <c r="K34"/>
  <c r="J34"/>
  <c r="I34"/>
  <c r="H34"/>
  <c r="G34"/>
  <c r="F34"/>
  <c r="E34"/>
  <c r="U33"/>
  <c r="T32"/>
  <c r="S32"/>
  <c r="S31" s="1"/>
  <c r="R31" s="1"/>
  <c r="R32"/>
  <c r="Q32"/>
  <c r="P32"/>
  <c r="O32"/>
  <c r="N32"/>
  <c r="M32"/>
  <c r="M31" s="1"/>
  <c r="L31" s="1"/>
  <c r="L32"/>
  <c r="K32"/>
  <c r="K31" s="1"/>
  <c r="J31" s="1"/>
  <c r="J32"/>
  <c r="I32"/>
  <c r="H32"/>
  <c r="G32"/>
  <c r="F32"/>
  <c r="E32"/>
  <c r="O31"/>
  <c r="N31" s="1"/>
  <c r="E31"/>
  <c r="U30"/>
  <c r="U29"/>
  <c r="T28"/>
  <c r="S28"/>
  <c r="S27" s="1"/>
  <c r="R28"/>
  <c r="R27" s="1"/>
  <c r="Q28"/>
  <c r="Q27" s="1"/>
  <c r="P27" s="1"/>
  <c r="P28"/>
  <c r="O28"/>
  <c r="N28"/>
  <c r="N27" s="1"/>
  <c r="M28"/>
  <c r="M27" s="1"/>
  <c r="L28"/>
  <c r="K28"/>
  <c r="J28"/>
  <c r="J27" s="1"/>
  <c r="I28"/>
  <c r="I27" s="1"/>
  <c r="H27" s="1"/>
  <c r="H28"/>
  <c r="G28"/>
  <c r="G27" s="1"/>
  <c r="F28"/>
  <c r="F27" s="1"/>
  <c r="E28"/>
  <c r="E27" s="1"/>
  <c r="O27"/>
  <c r="K27"/>
  <c r="T26"/>
  <c r="S26"/>
  <c r="R26"/>
  <c r="Q26"/>
  <c r="Q25" s="1"/>
  <c r="P26"/>
  <c r="P25" s="1"/>
  <c r="O26"/>
  <c r="N26"/>
  <c r="M26"/>
  <c r="L26"/>
  <c r="L25" s="1"/>
  <c r="K26"/>
  <c r="K25" s="1"/>
  <c r="J25" s="1"/>
  <c r="J26"/>
  <c r="I26"/>
  <c r="I25" s="1"/>
  <c r="H26"/>
  <c r="H25" s="1"/>
  <c r="G26"/>
  <c r="G25" s="1"/>
  <c r="F25" s="1"/>
  <c r="F26"/>
  <c r="E26"/>
  <c r="T25"/>
  <c r="S25"/>
  <c r="R25" s="1"/>
  <c r="O25"/>
  <c r="N25" s="1"/>
  <c r="M25"/>
  <c r="E25"/>
  <c r="T24"/>
  <c r="S24"/>
  <c r="R24"/>
  <c r="Q24"/>
  <c r="P24"/>
  <c r="O24"/>
  <c r="N24"/>
  <c r="M24"/>
  <c r="L24"/>
  <c r="K24"/>
  <c r="J24"/>
  <c r="I24"/>
  <c r="H24"/>
  <c r="G24"/>
  <c r="F24"/>
  <c r="E24"/>
  <c r="T23"/>
  <c r="S23"/>
  <c r="S22" s="1"/>
  <c r="R23"/>
  <c r="Q23"/>
  <c r="P23"/>
  <c r="O23"/>
  <c r="O22" s="1"/>
  <c r="N23"/>
  <c r="M23"/>
  <c r="L23"/>
  <c r="K23"/>
  <c r="K22" s="1"/>
  <c r="J23"/>
  <c r="I23"/>
  <c r="H23"/>
  <c r="G23"/>
  <c r="G22" s="1"/>
  <c r="F23"/>
  <c r="E23"/>
  <c r="E22" s="1"/>
  <c r="R22"/>
  <c r="Q22" s="1"/>
  <c r="P22" s="1"/>
  <c r="N22"/>
  <c r="J22"/>
  <c r="F22"/>
  <c r="T21"/>
  <c r="S21"/>
  <c r="R21"/>
  <c r="Q21"/>
  <c r="P21"/>
  <c r="O21"/>
  <c r="N21"/>
  <c r="M21"/>
  <c r="L21"/>
  <c r="K21"/>
  <c r="J21"/>
  <c r="I21"/>
  <c r="H21"/>
  <c r="G21"/>
  <c r="F21"/>
  <c r="E21"/>
  <c r="T18"/>
  <c r="S18"/>
  <c r="S15" s="1"/>
  <c r="R15" s="1"/>
  <c r="R18"/>
  <c r="Q18"/>
  <c r="Q15" s="1"/>
  <c r="P15" s="1"/>
  <c r="P18"/>
  <c r="O18"/>
  <c r="M18"/>
  <c r="L18"/>
  <c r="K18"/>
  <c r="K15" s="1"/>
  <c r="J15" s="1"/>
  <c r="J18"/>
  <c r="I18"/>
  <c r="I15" s="1"/>
  <c r="H18"/>
  <c r="G18"/>
  <c r="E18"/>
  <c r="U17"/>
  <c r="U16"/>
  <c r="O15"/>
  <c r="M15"/>
  <c r="G15"/>
  <c r="E15"/>
  <c r="T14"/>
  <c r="S14"/>
  <c r="R14"/>
  <c r="Q14"/>
  <c r="P14"/>
  <c r="O14"/>
  <c r="N14"/>
  <c r="M14"/>
  <c r="L14"/>
  <c r="K14"/>
  <c r="J14"/>
  <c r="I14"/>
  <c r="H14"/>
  <c r="G14"/>
  <c r="F14"/>
  <c r="E14"/>
  <c r="T13"/>
  <c r="S13"/>
  <c r="R13"/>
  <c r="Q13"/>
  <c r="Q12" s="1"/>
  <c r="P13"/>
  <c r="O13"/>
  <c r="N13"/>
  <c r="M13"/>
  <c r="M12" s="1"/>
  <c r="L13"/>
  <c r="K13"/>
  <c r="J13"/>
  <c r="I13"/>
  <c r="I12" s="1"/>
  <c r="H13"/>
  <c r="G13"/>
  <c r="F13"/>
  <c r="E13"/>
  <c r="E12" s="1"/>
  <c r="T12"/>
  <c r="P12"/>
  <c r="O12" s="1"/>
  <c r="N12" s="1"/>
  <c r="L12"/>
  <c r="H12"/>
  <c r="G12" s="1"/>
  <c r="F12" s="1"/>
  <c r="T11"/>
  <c r="T10" s="1"/>
  <c r="T8" s="1"/>
  <c r="S11"/>
  <c r="S10" s="1"/>
  <c r="R11"/>
  <c r="Q11"/>
  <c r="P11"/>
  <c r="P10" s="1"/>
  <c r="P8" s="1"/>
  <c r="O8" s="1"/>
  <c r="O11"/>
  <c r="O10" s="1"/>
  <c r="M11"/>
  <c r="L11"/>
  <c r="L10" s="1"/>
  <c r="L8" s="1"/>
  <c r="K11"/>
  <c r="K10" s="1"/>
  <c r="J11"/>
  <c r="J10" s="1"/>
  <c r="I10" s="1"/>
  <c r="I11"/>
  <c r="H11"/>
  <c r="G11"/>
  <c r="E11"/>
  <c r="E10" s="1"/>
  <c r="E8" s="1"/>
  <c r="R10"/>
  <c r="Q10" s="1"/>
  <c r="H10"/>
  <c r="H8" s="1"/>
  <c r="G8" s="1"/>
  <c r="G10"/>
  <c r="U9"/>
  <c r="U7"/>
  <c r="U6"/>
  <c r="T5"/>
  <c r="S5"/>
  <c r="R5"/>
  <c r="Q5"/>
  <c r="P5"/>
  <c r="O5"/>
  <c r="N5"/>
  <c r="M5"/>
  <c r="L5"/>
  <c r="K5"/>
  <c r="J5"/>
  <c r="I5"/>
  <c r="H5"/>
  <c r="G5"/>
  <c r="F5"/>
  <c r="E5"/>
  <c r="X73" i="23"/>
  <c r="X72"/>
  <c r="X71"/>
  <c r="X70"/>
  <c r="X69"/>
  <c r="X68"/>
  <c r="X67"/>
  <c r="W66"/>
  <c r="V66"/>
  <c r="U66"/>
  <c r="T66"/>
  <c r="S66"/>
  <c r="R66"/>
  <c r="Q66"/>
  <c r="P66"/>
  <c r="O66"/>
  <c r="N66"/>
  <c r="M66"/>
  <c r="L66"/>
  <c r="K66"/>
  <c r="J66"/>
  <c r="I66"/>
  <c r="H66"/>
  <c r="G66"/>
  <c r="F66"/>
  <c r="E66"/>
  <c r="X65"/>
  <c r="X64"/>
  <c r="X63"/>
  <c r="X62"/>
  <c r="W61"/>
  <c r="V61"/>
  <c r="U61"/>
  <c r="U48" s="1"/>
  <c r="U47" s="1"/>
  <c r="T61"/>
  <c r="S61"/>
  <c r="R61"/>
  <c r="Q61"/>
  <c r="P61"/>
  <c r="O61"/>
  <c r="N61"/>
  <c r="N19" s="1"/>
  <c r="M61"/>
  <c r="M19" s="1"/>
  <c r="L61"/>
  <c r="L19" s="1"/>
  <c r="K61"/>
  <c r="K19" s="1"/>
  <c r="J61"/>
  <c r="J19" s="1"/>
  <c r="I61"/>
  <c r="H61"/>
  <c r="H19" s="1"/>
  <c r="G61"/>
  <c r="G19" s="1"/>
  <c r="F61"/>
  <c r="F19" s="1"/>
  <c r="E61"/>
  <c r="E19" s="1"/>
  <c r="X60"/>
  <c r="X59"/>
  <c r="W58"/>
  <c r="V58"/>
  <c r="U58"/>
  <c r="T58"/>
  <c r="S58"/>
  <c r="R58"/>
  <c r="Q58"/>
  <c r="P58"/>
  <c r="O58"/>
  <c r="N58"/>
  <c r="M58"/>
  <c r="L58"/>
  <c r="K58"/>
  <c r="J58"/>
  <c r="I58"/>
  <c r="H58"/>
  <c r="G58"/>
  <c r="F58"/>
  <c r="E58"/>
  <c r="U57"/>
  <c r="N57"/>
  <c r="L57"/>
  <c r="G57"/>
  <c r="W56"/>
  <c r="W55" s="1"/>
  <c r="W54" s="1"/>
  <c r="V56"/>
  <c r="V55" s="1"/>
  <c r="V54" s="1"/>
  <c r="U56"/>
  <c r="T56"/>
  <c r="S56"/>
  <c r="R56"/>
  <c r="R55" s="1"/>
  <c r="R54" s="1"/>
  <c r="Q56"/>
  <c r="Q55" s="1"/>
  <c r="Q54" s="1"/>
  <c r="P56"/>
  <c r="O56"/>
  <c r="O55" s="1"/>
  <c r="O54" s="1"/>
  <c r="N56"/>
  <c r="N55" s="1"/>
  <c r="M56"/>
  <c r="M55" s="1"/>
  <c r="M54" s="1"/>
  <c r="L56"/>
  <c r="K56"/>
  <c r="J56"/>
  <c r="I56"/>
  <c r="I55" s="1"/>
  <c r="I54" s="1"/>
  <c r="H56"/>
  <c r="G56"/>
  <c r="F56"/>
  <c r="F55" s="1"/>
  <c r="F54" s="1"/>
  <c r="E56"/>
  <c r="U55"/>
  <c r="T55"/>
  <c r="S55"/>
  <c r="P55"/>
  <c r="L55"/>
  <c r="L54" s="1"/>
  <c r="K55"/>
  <c r="K54" s="1"/>
  <c r="J55"/>
  <c r="J54" s="1"/>
  <c r="H55"/>
  <c r="G55"/>
  <c r="E55"/>
  <c r="E54" s="1"/>
  <c r="U54"/>
  <c r="T54"/>
  <c r="S54"/>
  <c r="P54"/>
  <c r="H54"/>
  <c r="G54" s="1"/>
  <c r="X53"/>
  <c r="W52"/>
  <c r="V52"/>
  <c r="U52"/>
  <c r="T52"/>
  <c r="S52"/>
  <c r="R52"/>
  <c r="Q52"/>
  <c r="P52"/>
  <c r="O52"/>
  <c r="N52"/>
  <c r="M52"/>
  <c r="L52"/>
  <c r="K52"/>
  <c r="J52"/>
  <c r="I52"/>
  <c r="H52"/>
  <c r="G52"/>
  <c r="F52"/>
  <c r="E52"/>
  <c r="W51"/>
  <c r="V51"/>
  <c r="V50" s="1"/>
  <c r="T51"/>
  <c r="T50" s="1"/>
  <c r="R51"/>
  <c r="R50" s="1"/>
  <c r="Q51"/>
  <c r="P51"/>
  <c r="O51"/>
  <c r="M51"/>
  <c r="K51"/>
  <c r="J51"/>
  <c r="J50" s="1"/>
  <c r="I51"/>
  <c r="I50" s="1"/>
  <c r="H51"/>
  <c r="H50" s="1"/>
  <c r="E51"/>
  <c r="E50" s="1"/>
  <c r="W50"/>
  <c r="Q50"/>
  <c r="P50"/>
  <c r="O50"/>
  <c r="M50"/>
  <c r="K50"/>
  <c r="W49"/>
  <c r="V49"/>
  <c r="U49"/>
  <c r="T49"/>
  <c r="T47" s="1"/>
  <c r="S49"/>
  <c r="R49"/>
  <c r="Q49"/>
  <c r="P49"/>
  <c r="O49"/>
  <c r="N49"/>
  <c r="M49"/>
  <c r="L49"/>
  <c r="K49"/>
  <c r="K47" s="1"/>
  <c r="J49"/>
  <c r="I49"/>
  <c r="H49"/>
  <c r="G49"/>
  <c r="F49"/>
  <c r="E49"/>
  <c r="W48"/>
  <c r="V48"/>
  <c r="T48"/>
  <c r="S48"/>
  <c r="R48"/>
  <c r="R47" s="1"/>
  <c r="P48"/>
  <c r="P47" s="1"/>
  <c r="O48"/>
  <c r="N48"/>
  <c r="M48"/>
  <c r="L48"/>
  <c r="K48"/>
  <c r="J48"/>
  <c r="J47" s="1"/>
  <c r="H48"/>
  <c r="H47" s="1"/>
  <c r="G48"/>
  <c r="G47" s="1"/>
  <c r="F48"/>
  <c r="E48"/>
  <c r="E47" s="1"/>
  <c r="M47"/>
  <c r="L47"/>
  <c r="W46"/>
  <c r="V46"/>
  <c r="U46"/>
  <c r="U45" s="1"/>
  <c r="T46"/>
  <c r="T45" s="1"/>
  <c r="S46"/>
  <c r="S45" s="1"/>
  <c r="R46"/>
  <c r="Q46"/>
  <c r="P46"/>
  <c r="P45" s="1"/>
  <c r="O46"/>
  <c r="N46"/>
  <c r="M46"/>
  <c r="M45" s="1"/>
  <c r="L46"/>
  <c r="L45" s="1"/>
  <c r="K46"/>
  <c r="K45" s="1"/>
  <c r="J46"/>
  <c r="I46"/>
  <c r="I45" s="1"/>
  <c r="H46"/>
  <c r="G46"/>
  <c r="F46"/>
  <c r="E46"/>
  <c r="W45"/>
  <c r="V45"/>
  <c r="R45"/>
  <c r="Q45"/>
  <c r="O45"/>
  <c r="N45"/>
  <c r="J45"/>
  <c r="H45"/>
  <c r="G45"/>
  <c r="F45"/>
  <c r="W44"/>
  <c r="V44"/>
  <c r="U44"/>
  <c r="U43" s="1"/>
  <c r="T44"/>
  <c r="T43" s="1"/>
  <c r="S44"/>
  <c r="S43" s="1"/>
  <c r="R44"/>
  <c r="R43" s="1"/>
  <c r="Q44"/>
  <c r="Q43" s="1"/>
  <c r="P44"/>
  <c r="O44"/>
  <c r="N44"/>
  <c r="M44"/>
  <c r="L44"/>
  <c r="L43" s="1"/>
  <c r="K44"/>
  <c r="K43" s="1"/>
  <c r="J44"/>
  <c r="J43" s="1"/>
  <c r="I44"/>
  <c r="H44"/>
  <c r="G44"/>
  <c r="G43" s="1"/>
  <c r="F44"/>
  <c r="F43" s="1"/>
  <c r="E44"/>
  <c r="E43" s="1"/>
  <c r="W43"/>
  <c r="V43"/>
  <c r="P43"/>
  <c r="O43"/>
  <c r="N43"/>
  <c r="M43"/>
  <c r="I43"/>
  <c r="H43"/>
  <c r="W42"/>
  <c r="V42"/>
  <c r="V41" s="1"/>
  <c r="U42"/>
  <c r="T42"/>
  <c r="S42"/>
  <c r="R42"/>
  <c r="R41" s="1"/>
  <c r="P42"/>
  <c r="P41" s="1"/>
  <c r="O42"/>
  <c r="O41" s="1"/>
  <c r="N42"/>
  <c r="N41" s="1"/>
  <c r="M42"/>
  <c r="M41" s="1"/>
  <c r="M38" s="1"/>
  <c r="L42"/>
  <c r="K42"/>
  <c r="K41" s="1"/>
  <c r="J42"/>
  <c r="J41" s="1"/>
  <c r="H42"/>
  <c r="H41" s="1"/>
  <c r="G42"/>
  <c r="F42"/>
  <c r="E42"/>
  <c r="E41" s="1"/>
  <c r="W41"/>
  <c r="U41"/>
  <c r="T41"/>
  <c r="S41"/>
  <c r="L41"/>
  <c r="G41"/>
  <c r="F41"/>
  <c r="Q40"/>
  <c r="U39"/>
  <c r="Q39"/>
  <c r="X37"/>
  <c r="W36"/>
  <c r="V36"/>
  <c r="U36"/>
  <c r="T36"/>
  <c r="S36"/>
  <c r="R36"/>
  <c r="Q36"/>
  <c r="P36"/>
  <c r="O36"/>
  <c r="N36"/>
  <c r="M36"/>
  <c r="L36"/>
  <c r="K36"/>
  <c r="J36"/>
  <c r="I36"/>
  <c r="H36"/>
  <c r="G36"/>
  <c r="F36"/>
  <c r="E36"/>
  <c r="S35"/>
  <c r="P35"/>
  <c r="L35"/>
  <c r="L34" s="1"/>
  <c r="G35"/>
  <c r="G34" s="1"/>
  <c r="G31" s="1"/>
  <c r="F35"/>
  <c r="E35"/>
  <c r="W34"/>
  <c r="V34"/>
  <c r="U34"/>
  <c r="T34"/>
  <c r="S34"/>
  <c r="R34"/>
  <c r="Q34"/>
  <c r="O34"/>
  <c r="N34"/>
  <c r="M34"/>
  <c r="K34"/>
  <c r="J34"/>
  <c r="I34"/>
  <c r="H34"/>
  <c r="F34"/>
  <c r="E34"/>
  <c r="Q33"/>
  <c r="Q32" s="1"/>
  <c r="P33"/>
  <c r="P32" s="1"/>
  <c r="H33"/>
  <c r="F33"/>
  <c r="E33"/>
  <c r="W32"/>
  <c r="V32"/>
  <c r="U32"/>
  <c r="T32"/>
  <c r="S32"/>
  <c r="S31" s="1"/>
  <c r="R32"/>
  <c r="O32"/>
  <c r="N32"/>
  <c r="M32"/>
  <c r="L32"/>
  <c r="K32"/>
  <c r="J32"/>
  <c r="I32"/>
  <c r="G32"/>
  <c r="F32"/>
  <c r="E32"/>
  <c r="W31"/>
  <c r="O31"/>
  <c r="N31" s="1"/>
  <c r="M31" s="1"/>
  <c r="X30"/>
  <c r="U29"/>
  <c r="U51" s="1"/>
  <c r="S29"/>
  <c r="N29"/>
  <c r="L29"/>
  <c r="L28" s="1"/>
  <c r="G29"/>
  <c r="F29"/>
  <c r="F51" s="1"/>
  <c r="F50" s="1"/>
  <c r="W28"/>
  <c r="V28"/>
  <c r="T28"/>
  <c r="T27" s="1"/>
  <c r="S28"/>
  <c r="S27" s="1"/>
  <c r="R28"/>
  <c r="R27" s="1"/>
  <c r="Q28"/>
  <c r="P28"/>
  <c r="O28"/>
  <c r="O27" s="1"/>
  <c r="M28"/>
  <c r="M27" s="1"/>
  <c r="K28"/>
  <c r="K27" s="1"/>
  <c r="J28"/>
  <c r="J27" s="1"/>
  <c r="I28"/>
  <c r="I27" s="1"/>
  <c r="H28"/>
  <c r="G28"/>
  <c r="E28"/>
  <c r="E27" s="1"/>
  <c r="W27"/>
  <c r="V27"/>
  <c r="Q27"/>
  <c r="P27"/>
  <c r="H27"/>
  <c r="G27"/>
  <c r="W26"/>
  <c r="V26"/>
  <c r="U26"/>
  <c r="T26"/>
  <c r="S26"/>
  <c r="S25" s="1"/>
  <c r="R26"/>
  <c r="R25" s="1"/>
  <c r="Q26"/>
  <c r="Q25" s="1"/>
  <c r="P26"/>
  <c r="P25" s="1"/>
  <c r="O26"/>
  <c r="M26"/>
  <c r="L26"/>
  <c r="K26"/>
  <c r="J26"/>
  <c r="J25" s="1"/>
  <c r="I26"/>
  <c r="I25" s="1"/>
  <c r="H26"/>
  <c r="H25" s="1"/>
  <c r="G26"/>
  <c r="F26"/>
  <c r="E26"/>
  <c r="E25" s="1"/>
  <c r="W25"/>
  <c r="V25"/>
  <c r="U25"/>
  <c r="T25"/>
  <c r="O25"/>
  <c r="M25"/>
  <c r="L25" s="1"/>
  <c r="K25"/>
  <c r="G25"/>
  <c r="F25"/>
  <c r="W24"/>
  <c r="V24"/>
  <c r="U24"/>
  <c r="T24"/>
  <c r="S24"/>
  <c r="R24"/>
  <c r="Q24"/>
  <c r="Q22" s="1"/>
  <c r="P24"/>
  <c r="O24"/>
  <c r="M24"/>
  <c r="L24"/>
  <c r="K24"/>
  <c r="J24"/>
  <c r="I24"/>
  <c r="H24"/>
  <c r="H22" s="1"/>
  <c r="G24"/>
  <c r="F24"/>
  <c r="E24"/>
  <c r="W23"/>
  <c r="V23"/>
  <c r="U23"/>
  <c r="T23"/>
  <c r="T22" s="1"/>
  <c r="T20" s="1"/>
  <c r="S23"/>
  <c r="S22" s="1"/>
  <c r="S20" s="1"/>
  <c r="R23"/>
  <c r="Q23"/>
  <c r="P23"/>
  <c r="O23"/>
  <c r="M23"/>
  <c r="L23"/>
  <c r="K23"/>
  <c r="K22" s="1"/>
  <c r="K20" s="1"/>
  <c r="J23"/>
  <c r="J22" s="1"/>
  <c r="I23"/>
  <c r="H23"/>
  <c r="G23"/>
  <c r="F23"/>
  <c r="E23"/>
  <c r="W22"/>
  <c r="V22"/>
  <c r="U22"/>
  <c r="R22"/>
  <c r="O22"/>
  <c r="M22"/>
  <c r="I22"/>
  <c r="G22"/>
  <c r="G20" s="1"/>
  <c r="F22"/>
  <c r="F20" s="1"/>
  <c r="E22"/>
  <c r="W21"/>
  <c r="V21"/>
  <c r="U21"/>
  <c r="U20" s="1"/>
  <c r="T21"/>
  <c r="S21"/>
  <c r="R21"/>
  <c r="R20" s="1"/>
  <c r="Q21"/>
  <c r="Q20" s="1"/>
  <c r="P21"/>
  <c r="O21"/>
  <c r="M21"/>
  <c r="L21"/>
  <c r="K21"/>
  <c r="J21"/>
  <c r="I21"/>
  <c r="H21"/>
  <c r="G21"/>
  <c r="F21"/>
  <c r="E21"/>
  <c r="E20" s="1"/>
  <c r="V20"/>
  <c r="M20"/>
  <c r="I20"/>
  <c r="W18"/>
  <c r="V18"/>
  <c r="U18"/>
  <c r="T18"/>
  <c r="S18"/>
  <c r="R18"/>
  <c r="P18"/>
  <c r="O18"/>
  <c r="N18"/>
  <c r="M18"/>
  <c r="L18"/>
  <c r="K18"/>
  <c r="J18"/>
  <c r="H18"/>
  <c r="G18"/>
  <c r="F18"/>
  <c r="E18"/>
  <c r="X17" s="1"/>
  <c r="H17"/>
  <c r="H15" s="1"/>
  <c r="G15" s="1"/>
  <c r="F15" s="1"/>
  <c r="X16"/>
  <c r="T15"/>
  <c r="P15"/>
  <c r="O15" s="1"/>
  <c r="N15" s="1"/>
  <c r="M15" s="1"/>
  <c r="L15"/>
  <c r="K15" s="1"/>
  <c r="W14"/>
  <c r="V14"/>
  <c r="U14"/>
  <c r="T14"/>
  <c r="S14"/>
  <c r="R14"/>
  <c r="Q14"/>
  <c r="P14"/>
  <c r="O14"/>
  <c r="O12" s="1"/>
  <c r="M14"/>
  <c r="L14"/>
  <c r="K14"/>
  <c r="J14"/>
  <c r="I14"/>
  <c r="H14"/>
  <c r="G14"/>
  <c r="F14"/>
  <c r="E14"/>
  <c r="W13"/>
  <c r="V13"/>
  <c r="U13"/>
  <c r="U12" s="1"/>
  <c r="T13"/>
  <c r="S13"/>
  <c r="R13"/>
  <c r="Q13"/>
  <c r="P13"/>
  <c r="P12" s="1"/>
  <c r="O13"/>
  <c r="M13"/>
  <c r="M12" s="1"/>
  <c r="L13"/>
  <c r="K13"/>
  <c r="K12" s="1"/>
  <c r="J13"/>
  <c r="I13"/>
  <c r="I12" s="1"/>
  <c r="H13"/>
  <c r="H12" s="1"/>
  <c r="G13"/>
  <c r="G12" s="1"/>
  <c r="F13"/>
  <c r="E13"/>
  <c r="E12" s="1"/>
  <c r="W12"/>
  <c r="V12"/>
  <c r="S12"/>
  <c r="R12"/>
  <c r="Q12"/>
  <c r="L12"/>
  <c r="J12"/>
  <c r="W11"/>
  <c r="V11" s="1"/>
  <c r="U11"/>
  <c r="T11"/>
  <c r="T10" s="1"/>
  <c r="S11"/>
  <c r="R11" s="1"/>
  <c r="P11"/>
  <c r="P10" s="1"/>
  <c r="O11"/>
  <c r="N11" s="1"/>
  <c r="M11"/>
  <c r="M10" s="1"/>
  <c r="M8" s="1"/>
  <c r="L11"/>
  <c r="K11"/>
  <c r="J11" s="1"/>
  <c r="H11"/>
  <c r="H10" s="1"/>
  <c r="G11"/>
  <c r="F11" s="1"/>
  <c r="E11"/>
  <c r="W10"/>
  <c r="V10" s="1"/>
  <c r="U10"/>
  <c r="U8" s="1"/>
  <c r="T8" s="1"/>
  <c r="S10"/>
  <c r="R10" s="1"/>
  <c r="L10"/>
  <c r="K10"/>
  <c r="J10" s="1"/>
  <c r="G10"/>
  <c r="F10"/>
  <c r="E10"/>
  <c r="U9"/>
  <c r="S9"/>
  <c r="P9"/>
  <c r="N9"/>
  <c r="L9"/>
  <c r="G9"/>
  <c r="G8" s="1"/>
  <c r="F9"/>
  <c r="F8" s="1"/>
  <c r="E9"/>
  <c r="E8" s="1"/>
  <c r="U7"/>
  <c r="S7"/>
  <c r="P7"/>
  <c r="N7"/>
  <c r="L7"/>
  <c r="G7"/>
  <c r="F7"/>
  <c r="E7"/>
  <c r="U6"/>
  <c r="U5" s="1"/>
  <c r="S6"/>
  <c r="S5" s="1"/>
  <c r="P6"/>
  <c r="N6"/>
  <c r="L6"/>
  <c r="G6"/>
  <c r="F6"/>
  <c r="E6"/>
  <c r="E5" s="1"/>
  <c r="W5"/>
  <c r="V5"/>
  <c r="T5"/>
  <c r="R5"/>
  <c r="Q5"/>
  <c r="O5"/>
  <c r="N5" s="1"/>
  <c r="M5"/>
  <c r="L5" s="1"/>
  <c r="K5"/>
  <c r="J5"/>
  <c r="I5"/>
  <c r="H5"/>
  <c r="G5"/>
  <c r="F5" s="1"/>
  <c r="Y73" i="22"/>
  <c r="Y72"/>
  <c r="Y71"/>
  <c r="Y70"/>
  <c r="Y69"/>
  <c r="Y68"/>
  <c r="Y67"/>
  <c r="X66"/>
  <c r="W66"/>
  <c r="V66"/>
  <c r="U66"/>
  <c r="T66"/>
  <c r="S66"/>
  <c r="R66"/>
  <c r="Q66"/>
  <c r="P66"/>
  <c r="O66"/>
  <c r="N66"/>
  <c r="M66"/>
  <c r="L66"/>
  <c r="K66"/>
  <c r="J66"/>
  <c r="I66"/>
  <c r="H66"/>
  <c r="G66"/>
  <c r="F66"/>
  <c r="E66"/>
  <c r="Y65"/>
  <c r="Y64"/>
  <c r="Y63"/>
  <c r="Y62"/>
  <c r="X61"/>
  <c r="W61"/>
  <c r="W19" s="1"/>
  <c r="V61"/>
  <c r="U61"/>
  <c r="U48" s="1"/>
  <c r="T61"/>
  <c r="S61"/>
  <c r="R61"/>
  <c r="R48" s="1"/>
  <c r="Q61"/>
  <c r="Q48" s="1"/>
  <c r="P61"/>
  <c r="O61"/>
  <c r="N61"/>
  <c r="M61"/>
  <c r="M19" s="1"/>
  <c r="L61"/>
  <c r="L19" s="1"/>
  <c r="K61"/>
  <c r="K19" s="1"/>
  <c r="J61"/>
  <c r="J19" s="1"/>
  <c r="I61"/>
  <c r="I19" s="1"/>
  <c r="H61"/>
  <c r="H19" s="1"/>
  <c r="G61"/>
  <c r="G19" s="1"/>
  <c r="F61"/>
  <c r="F19" s="1"/>
  <c r="E61"/>
  <c r="E19" s="1"/>
  <c r="Y60"/>
  <c r="Y59"/>
  <c r="X58"/>
  <c r="W58"/>
  <c r="V58"/>
  <c r="U58"/>
  <c r="T58"/>
  <c r="S58"/>
  <c r="R58"/>
  <c r="Q58"/>
  <c r="P58"/>
  <c r="O58"/>
  <c r="N58"/>
  <c r="M58"/>
  <c r="L58"/>
  <c r="K58"/>
  <c r="J58"/>
  <c r="I58"/>
  <c r="H58"/>
  <c r="G58"/>
  <c r="F58"/>
  <c r="E58"/>
  <c r="Y57"/>
  <c r="X56"/>
  <c r="W56"/>
  <c r="W55" s="1"/>
  <c r="W54" s="1"/>
  <c r="V56"/>
  <c r="U56"/>
  <c r="U55" s="1"/>
  <c r="T56"/>
  <c r="S56"/>
  <c r="R56"/>
  <c r="Q56"/>
  <c r="Q55" s="1"/>
  <c r="P56"/>
  <c r="O56"/>
  <c r="N56"/>
  <c r="M56"/>
  <c r="M55" s="1"/>
  <c r="L55" s="1"/>
  <c r="L56"/>
  <c r="K56"/>
  <c r="J56"/>
  <c r="J55" s="1"/>
  <c r="J54" s="1"/>
  <c r="I56"/>
  <c r="I55" s="1"/>
  <c r="H55" s="1"/>
  <c r="H56"/>
  <c r="G56"/>
  <c r="G55" s="1"/>
  <c r="G54" s="1"/>
  <c r="F56"/>
  <c r="E56"/>
  <c r="E55" s="1"/>
  <c r="V55"/>
  <c r="V54" s="1"/>
  <c r="U54" s="1"/>
  <c r="S55"/>
  <c r="S54" s="1"/>
  <c r="R55"/>
  <c r="R54" s="1"/>
  <c r="O55"/>
  <c r="O54" s="1"/>
  <c r="N55"/>
  <c r="K55"/>
  <c r="K54" s="1"/>
  <c r="F55"/>
  <c r="N54"/>
  <c r="F54"/>
  <c r="Y53"/>
  <c r="X52"/>
  <c r="W52"/>
  <c r="V52"/>
  <c r="U52"/>
  <c r="T52"/>
  <c r="S52"/>
  <c r="R52"/>
  <c r="Q52"/>
  <c r="P52"/>
  <c r="O52"/>
  <c r="N52"/>
  <c r="M52"/>
  <c r="L52"/>
  <c r="K52"/>
  <c r="J52"/>
  <c r="I52"/>
  <c r="H52"/>
  <c r="G52"/>
  <c r="F52"/>
  <c r="E52"/>
  <c r="X51"/>
  <c r="J51"/>
  <c r="J50" s="1"/>
  <c r="G51"/>
  <c r="X50"/>
  <c r="X49"/>
  <c r="W49"/>
  <c r="V49"/>
  <c r="U49"/>
  <c r="T49"/>
  <c r="S49"/>
  <c r="R49"/>
  <c r="Q49"/>
  <c r="P49"/>
  <c r="O49"/>
  <c r="N49"/>
  <c r="M49"/>
  <c r="L49"/>
  <c r="K49"/>
  <c r="J49"/>
  <c r="I49"/>
  <c r="H49"/>
  <c r="G49"/>
  <c r="F49"/>
  <c r="E49"/>
  <c r="X48"/>
  <c r="W48" s="1"/>
  <c r="V48"/>
  <c r="T48"/>
  <c r="S48" s="1"/>
  <c r="P48"/>
  <c r="O48" s="1"/>
  <c r="N48"/>
  <c r="M48"/>
  <c r="M47" s="1"/>
  <c r="L48"/>
  <c r="K48" s="1"/>
  <c r="I48"/>
  <c r="H48"/>
  <c r="G48" s="1"/>
  <c r="F48"/>
  <c r="E48"/>
  <c r="E47" s="1"/>
  <c r="I47"/>
  <c r="X46"/>
  <c r="W46"/>
  <c r="V46"/>
  <c r="U46"/>
  <c r="U45" s="1"/>
  <c r="T45" s="1"/>
  <c r="T46"/>
  <c r="S46"/>
  <c r="R46"/>
  <c r="Q46"/>
  <c r="Q45" s="1"/>
  <c r="P45" s="1"/>
  <c r="P46"/>
  <c r="O46"/>
  <c r="O45" s="1"/>
  <c r="N46"/>
  <c r="M46"/>
  <c r="M45" s="1"/>
  <c r="L46"/>
  <c r="K46"/>
  <c r="K45" s="1"/>
  <c r="J46"/>
  <c r="I46"/>
  <c r="I45" s="1"/>
  <c r="H45" s="1"/>
  <c r="H46"/>
  <c r="G46"/>
  <c r="F46"/>
  <c r="E46"/>
  <c r="E45" s="1"/>
  <c r="W45"/>
  <c r="V45" s="1"/>
  <c r="S45"/>
  <c r="R45" s="1"/>
  <c r="G45"/>
  <c r="F45" s="1"/>
  <c r="X44"/>
  <c r="W44"/>
  <c r="W43" s="1"/>
  <c r="V44"/>
  <c r="V43" s="1"/>
  <c r="U44"/>
  <c r="U43" s="1"/>
  <c r="T43" s="1"/>
  <c r="T44"/>
  <c r="S44"/>
  <c r="R44"/>
  <c r="R43" s="1"/>
  <c r="Q44"/>
  <c r="P44"/>
  <c r="O44"/>
  <c r="O43" s="1"/>
  <c r="N44"/>
  <c r="N43" s="1"/>
  <c r="M44"/>
  <c r="M43" s="1"/>
  <c r="L44"/>
  <c r="K44"/>
  <c r="J44"/>
  <c r="J43" s="1"/>
  <c r="I44"/>
  <c r="H44"/>
  <c r="G44"/>
  <c r="G43" s="1"/>
  <c r="F44"/>
  <c r="F43" s="1"/>
  <c r="E44"/>
  <c r="E43" s="1"/>
  <c r="S43"/>
  <c r="Q43"/>
  <c r="K43"/>
  <c r="I43"/>
  <c r="H43" s="1"/>
  <c r="X42"/>
  <c r="W42"/>
  <c r="W41" s="1"/>
  <c r="V41" s="1"/>
  <c r="V42"/>
  <c r="U42" s="1"/>
  <c r="T42"/>
  <c r="T41" s="1"/>
  <c r="S42"/>
  <c r="P42"/>
  <c r="P41" s="1"/>
  <c r="O42"/>
  <c r="N42"/>
  <c r="M42" s="1"/>
  <c r="L42"/>
  <c r="L41" s="1"/>
  <c r="K42"/>
  <c r="J42"/>
  <c r="I42" s="1"/>
  <c r="H42"/>
  <c r="H41" s="1"/>
  <c r="G42"/>
  <c r="F42"/>
  <c r="E42"/>
  <c r="X41"/>
  <c r="S41"/>
  <c r="O41"/>
  <c r="N41" s="1"/>
  <c r="K41"/>
  <c r="G41"/>
  <c r="E41"/>
  <c r="Q40"/>
  <c r="Q39"/>
  <c r="Y39" s="1"/>
  <c r="Y37"/>
  <c r="X36"/>
  <c r="W36"/>
  <c r="V36"/>
  <c r="U36"/>
  <c r="T36"/>
  <c r="S36"/>
  <c r="R36"/>
  <c r="Q36"/>
  <c r="P36"/>
  <c r="O36"/>
  <c r="N36"/>
  <c r="M36"/>
  <c r="L36"/>
  <c r="K36"/>
  <c r="J36"/>
  <c r="I36"/>
  <c r="H36"/>
  <c r="G36"/>
  <c r="F36"/>
  <c r="E36"/>
  <c r="W35"/>
  <c r="W34" s="1"/>
  <c r="V34" s="1"/>
  <c r="V35"/>
  <c r="U35"/>
  <c r="U34" s="1"/>
  <c r="U31" s="1"/>
  <c r="T35"/>
  <c r="T34" s="1"/>
  <c r="S35"/>
  <c r="S34" s="1"/>
  <c r="R35"/>
  <c r="P35"/>
  <c r="P34" s="1"/>
  <c r="O35"/>
  <c r="N35"/>
  <c r="M35"/>
  <c r="L35"/>
  <c r="K35"/>
  <c r="K34" s="1"/>
  <c r="I35"/>
  <c r="I34" s="1"/>
  <c r="H35"/>
  <c r="F35"/>
  <c r="E35"/>
  <c r="X34"/>
  <c r="X31" s="1"/>
  <c r="Q34"/>
  <c r="O34"/>
  <c r="N34" s="1"/>
  <c r="M34"/>
  <c r="L34"/>
  <c r="J34"/>
  <c r="H34"/>
  <c r="G34"/>
  <c r="E34"/>
  <c r="W33"/>
  <c r="R33"/>
  <c r="P33"/>
  <c r="P32" s="1"/>
  <c r="P31" s="1"/>
  <c r="O33"/>
  <c r="M33"/>
  <c r="K33"/>
  <c r="K32" s="1"/>
  <c r="K31" s="1"/>
  <c r="J31" s="1"/>
  <c r="I33"/>
  <c r="H33"/>
  <c r="F33"/>
  <c r="F32" s="1"/>
  <c r="X32"/>
  <c r="W32"/>
  <c r="W31" s="1"/>
  <c r="V32"/>
  <c r="U32"/>
  <c r="T32"/>
  <c r="S32"/>
  <c r="R32"/>
  <c r="Q32"/>
  <c r="Q31" s="1"/>
  <c r="O32"/>
  <c r="O31" s="1"/>
  <c r="N32"/>
  <c r="M32" s="1"/>
  <c r="L32"/>
  <c r="J32"/>
  <c r="I32" s="1"/>
  <c r="H32"/>
  <c r="G32"/>
  <c r="E32"/>
  <c r="E31" s="1"/>
  <c r="L31"/>
  <c r="H31"/>
  <c r="G31"/>
  <c r="Y30"/>
  <c r="W29"/>
  <c r="W26" s="1"/>
  <c r="W25" s="1"/>
  <c r="V29"/>
  <c r="U29"/>
  <c r="U26" s="1"/>
  <c r="T29"/>
  <c r="S29"/>
  <c r="S51" s="1"/>
  <c r="R29"/>
  <c r="R28" s="1"/>
  <c r="Q29"/>
  <c r="P29"/>
  <c r="P26" s="1"/>
  <c r="O29"/>
  <c r="O26" s="1"/>
  <c r="O25" s="1"/>
  <c r="N29"/>
  <c r="M29"/>
  <c r="M26" s="1"/>
  <c r="L29"/>
  <c r="K29"/>
  <c r="K51" s="1"/>
  <c r="I29"/>
  <c r="I28" s="1"/>
  <c r="I27" s="1"/>
  <c r="H29"/>
  <c r="F29"/>
  <c r="F51" s="1"/>
  <c r="E29"/>
  <c r="E51" s="1"/>
  <c r="X28"/>
  <c r="X27" s="1"/>
  <c r="V28"/>
  <c r="T28"/>
  <c r="S28"/>
  <c r="Q28"/>
  <c r="N28"/>
  <c r="M28"/>
  <c r="M27" s="1"/>
  <c r="L27" s="1"/>
  <c r="K27" s="1"/>
  <c r="L28"/>
  <c r="K28"/>
  <c r="J28"/>
  <c r="H28"/>
  <c r="G28"/>
  <c r="T27"/>
  <c r="Q27"/>
  <c r="J27"/>
  <c r="X26"/>
  <c r="V26"/>
  <c r="T26"/>
  <c r="S26"/>
  <c r="S25" s="1"/>
  <c r="Q26"/>
  <c r="N26"/>
  <c r="N25" s="1"/>
  <c r="L26"/>
  <c r="K26"/>
  <c r="K25" s="1"/>
  <c r="J26"/>
  <c r="I26"/>
  <c r="H26"/>
  <c r="G26"/>
  <c r="X25"/>
  <c r="V25"/>
  <c r="J25"/>
  <c r="G25"/>
  <c r="X24"/>
  <c r="W24"/>
  <c r="V24"/>
  <c r="U24"/>
  <c r="T24"/>
  <c r="R24"/>
  <c r="Q24"/>
  <c r="O24"/>
  <c r="N24"/>
  <c r="M24"/>
  <c r="L24"/>
  <c r="J24"/>
  <c r="I24"/>
  <c r="H24"/>
  <c r="G24"/>
  <c r="E24"/>
  <c r="X23"/>
  <c r="W23"/>
  <c r="W22" s="1"/>
  <c r="V22" s="1"/>
  <c r="V23"/>
  <c r="U23"/>
  <c r="T23"/>
  <c r="S23"/>
  <c r="R23"/>
  <c r="Q23"/>
  <c r="Q22" s="1"/>
  <c r="O23"/>
  <c r="N23"/>
  <c r="M23"/>
  <c r="M22" s="1"/>
  <c r="L22" s="1"/>
  <c r="L23"/>
  <c r="K23"/>
  <c r="J23"/>
  <c r="J22" s="1"/>
  <c r="I22" s="1"/>
  <c r="H22" s="1"/>
  <c r="I23"/>
  <c r="H23"/>
  <c r="G23"/>
  <c r="G22" s="1"/>
  <c r="E23"/>
  <c r="X21"/>
  <c r="W21"/>
  <c r="V21"/>
  <c r="U21"/>
  <c r="T21"/>
  <c r="S21"/>
  <c r="R21"/>
  <c r="Q21"/>
  <c r="O21"/>
  <c r="N21"/>
  <c r="M21"/>
  <c r="L21"/>
  <c r="K21"/>
  <c r="J21"/>
  <c r="I21"/>
  <c r="H21"/>
  <c r="G21"/>
  <c r="E21"/>
  <c r="X18"/>
  <c r="W18"/>
  <c r="V18"/>
  <c r="U18"/>
  <c r="U15" s="1"/>
  <c r="T18"/>
  <c r="T15" s="1"/>
  <c r="S15" s="1"/>
  <c r="S18"/>
  <c r="R18"/>
  <c r="R15" s="1"/>
  <c r="Q18"/>
  <c r="Q15" s="1"/>
  <c r="P18"/>
  <c r="O18"/>
  <c r="N18"/>
  <c r="M18"/>
  <c r="L18"/>
  <c r="L15" s="1"/>
  <c r="K15" s="1"/>
  <c r="K18"/>
  <c r="J18"/>
  <c r="J15" s="1"/>
  <c r="I18"/>
  <c r="I15" s="1"/>
  <c r="H18"/>
  <c r="G18"/>
  <c r="F18"/>
  <c r="E18"/>
  <c r="Y17"/>
  <c r="Y16"/>
  <c r="X15"/>
  <c r="W15" s="1"/>
  <c r="V15"/>
  <c r="P15"/>
  <c r="O15" s="1"/>
  <c r="N15"/>
  <c r="M15"/>
  <c r="H15"/>
  <c r="F15"/>
  <c r="E15"/>
  <c r="X14"/>
  <c r="W14"/>
  <c r="V14"/>
  <c r="U14"/>
  <c r="T14"/>
  <c r="S14"/>
  <c r="R14"/>
  <c r="Q14"/>
  <c r="P14"/>
  <c r="O14"/>
  <c r="N14"/>
  <c r="M14"/>
  <c r="L14"/>
  <c r="K14"/>
  <c r="J14"/>
  <c r="I14"/>
  <c r="H14"/>
  <c r="G14"/>
  <c r="E14"/>
  <c r="X13"/>
  <c r="W13"/>
  <c r="W12" s="1"/>
  <c r="V12" s="1"/>
  <c r="V13"/>
  <c r="U13"/>
  <c r="T13"/>
  <c r="S13"/>
  <c r="R13"/>
  <c r="Q13"/>
  <c r="O13"/>
  <c r="O12" s="1"/>
  <c r="N12" s="1"/>
  <c r="M12" s="1"/>
  <c r="L12" s="1"/>
  <c r="N13"/>
  <c r="M13"/>
  <c r="L13"/>
  <c r="K13"/>
  <c r="K12" s="1"/>
  <c r="J12" s="1"/>
  <c r="I12" s="1"/>
  <c r="J13"/>
  <c r="I13"/>
  <c r="H13"/>
  <c r="G13"/>
  <c r="G12" s="1"/>
  <c r="E13"/>
  <c r="E12" s="1"/>
  <c r="X11"/>
  <c r="W11"/>
  <c r="V11"/>
  <c r="V10" s="1"/>
  <c r="V8" s="1"/>
  <c r="U11"/>
  <c r="T11"/>
  <c r="S11"/>
  <c r="Q11"/>
  <c r="Q10" s="1"/>
  <c r="P11"/>
  <c r="O11"/>
  <c r="O10" s="1"/>
  <c r="N11"/>
  <c r="N10" s="1"/>
  <c r="M11"/>
  <c r="L11"/>
  <c r="K11"/>
  <c r="K10" s="1"/>
  <c r="I11"/>
  <c r="I10" s="1"/>
  <c r="H11"/>
  <c r="G11"/>
  <c r="G10" s="1"/>
  <c r="F11"/>
  <c r="F10" s="1"/>
  <c r="F8" s="1"/>
  <c r="E11"/>
  <c r="E10" s="1"/>
  <c r="E8" s="1"/>
  <c r="W10"/>
  <c r="U10"/>
  <c r="S10"/>
  <c r="M10"/>
  <c r="L10" s="1"/>
  <c r="W9"/>
  <c r="V9"/>
  <c r="U9"/>
  <c r="T9"/>
  <c r="S9"/>
  <c r="R9"/>
  <c r="Q9"/>
  <c r="P9"/>
  <c r="O9"/>
  <c r="N9"/>
  <c r="M9"/>
  <c r="L9"/>
  <c r="K9"/>
  <c r="I9"/>
  <c r="H9"/>
  <c r="F9"/>
  <c r="E9"/>
  <c r="W7"/>
  <c r="V7"/>
  <c r="U7"/>
  <c r="U5" s="1"/>
  <c r="T5" s="1"/>
  <c r="T7"/>
  <c r="S7"/>
  <c r="R7"/>
  <c r="Q7"/>
  <c r="Q5" s="1"/>
  <c r="P7"/>
  <c r="O7"/>
  <c r="N7"/>
  <c r="M7"/>
  <c r="L7"/>
  <c r="K7"/>
  <c r="I7"/>
  <c r="H7"/>
  <c r="F7"/>
  <c r="E7"/>
  <c r="W6"/>
  <c r="V6"/>
  <c r="V5" s="1"/>
  <c r="U6"/>
  <c r="T6"/>
  <c r="S6"/>
  <c r="S5" s="1"/>
  <c r="R6"/>
  <c r="R5" s="1"/>
  <c r="Q6"/>
  <c r="P6"/>
  <c r="O6"/>
  <c r="N6"/>
  <c r="M6"/>
  <c r="L6"/>
  <c r="K6"/>
  <c r="I6"/>
  <c r="I5" s="1"/>
  <c r="H5" s="1"/>
  <c r="H6"/>
  <c r="F6"/>
  <c r="E6"/>
  <c r="X5"/>
  <c r="N5"/>
  <c r="K5"/>
  <c r="J5"/>
  <c r="G5"/>
  <c r="K73" i="21"/>
  <c r="K72"/>
  <c r="K71"/>
  <c r="K70"/>
  <c r="K69"/>
  <c r="K68"/>
  <c r="K67"/>
  <c r="J66"/>
  <c r="I66"/>
  <c r="H66"/>
  <c r="G66"/>
  <c r="F66"/>
  <c r="E66"/>
  <c r="K65"/>
  <c r="K64"/>
  <c r="K63"/>
  <c r="K62"/>
  <c r="J61"/>
  <c r="I61"/>
  <c r="I48" s="1"/>
  <c r="H61"/>
  <c r="G61"/>
  <c r="F61"/>
  <c r="F19" s="1"/>
  <c r="E61"/>
  <c r="E19" s="1"/>
  <c r="K60"/>
  <c r="K59"/>
  <c r="J58"/>
  <c r="I58"/>
  <c r="H58"/>
  <c r="G58"/>
  <c r="F58"/>
  <c r="E58"/>
  <c r="K57"/>
  <c r="J56"/>
  <c r="J55" s="1"/>
  <c r="J54" s="1"/>
  <c r="I56"/>
  <c r="I55" s="1"/>
  <c r="H56"/>
  <c r="G56"/>
  <c r="F56"/>
  <c r="F55" s="1"/>
  <c r="F54" s="1"/>
  <c r="E56"/>
  <c r="E55" s="1"/>
  <c r="G55"/>
  <c r="K53"/>
  <c r="J52"/>
  <c r="I52"/>
  <c r="H52"/>
  <c r="G52"/>
  <c r="F52"/>
  <c r="E52"/>
  <c r="J51"/>
  <c r="J50" s="1"/>
  <c r="I50" s="1"/>
  <c r="I51"/>
  <c r="H51"/>
  <c r="H50" s="1"/>
  <c r="G51"/>
  <c r="G50" s="1"/>
  <c r="F51"/>
  <c r="F50" s="1"/>
  <c r="E51"/>
  <c r="J49"/>
  <c r="I49"/>
  <c r="H49"/>
  <c r="G49"/>
  <c r="F49"/>
  <c r="E49"/>
  <c r="J48"/>
  <c r="H48"/>
  <c r="F48"/>
  <c r="E48"/>
  <c r="J46"/>
  <c r="I46"/>
  <c r="I45" s="1"/>
  <c r="H45" s="1"/>
  <c r="H46"/>
  <c r="G46"/>
  <c r="G45" s="1"/>
  <c r="F46"/>
  <c r="E46"/>
  <c r="J45"/>
  <c r="F45"/>
  <c r="E45"/>
  <c r="J44"/>
  <c r="I44"/>
  <c r="H44"/>
  <c r="H43" s="1"/>
  <c r="G44"/>
  <c r="F44"/>
  <c r="E44"/>
  <c r="I43"/>
  <c r="G43"/>
  <c r="F43" s="1"/>
  <c r="J42"/>
  <c r="I42" s="1"/>
  <c r="H42"/>
  <c r="F42"/>
  <c r="E42" s="1"/>
  <c r="E40"/>
  <c r="K39"/>
  <c r="K37"/>
  <c r="J36"/>
  <c r="I36"/>
  <c r="H36"/>
  <c r="G36"/>
  <c r="F36"/>
  <c r="E36"/>
  <c r="K35"/>
  <c r="K34" s="1"/>
  <c r="J34"/>
  <c r="I34"/>
  <c r="H34"/>
  <c r="G34"/>
  <c r="F34"/>
  <c r="E34"/>
  <c r="I33"/>
  <c r="I32" s="1"/>
  <c r="I31" s="1"/>
  <c r="H31" s="1"/>
  <c r="G33"/>
  <c r="G32" s="1"/>
  <c r="G31" s="1"/>
  <c r="J32"/>
  <c r="H32"/>
  <c r="F32"/>
  <c r="F31" s="1"/>
  <c r="E32"/>
  <c r="J31"/>
  <c r="K30"/>
  <c r="K29"/>
  <c r="J28"/>
  <c r="I28"/>
  <c r="I27" s="1"/>
  <c r="H28"/>
  <c r="H27" s="1"/>
  <c r="G28"/>
  <c r="F28"/>
  <c r="E28"/>
  <c r="E27" s="1"/>
  <c r="J27"/>
  <c r="F27"/>
  <c r="J26"/>
  <c r="J25" s="1"/>
  <c r="I25" s="1"/>
  <c r="I26"/>
  <c r="H26"/>
  <c r="H25" s="1"/>
  <c r="G26"/>
  <c r="G25" s="1"/>
  <c r="F26"/>
  <c r="F25" s="1"/>
  <c r="E26"/>
  <c r="J24"/>
  <c r="I24"/>
  <c r="I22" s="1"/>
  <c r="H24"/>
  <c r="G24"/>
  <c r="F24"/>
  <c r="E24"/>
  <c r="J23"/>
  <c r="I23"/>
  <c r="H23"/>
  <c r="H22" s="1"/>
  <c r="G23"/>
  <c r="F23"/>
  <c r="E23"/>
  <c r="J21"/>
  <c r="I21"/>
  <c r="H21"/>
  <c r="G21"/>
  <c r="F21"/>
  <c r="E21"/>
  <c r="K19"/>
  <c r="J18"/>
  <c r="I18"/>
  <c r="H18"/>
  <c r="H15" s="1"/>
  <c r="F18"/>
  <c r="E18"/>
  <c r="K17"/>
  <c r="K16"/>
  <c r="J14"/>
  <c r="I14"/>
  <c r="H14"/>
  <c r="G14"/>
  <c r="F14"/>
  <c r="E14"/>
  <c r="J13"/>
  <c r="I13"/>
  <c r="I12" s="1"/>
  <c r="H13"/>
  <c r="H12" s="1"/>
  <c r="G12" s="1"/>
  <c r="F12" s="1"/>
  <c r="G13"/>
  <c r="F13"/>
  <c r="E13"/>
  <c r="E12" s="1"/>
  <c r="J11"/>
  <c r="I11"/>
  <c r="I10" s="1"/>
  <c r="H11"/>
  <c r="G11"/>
  <c r="G10" s="1"/>
  <c r="G8" s="1"/>
  <c r="F11"/>
  <c r="F10" s="1"/>
  <c r="F8" s="1"/>
  <c r="E11"/>
  <c r="J10"/>
  <c r="E10"/>
  <c r="K9"/>
  <c r="J8"/>
  <c r="E8"/>
  <c r="K7"/>
  <c r="K6"/>
  <c r="J5"/>
  <c r="I5"/>
  <c r="H5"/>
  <c r="G5"/>
  <c r="F5"/>
  <c r="E5"/>
  <c r="J73" i="20"/>
  <c r="J72"/>
  <c r="J71"/>
  <c r="J70"/>
  <c r="J69"/>
  <c r="J68"/>
  <c r="J67"/>
  <c r="I66"/>
  <c r="H66"/>
  <c r="G66"/>
  <c r="F66"/>
  <c r="E66"/>
  <c r="J65"/>
  <c r="J64"/>
  <c r="J63"/>
  <c r="J62"/>
  <c r="I61"/>
  <c r="I19" s="1"/>
  <c r="H61"/>
  <c r="G61"/>
  <c r="F61"/>
  <c r="E61"/>
  <c r="J60"/>
  <c r="J59"/>
  <c r="I58"/>
  <c r="H58"/>
  <c r="G58"/>
  <c r="F58"/>
  <c r="E58"/>
  <c r="J57"/>
  <c r="I56"/>
  <c r="H56"/>
  <c r="H55" s="1"/>
  <c r="G55" s="1"/>
  <c r="G56"/>
  <c r="F56"/>
  <c r="E56"/>
  <c r="E55" s="1"/>
  <c r="I55"/>
  <c r="J53"/>
  <c r="I52"/>
  <c r="H52"/>
  <c r="G52"/>
  <c r="F52"/>
  <c r="E52"/>
  <c r="I51"/>
  <c r="I50" s="1"/>
  <c r="H50" s="1"/>
  <c r="H51"/>
  <c r="G51"/>
  <c r="F51"/>
  <c r="F50" s="1"/>
  <c r="E51"/>
  <c r="E50"/>
  <c r="I49"/>
  <c r="H49"/>
  <c r="G49"/>
  <c r="F49"/>
  <c r="E49"/>
  <c r="H48"/>
  <c r="F48"/>
  <c r="E48"/>
  <c r="H47"/>
  <c r="I46"/>
  <c r="H46"/>
  <c r="G46"/>
  <c r="G45" s="1"/>
  <c r="F45" s="1"/>
  <c r="E45" s="1"/>
  <c r="F46"/>
  <c r="E46"/>
  <c r="J46" s="1"/>
  <c r="H45"/>
  <c r="I44"/>
  <c r="H44"/>
  <c r="H43" s="1"/>
  <c r="G44"/>
  <c r="F44"/>
  <c r="E44"/>
  <c r="E43" s="1"/>
  <c r="G43"/>
  <c r="F43" s="1"/>
  <c r="I42"/>
  <c r="H42"/>
  <c r="F42"/>
  <c r="E42"/>
  <c r="H41"/>
  <c r="J40"/>
  <c r="J39"/>
  <c r="J37"/>
  <c r="I36"/>
  <c r="H36"/>
  <c r="G36"/>
  <c r="F36"/>
  <c r="E36"/>
  <c r="J35"/>
  <c r="I34"/>
  <c r="H34"/>
  <c r="G34"/>
  <c r="F34"/>
  <c r="E34"/>
  <c r="J33"/>
  <c r="I32"/>
  <c r="H32"/>
  <c r="G32"/>
  <c r="G31" s="1"/>
  <c r="F32"/>
  <c r="F31" s="1"/>
  <c r="E31" s="1"/>
  <c r="E32"/>
  <c r="J30"/>
  <c r="J29"/>
  <c r="I28"/>
  <c r="I27" s="1"/>
  <c r="H28"/>
  <c r="H27" s="1"/>
  <c r="G28"/>
  <c r="G27" s="1"/>
  <c r="F28"/>
  <c r="E28"/>
  <c r="E27" s="1"/>
  <c r="I26"/>
  <c r="I25" s="1"/>
  <c r="H26"/>
  <c r="H25" s="1"/>
  <c r="G26"/>
  <c r="G25" s="1"/>
  <c r="F25" s="1"/>
  <c r="F26"/>
  <c r="E26"/>
  <c r="E25"/>
  <c r="I24"/>
  <c r="H24"/>
  <c r="G24"/>
  <c r="F24"/>
  <c r="E24"/>
  <c r="I23"/>
  <c r="H23"/>
  <c r="G23"/>
  <c r="F23"/>
  <c r="F22" s="1"/>
  <c r="E23"/>
  <c r="I22"/>
  <c r="I21"/>
  <c r="H21"/>
  <c r="G21"/>
  <c r="F21"/>
  <c r="F20" s="1"/>
  <c r="E21"/>
  <c r="I20"/>
  <c r="J19"/>
  <c r="I18"/>
  <c r="H18"/>
  <c r="H15" s="1"/>
  <c r="F18"/>
  <c r="F15" s="1"/>
  <c r="E18"/>
  <c r="J17"/>
  <c r="J16"/>
  <c r="I15"/>
  <c r="E15"/>
  <c r="I14"/>
  <c r="H14"/>
  <c r="G14"/>
  <c r="F14"/>
  <c r="E14"/>
  <c r="I13"/>
  <c r="H13"/>
  <c r="H12" s="1"/>
  <c r="G13"/>
  <c r="F13"/>
  <c r="F12" s="1"/>
  <c r="E13"/>
  <c r="E12"/>
  <c r="I11"/>
  <c r="H11"/>
  <c r="H10" s="1"/>
  <c r="F11"/>
  <c r="F10" s="1"/>
  <c r="F8" s="1"/>
  <c r="E11"/>
  <c r="E10" s="1"/>
  <c r="J9"/>
  <c r="J7"/>
  <c r="J6"/>
  <c r="I5"/>
  <c r="H5"/>
  <c r="G5"/>
  <c r="F5"/>
  <c r="E5"/>
  <c r="S42" i="24" l="1"/>
  <c r="T41"/>
  <c r="S41" s="1"/>
  <c r="R41" s="1"/>
  <c r="K38" i="23"/>
  <c r="J38" s="1"/>
  <c r="F74" i="28"/>
  <c r="F3"/>
  <c r="J54" i="26"/>
  <c r="Y44" i="22"/>
  <c r="P55"/>
  <c r="X6" i="23"/>
  <c r="T12"/>
  <c r="S15"/>
  <c r="R15" s="1"/>
  <c r="J20"/>
  <c r="W20"/>
  <c r="F28"/>
  <c r="F27" s="1"/>
  <c r="L42" i="24"/>
  <c r="M54"/>
  <c r="L54" s="1"/>
  <c r="H55"/>
  <c r="P55"/>
  <c r="L13" i="25"/>
  <c r="L31"/>
  <c r="K31" s="1"/>
  <c r="Q33"/>
  <c r="P42"/>
  <c r="P41" s="1"/>
  <c r="H43"/>
  <c r="E25" i="26"/>
  <c r="L42"/>
  <c r="L41" s="1"/>
  <c r="G27" i="21"/>
  <c r="O22" i="22"/>
  <c r="N22" s="1"/>
  <c r="N20" s="1"/>
  <c r="U28"/>
  <c r="U27" s="1"/>
  <c r="N31"/>
  <c r="M31" s="1"/>
  <c r="M41"/>
  <c r="I54"/>
  <c r="H54" s="1"/>
  <c r="F12" i="23"/>
  <c r="S12" i="24"/>
  <c r="R12" s="1"/>
  <c r="P41"/>
  <c r="M42"/>
  <c r="M41" s="1"/>
  <c r="E12" i="25"/>
  <c r="G18"/>
  <c r="G15" s="1"/>
  <c r="F15" s="1"/>
  <c r="L23"/>
  <c r="N47"/>
  <c r="H22" i="26"/>
  <c r="G22" s="1"/>
  <c r="H34"/>
  <c r="H31" s="1"/>
  <c r="M56"/>
  <c r="L4" i="27"/>
  <c r="M8" i="28"/>
  <c r="F27" i="20"/>
  <c r="J27" s="1"/>
  <c r="I47" i="21"/>
  <c r="T31" i="22"/>
  <c r="H38" i="23"/>
  <c r="T48" i="24"/>
  <c r="N13" i="25"/>
  <c r="N12" s="1"/>
  <c r="L21"/>
  <c r="G42"/>
  <c r="G41" s="1"/>
  <c r="F41" s="1"/>
  <c r="H48"/>
  <c r="G48" s="1"/>
  <c r="M5" i="22"/>
  <c r="L47"/>
  <c r="K47" s="1"/>
  <c r="Q47"/>
  <c r="P47" s="1"/>
  <c r="O47" s="1"/>
  <c r="N47" s="1"/>
  <c r="O20" i="23"/>
  <c r="R31"/>
  <c r="Q31" s="1"/>
  <c r="V47"/>
  <c r="S47"/>
  <c r="E48" i="24"/>
  <c r="E47"/>
  <c r="U46" s="1"/>
  <c r="M47"/>
  <c r="L47" s="1"/>
  <c r="K47" s="1"/>
  <c r="G12" i="25"/>
  <c r="O12"/>
  <c r="F22"/>
  <c r="F20" s="1"/>
  <c r="N23"/>
  <c r="Q23" s="1"/>
  <c r="J22"/>
  <c r="J20" s="1"/>
  <c r="I20" s="1"/>
  <c r="F32"/>
  <c r="F31" s="1"/>
  <c r="H42"/>
  <c r="H41" s="1"/>
  <c r="F54" i="26"/>
  <c r="O48" i="28"/>
  <c r="E47" i="20"/>
  <c r="E47" i="21"/>
  <c r="T55" i="22"/>
  <c r="T54" s="1"/>
  <c r="Y19"/>
  <c r="S8" i="23"/>
  <c r="R8" s="1"/>
  <c r="R4" s="1"/>
  <c r="R74" s="1"/>
  <c r="O10"/>
  <c r="E15"/>
  <c r="N47"/>
  <c r="W47"/>
  <c r="I31" i="24"/>
  <c r="H31" s="1"/>
  <c r="Q31"/>
  <c r="P31" s="1"/>
  <c r="G31"/>
  <c r="F31" s="1"/>
  <c r="E42"/>
  <c r="E41" s="1"/>
  <c r="L14" i="25"/>
  <c r="L12" s="1"/>
  <c r="K12" s="1"/>
  <c r="N21"/>
  <c r="L24"/>
  <c r="L22" s="1"/>
  <c r="M47"/>
  <c r="L47" s="1"/>
  <c r="K31" i="26"/>
  <c r="J31" s="1"/>
  <c r="I31" s="1"/>
  <c r="M31" s="1"/>
  <c r="I47"/>
  <c r="H47" s="1"/>
  <c r="G47" s="1"/>
  <c r="J4" i="27"/>
  <c r="I4" s="1"/>
  <c r="Y29" i="22"/>
  <c r="V31"/>
  <c r="H47"/>
  <c r="G47" s="1"/>
  <c r="F47" s="1"/>
  <c r="W8" i="23"/>
  <c r="V8" s="1"/>
  <c r="P22"/>
  <c r="P20" s="1"/>
  <c r="U28"/>
  <c r="U27" s="1"/>
  <c r="K31"/>
  <c r="J31" s="1"/>
  <c r="I31" s="1"/>
  <c r="F47"/>
  <c r="O47"/>
  <c r="O38" s="1"/>
  <c r="L15" i="24"/>
  <c r="H15"/>
  <c r="G10" i="25"/>
  <c r="P22"/>
  <c r="I31"/>
  <c r="G18" i="26"/>
  <c r="G15" s="1"/>
  <c r="F15" s="1"/>
  <c r="G42"/>
  <c r="E48"/>
  <c r="K4" i="28"/>
  <c r="G50" i="20"/>
  <c r="J50" s="1"/>
  <c r="J41" i="21"/>
  <c r="I41" s="1"/>
  <c r="F5" i="22"/>
  <c r="M8"/>
  <c r="L8" s="1"/>
  <c r="U8"/>
  <c r="S12"/>
  <c r="R12" s="1"/>
  <c r="Q12" s="1"/>
  <c r="U22"/>
  <c r="T22" s="1"/>
  <c r="E28"/>
  <c r="E27" s="1"/>
  <c r="H20" i="23"/>
  <c r="H54" i="24"/>
  <c r="E47" i="26"/>
  <c r="G12" i="20"/>
  <c r="J14"/>
  <c r="H27" i="22"/>
  <c r="G27" s="1"/>
  <c r="U47"/>
  <c r="T47" s="1"/>
  <c r="S47" s="1"/>
  <c r="V31" i="23"/>
  <c r="U31" s="1"/>
  <c r="F31"/>
  <c r="E31" s="1"/>
  <c r="W38"/>
  <c r="J54" i="25"/>
  <c r="M26" i="26"/>
  <c r="F31"/>
  <c r="G45"/>
  <c r="G48"/>
  <c r="Y7" i="22"/>
  <c r="L5"/>
  <c r="M20"/>
  <c r="L20" s="1"/>
  <c r="R34"/>
  <c r="S31"/>
  <c r="Q54"/>
  <c r="P54" s="1"/>
  <c r="G74" i="28"/>
  <c r="G3"/>
  <c r="E22" i="21"/>
  <c r="K21" s="1"/>
  <c r="H41"/>
  <c r="H10" i="22"/>
  <c r="I8"/>
  <c r="H8" s="1"/>
  <c r="G8" s="1"/>
  <c r="U41"/>
  <c r="N45"/>
  <c r="K50" i="21"/>
  <c r="E50"/>
  <c r="K49" s="1"/>
  <c r="E54"/>
  <c r="E5" i="22"/>
  <c r="O5"/>
  <c r="W5"/>
  <c r="R31"/>
  <c r="S8" i="24"/>
  <c r="R8" s="1"/>
  <c r="Q8" s="1"/>
  <c r="R51" i="22"/>
  <c r="Q51" s="1"/>
  <c r="P51" s="1"/>
  <c r="S50"/>
  <c r="Y6"/>
  <c r="W20"/>
  <c r="V20" s="1"/>
  <c r="U20" s="1"/>
  <c r="T20" s="1"/>
  <c r="M25"/>
  <c r="L25" s="1"/>
  <c r="E50"/>
  <c r="Y18"/>
  <c r="J44" i="20"/>
  <c r="G42" i="21"/>
  <c r="G41" s="1"/>
  <c r="G18"/>
  <c r="G15" s="1"/>
  <c r="F15" s="1"/>
  <c r="E15" s="1"/>
  <c r="K14" s="1"/>
  <c r="G22"/>
  <c r="F22" s="1"/>
  <c r="K8" i="22"/>
  <c r="P10"/>
  <c r="Q8"/>
  <c r="O20"/>
  <c r="K11" i="21"/>
  <c r="H10"/>
  <c r="K10" s="1"/>
  <c r="I8"/>
  <c r="P5" i="22"/>
  <c r="N8"/>
  <c r="U12"/>
  <c r="T12" s="1"/>
  <c r="I31"/>
  <c r="L43"/>
  <c r="G11" i="20"/>
  <c r="G10" s="1"/>
  <c r="G8" s="1"/>
  <c r="G42"/>
  <c r="J42" s="1"/>
  <c r="G18"/>
  <c r="G15" s="1"/>
  <c r="K46" i="21"/>
  <c r="E8" i="20"/>
  <c r="E22"/>
  <c r="J21" s="1"/>
  <c r="F4"/>
  <c r="J26"/>
  <c r="K33" i="21"/>
  <c r="H55"/>
  <c r="K55" s="1"/>
  <c r="I54"/>
  <c r="X12" i="22"/>
  <c r="R47"/>
  <c r="Y36"/>
  <c r="J5" i="20"/>
  <c r="K5" i="21"/>
  <c r="K44"/>
  <c r="T10" i="22"/>
  <c r="T8" s="1"/>
  <c r="S8" s="1"/>
  <c r="J11"/>
  <c r="J10" s="1"/>
  <c r="J8" s="1"/>
  <c r="J4" s="1"/>
  <c r="R11"/>
  <c r="R10" s="1"/>
  <c r="R8" s="1"/>
  <c r="F13"/>
  <c r="F21"/>
  <c r="Y21" s="1"/>
  <c r="P23"/>
  <c r="K24"/>
  <c r="K22" s="1"/>
  <c r="K20" s="1"/>
  <c r="J20" s="1"/>
  <c r="I20" s="1"/>
  <c r="H20" s="1"/>
  <c r="G20" s="1"/>
  <c r="S24"/>
  <c r="S22" s="1"/>
  <c r="R26"/>
  <c r="R25" s="1"/>
  <c r="Q25" s="1"/>
  <c r="P25" s="1"/>
  <c r="E38"/>
  <c r="F41"/>
  <c r="J48"/>
  <c r="J47" s="1"/>
  <c r="I51"/>
  <c r="H51" s="1"/>
  <c r="Y58"/>
  <c r="P5" i="23"/>
  <c r="X5" s="1"/>
  <c r="P43" i="24"/>
  <c r="M46" i="26"/>
  <c r="L47" i="27"/>
  <c r="T47" s="1"/>
  <c r="T48"/>
  <c r="J24" i="20"/>
  <c r="K28" i="21"/>
  <c r="G48"/>
  <c r="H12" i="22"/>
  <c r="I25"/>
  <c r="H25" s="1"/>
  <c r="Y32"/>
  <c r="M54"/>
  <c r="L54" s="1"/>
  <c r="K18" i="25"/>
  <c r="K15" s="1"/>
  <c r="J15" s="1"/>
  <c r="K11"/>
  <c r="M24" i="26"/>
  <c r="F45"/>
  <c r="J47" i="28"/>
  <c r="K38"/>
  <c r="Q15" i="23"/>
  <c r="Q4" s="1"/>
  <c r="J13" i="20"/>
  <c r="J36"/>
  <c r="J52"/>
  <c r="J61"/>
  <c r="P13" i="22"/>
  <c r="P12" s="1"/>
  <c r="P21"/>
  <c r="F28"/>
  <c r="F27" s="1"/>
  <c r="Y33"/>
  <c r="J41"/>
  <c r="O51"/>
  <c r="N51" s="1"/>
  <c r="M51" s="1"/>
  <c r="L51" s="1"/>
  <c r="I19" i="23"/>
  <c r="I18"/>
  <c r="I11"/>
  <c r="I48"/>
  <c r="I47" s="1"/>
  <c r="X47" s="1"/>
  <c r="I42"/>
  <c r="I41" s="1"/>
  <c r="Q18"/>
  <c r="X18" s="1"/>
  <c r="Q48"/>
  <c r="Q47" s="1"/>
  <c r="Q11"/>
  <c r="Q10" s="1"/>
  <c r="Q8" s="1"/>
  <c r="P8" s="1"/>
  <c r="Q42"/>
  <c r="Q41" s="1"/>
  <c r="K8" i="24"/>
  <c r="J8" s="1"/>
  <c r="I8" s="1"/>
  <c r="K42"/>
  <c r="L41"/>
  <c r="U44"/>
  <c r="E38"/>
  <c r="H47"/>
  <c r="G47" s="1"/>
  <c r="G38" s="1"/>
  <c r="I38"/>
  <c r="H12" i="26"/>
  <c r="J18" i="20"/>
  <c r="J58"/>
  <c r="J66"/>
  <c r="E25" i="21"/>
  <c r="K24" s="1"/>
  <c r="K27"/>
  <c r="E31"/>
  <c r="K31" s="1"/>
  <c r="K52"/>
  <c r="K58"/>
  <c r="K61"/>
  <c r="G15" i="22"/>
  <c r="Y15" s="1"/>
  <c r="F24"/>
  <c r="E26"/>
  <c r="O28"/>
  <c r="W28"/>
  <c r="W27" s="1"/>
  <c r="V27" s="1"/>
  <c r="F34"/>
  <c r="Y35"/>
  <c r="J45"/>
  <c r="Y52"/>
  <c r="Y56"/>
  <c r="K8" i="23"/>
  <c r="J8" s="1"/>
  <c r="O41" i="24"/>
  <c r="N41" s="1"/>
  <c r="H38"/>
  <c r="O22" i="25"/>
  <c r="P20"/>
  <c r="K42"/>
  <c r="K41" s="1"/>
  <c r="U23" i="24"/>
  <c r="J11" i="20"/>
  <c r="J23"/>
  <c r="J28"/>
  <c r="J34"/>
  <c r="G48"/>
  <c r="G47" s="1"/>
  <c r="F47" s="1"/>
  <c r="J49"/>
  <c r="K13" i="21"/>
  <c r="K18"/>
  <c r="E41"/>
  <c r="H47"/>
  <c r="G47" s="1"/>
  <c r="F47" s="1"/>
  <c r="K48"/>
  <c r="K56"/>
  <c r="Y9" i="22"/>
  <c r="F26"/>
  <c r="F25" s="1"/>
  <c r="P28"/>
  <c r="P27" s="1"/>
  <c r="O27" s="1"/>
  <c r="N27" s="1"/>
  <c r="L45"/>
  <c r="W51"/>
  <c r="E54"/>
  <c r="L8" i="23"/>
  <c r="F19" i="24"/>
  <c r="U19" s="1"/>
  <c r="F18"/>
  <c r="F42"/>
  <c r="F41" s="1"/>
  <c r="F11"/>
  <c r="F10" s="1"/>
  <c r="N18"/>
  <c r="N15" s="1"/>
  <c r="N42"/>
  <c r="N11"/>
  <c r="N10" s="1"/>
  <c r="M10" s="1"/>
  <c r="N54" i="25"/>
  <c r="M58" i="26"/>
  <c r="K11"/>
  <c r="K42"/>
  <c r="K41" s="1"/>
  <c r="J41" s="1"/>
  <c r="I41" s="1"/>
  <c r="K18"/>
  <c r="K15" s="1"/>
  <c r="J15" s="1"/>
  <c r="M15" s="1"/>
  <c r="K4" i="27"/>
  <c r="X7" i="23"/>
  <c r="J25" i="20"/>
  <c r="J32"/>
  <c r="I48"/>
  <c r="J48" s="1"/>
  <c r="J51"/>
  <c r="F55"/>
  <c r="J55" s="1"/>
  <c r="J56"/>
  <c r="K23" i="21"/>
  <c r="F41"/>
  <c r="K45"/>
  <c r="K51"/>
  <c r="K66"/>
  <c r="F14" i="22"/>
  <c r="Y14" s="1"/>
  <c r="P24"/>
  <c r="R42"/>
  <c r="Q42" s="1"/>
  <c r="Y42" s="1"/>
  <c r="P43"/>
  <c r="N24" i="23"/>
  <c r="X24" s="1"/>
  <c r="N13"/>
  <c r="X13" s="1"/>
  <c r="N26"/>
  <c r="N25" s="1"/>
  <c r="X25" s="1"/>
  <c r="N51"/>
  <c r="N50" s="1"/>
  <c r="N21"/>
  <c r="X21" s="1"/>
  <c r="N28"/>
  <c r="N27" s="1"/>
  <c r="N23"/>
  <c r="X23" s="1"/>
  <c r="N14"/>
  <c r="X14" s="1"/>
  <c r="X42"/>
  <c r="R38" i="24"/>
  <c r="K10" i="25"/>
  <c r="F54"/>
  <c r="M11" i="26"/>
  <c r="T5" i="27"/>
  <c r="O21" i="28"/>
  <c r="E20"/>
  <c r="O20" s="1"/>
  <c r="O22"/>
  <c r="U25" i="22"/>
  <c r="T25" s="1"/>
  <c r="U21" i="24"/>
  <c r="E20"/>
  <c r="U24"/>
  <c r="H22" i="20"/>
  <c r="G22" s="1"/>
  <c r="K26" i="21"/>
  <c r="K32"/>
  <c r="K36"/>
  <c r="E43"/>
  <c r="F23" i="22"/>
  <c r="Y23" s="1"/>
  <c r="S27"/>
  <c r="R27" s="1"/>
  <c r="R41"/>
  <c r="Y46"/>
  <c r="Y61"/>
  <c r="Y66"/>
  <c r="U49" i="24"/>
  <c r="E10" i="26"/>
  <c r="E8" s="1"/>
  <c r="M21"/>
  <c r="E20"/>
  <c r="E4" i="27"/>
  <c r="E3" s="1"/>
  <c r="F3"/>
  <c r="T31" i="23"/>
  <c r="S51"/>
  <c r="S50" s="1"/>
  <c r="X52"/>
  <c r="I22" i="24"/>
  <c r="H22" s="1"/>
  <c r="U28"/>
  <c r="K24" i="25"/>
  <c r="K22" s="1"/>
  <c r="H25"/>
  <c r="H8" i="26"/>
  <c r="G8" s="1"/>
  <c r="F8" s="1"/>
  <c r="M36"/>
  <c r="M49"/>
  <c r="O14" i="28"/>
  <c r="E4"/>
  <c r="T42" i="27"/>
  <c r="X9" i="23"/>
  <c r="X33"/>
  <c r="U50"/>
  <c r="U38" s="1"/>
  <c r="T38" s="1"/>
  <c r="S38" s="1"/>
  <c r="R38" s="1"/>
  <c r="N54"/>
  <c r="X54" s="1"/>
  <c r="X56"/>
  <c r="X58"/>
  <c r="U5" i="24"/>
  <c r="U13"/>
  <c r="U14"/>
  <c r="L27"/>
  <c r="N45"/>
  <c r="G27" i="26"/>
  <c r="F27" s="1"/>
  <c r="M44"/>
  <c r="M61"/>
  <c r="I8" i="28"/>
  <c r="J4"/>
  <c r="K74"/>
  <c r="X29" i="23"/>
  <c r="X35"/>
  <c r="X43"/>
  <c r="L51"/>
  <c r="L50" s="1"/>
  <c r="L38" s="1"/>
  <c r="F15" i="24"/>
  <c r="M22"/>
  <c r="L22" s="1"/>
  <c r="U66"/>
  <c r="I12" i="25"/>
  <c r="I4" s="1"/>
  <c r="I74" s="1"/>
  <c r="N41"/>
  <c r="K48"/>
  <c r="K47" s="1"/>
  <c r="M9" i="26"/>
  <c r="J12"/>
  <c r="I12" s="1"/>
  <c r="G41"/>
  <c r="I55"/>
  <c r="H55" s="1"/>
  <c r="O45" i="28"/>
  <c r="T27" i="27"/>
  <c r="X46" i="23"/>
  <c r="K12" i="24"/>
  <c r="J12" s="1"/>
  <c r="U12" s="1"/>
  <c r="U25"/>
  <c r="U26"/>
  <c r="U32"/>
  <c r="F45"/>
  <c r="U56"/>
  <c r="N5" i="25"/>
  <c r="Q29"/>
  <c r="P31"/>
  <c r="O31" s="1"/>
  <c r="M23" i="26"/>
  <c r="J27"/>
  <c r="O11" i="28"/>
  <c r="F4" i="23"/>
  <c r="F74" s="1"/>
  <c r="X32"/>
  <c r="P34"/>
  <c r="P31" s="1"/>
  <c r="X41"/>
  <c r="X49"/>
  <c r="F8" i="24"/>
  <c r="U34"/>
  <c r="L43"/>
  <c r="P47"/>
  <c r="O47" s="1"/>
  <c r="U50"/>
  <c r="U51"/>
  <c r="U52"/>
  <c r="Q54"/>
  <c r="P54" s="1"/>
  <c r="U58"/>
  <c r="H8" i="25"/>
  <c r="G8" s="1"/>
  <c r="M12"/>
  <c r="Q26"/>
  <c r="E31"/>
  <c r="H25" i="26"/>
  <c r="G25" s="1"/>
  <c r="M52"/>
  <c r="L38" i="27"/>
  <c r="K38" s="1"/>
  <c r="J38" s="1"/>
  <c r="I38" s="1"/>
  <c r="J15" i="23"/>
  <c r="L22"/>
  <c r="L20" s="1"/>
  <c r="H32"/>
  <c r="H31" s="1"/>
  <c r="X31" s="1"/>
  <c r="X36"/>
  <c r="E45"/>
  <c r="X44" s="1"/>
  <c r="X57"/>
  <c r="X66"/>
  <c r="U36" i="24"/>
  <c r="H10" i="26"/>
  <c r="G10" s="1"/>
  <c r="M28"/>
  <c r="M32"/>
  <c r="E42"/>
  <c r="K45"/>
  <c r="J45" s="1"/>
  <c r="E54"/>
  <c r="M66"/>
  <c r="T22" i="27"/>
  <c r="X19" i="23"/>
  <c r="L27"/>
  <c r="L31"/>
  <c r="X39"/>
  <c r="G50"/>
  <c r="G38" s="1"/>
  <c r="F38" s="1"/>
  <c r="F3" s="1"/>
  <c r="G51"/>
  <c r="X51" s="1"/>
  <c r="X55"/>
  <c r="X61"/>
  <c r="U45" i="24"/>
  <c r="U48"/>
  <c r="U61"/>
  <c r="Q6" i="25"/>
  <c r="E25"/>
  <c r="L28"/>
  <c r="L27" s="1"/>
  <c r="E41"/>
  <c r="F48"/>
  <c r="F47" s="1"/>
  <c r="F38" s="1"/>
  <c r="Q56"/>
  <c r="H5" i="26"/>
  <c r="M5" s="1"/>
  <c r="G13"/>
  <c r="G14"/>
  <c r="M14" s="1"/>
  <c r="M29"/>
  <c r="M34"/>
  <c r="F42"/>
  <c r="G51"/>
  <c r="M51" s="1"/>
  <c r="L38" i="28"/>
  <c r="O10"/>
  <c r="Q38" i="23"/>
  <c r="Q9" i="25"/>
  <c r="E8"/>
  <c r="Q7" s="1"/>
  <c r="Q10"/>
  <c r="M41"/>
  <c r="G22"/>
  <c r="H20"/>
  <c r="Q11"/>
  <c r="Q21"/>
  <c r="N27"/>
  <c r="Q39"/>
  <c r="J41"/>
  <c r="I41" s="1"/>
  <c r="Q41" s="1"/>
  <c r="N51"/>
  <c r="N50" s="1"/>
  <c r="M50" s="1"/>
  <c r="E55"/>
  <c r="M55"/>
  <c r="L55" s="1"/>
  <c r="Q24"/>
  <c r="Q28"/>
  <c r="L51"/>
  <c r="K51" s="1"/>
  <c r="Q52"/>
  <c r="Q61"/>
  <c r="Q66"/>
  <c r="Q13"/>
  <c r="Q14"/>
  <c r="Q18"/>
  <c r="Q36"/>
  <c r="Q45"/>
  <c r="Q46"/>
  <c r="E50"/>
  <c r="Q49" s="1"/>
  <c r="I50"/>
  <c r="I55"/>
  <c r="H55" s="1"/>
  <c r="L5"/>
  <c r="K5" s="1"/>
  <c r="L8"/>
  <c r="K8" s="1"/>
  <c r="Q34"/>
  <c r="Q44"/>
  <c r="Q58"/>
  <c r="E4" i="23"/>
  <c r="E74" s="1"/>
  <c r="H4" i="28"/>
  <c r="H3" i="27"/>
  <c r="G3" s="1"/>
  <c r="Q15" i="25"/>
  <c r="J15" i="20"/>
  <c r="Y40" i="22"/>
  <c r="Q125" i="39"/>
  <c r="Q32" i="25"/>
  <c r="Y48" i="22" l="1"/>
  <c r="Q31" i="25"/>
  <c r="U42" i="24"/>
  <c r="H4" i="22"/>
  <c r="G50" i="26"/>
  <c r="F50" s="1"/>
  <c r="M50" s="1"/>
  <c r="M45"/>
  <c r="Q48" i="25"/>
  <c r="X27" i="23"/>
  <c r="E4" i="26"/>
  <c r="N38" i="23"/>
  <c r="N22" i="25"/>
  <c r="V38" i="23"/>
  <c r="M27" i="26"/>
  <c r="Y34" i="22"/>
  <c r="R50"/>
  <c r="Q50" s="1"/>
  <c r="P50" s="1"/>
  <c r="O50" s="1"/>
  <c r="N50" s="1"/>
  <c r="M50" s="1"/>
  <c r="L50" s="1"/>
  <c r="K50" s="1"/>
  <c r="K38" s="1"/>
  <c r="Q51" i="25"/>
  <c r="Q42"/>
  <c r="H47"/>
  <c r="G47" s="1"/>
  <c r="X45" i="23"/>
  <c r="I4" i="22"/>
  <c r="R3" i="23"/>
  <c r="P22" i="22"/>
  <c r="L38"/>
  <c r="M48" i="26"/>
  <c r="N10" i="23"/>
  <c r="O8"/>
  <c r="N8" s="1"/>
  <c r="H20" i="20"/>
  <c r="G20" s="1"/>
  <c r="Y24" i="22"/>
  <c r="Y27"/>
  <c r="J38" i="28"/>
  <c r="F12" i="22"/>
  <c r="Y12" s="1"/>
  <c r="L3" i="27"/>
  <c r="K3" s="1"/>
  <c r="Q22" i="25"/>
  <c r="G4" i="22"/>
  <c r="H74"/>
  <c r="J74"/>
  <c r="Y26"/>
  <c r="E25"/>
  <c r="Y25" s="1"/>
  <c r="Q27" i="25"/>
  <c r="G12" i="26"/>
  <c r="F12" s="1"/>
  <c r="M12" s="1"/>
  <c r="N8" i="24"/>
  <c r="M8" s="1"/>
  <c r="M13" i="26"/>
  <c r="U10" i="24"/>
  <c r="N38"/>
  <c r="M38" s="1"/>
  <c r="R22" i="22"/>
  <c r="S20"/>
  <c r="Y13"/>
  <c r="K42" i="21"/>
  <c r="F22" i="22"/>
  <c r="E22" s="1"/>
  <c r="P38" i="24"/>
  <c r="O38" s="1"/>
  <c r="J3" i="27"/>
  <c r="I3" s="1"/>
  <c r="H4" i="25"/>
  <c r="H74" s="1"/>
  <c r="F41" i="26"/>
  <c r="F38" s="1"/>
  <c r="G38"/>
  <c r="X22" i="23"/>
  <c r="N22"/>
  <c r="X26"/>
  <c r="F38" i="24"/>
  <c r="X28" i="23"/>
  <c r="F31" i="22"/>
  <c r="Y31" s="1"/>
  <c r="Q38" i="24"/>
  <c r="I50" i="22"/>
  <c r="H50" s="1"/>
  <c r="G50" s="1"/>
  <c r="F74" i="20"/>
  <c r="E20"/>
  <c r="J20" s="1"/>
  <c r="P8" i="22"/>
  <c r="O8" s="1"/>
  <c r="O4"/>
  <c r="M4"/>
  <c r="M42" i="26"/>
  <c r="E41"/>
  <c r="E74"/>
  <c r="I54" i="25"/>
  <c r="H54" s="1"/>
  <c r="E74" i="28"/>
  <c r="E3"/>
  <c r="T73" i="27" s="1"/>
  <c r="Q41" i="22"/>
  <c r="Q38" s="1"/>
  <c r="P38" s="1"/>
  <c r="R38"/>
  <c r="Y28"/>
  <c r="E4" i="24"/>
  <c r="I54" i="26"/>
  <c r="H54" s="1"/>
  <c r="H38" s="1"/>
  <c r="X50" i="23"/>
  <c r="K25" i="21"/>
  <c r="Y5" i="22"/>
  <c r="L4" i="23"/>
  <c r="L74" s="1"/>
  <c r="M54" i="25"/>
  <c r="L54" s="1"/>
  <c r="X34" i="23"/>
  <c r="K3" i="28"/>
  <c r="N20" i="23"/>
  <c r="X20" s="1"/>
  <c r="U18" i="24"/>
  <c r="F20" i="22"/>
  <c r="J22" i="20"/>
  <c r="Q12" i="25"/>
  <c r="G20"/>
  <c r="G4" s="1"/>
  <c r="G74" s="1"/>
  <c r="J3" i="28"/>
  <c r="J74"/>
  <c r="U8" i="24"/>
  <c r="O20" i="25"/>
  <c r="N20" s="1"/>
  <c r="M20" s="1"/>
  <c r="L20" s="1"/>
  <c r="K20" s="1"/>
  <c r="K41" i="24"/>
  <c r="J41" s="1"/>
  <c r="U41" s="1"/>
  <c r="L38"/>
  <c r="I38" i="23"/>
  <c r="U11" i="24"/>
  <c r="G41" i="20"/>
  <c r="F41" s="1"/>
  <c r="E41" s="1"/>
  <c r="H54" i="21"/>
  <c r="G54" s="1"/>
  <c r="K54" s="1"/>
  <c r="E4" i="20"/>
  <c r="M38" i="22"/>
  <c r="H8" i="21"/>
  <c r="K8" s="1"/>
  <c r="I38" i="26"/>
  <c r="K40" i="21"/>
  <c r="K41"/>
  <c r="E38"/>
  <c r="I41" i="22"/>
  <c r="I38" s="1"/>
  <c r="H38" s="1"/>
  <c r="H3" s="1"/>
  <c r="J38"/>
  <c r="J3" s="1"/>
  <c r="Y11"/>
  <c r="P4" i="23"/>
  <c r="Q74"/>
  <c r="I38" i="21"/>
  <c r="O8" i="28"/>
  <c r="I4"/>
  <c r="V51" i="22"/>
  <c r="U51" s="1"/>
  <c r="T51" s="1"/>
  <c r="Y51" s="1"/>
  <c r="W50"/>
  <c r="Q5" i="25"/>
  <c r="I15" i="23"/>
  <c r="M18" i="26"/>
  <c r="X48" i="23"/>
  <c r="E38"/>
  <c r="E3" s="1"/>
  <c r="N12"/>
  <c r="X12" s="1"/>
  <c r="I10"/>
  <c r="X11"/>
  <c r="E20" i="21"/>
  <c r="Y49" i="22"/>
  <c r="O38"/>
  <c r="N38" s="1"/>
  <c r="P38" i="23"/>
  <c r="Q3"/>
  <c r="M38" i="25"/>
  <c r="L50"/>
  <c r="L4"/>
  <c r="N38"/>
  <c r="N4"/>
  <c r="N74" s="1"/>
  <c r="E54"/>
  <c r="E38" s="1"/>
  <c r="E4"/>
  <c r="H74" i="28"/>
  <c r="F4" i="25"/>
  <c r="F74" s="1"/>
  <c r="K4" i="23"/>
  <c r="V4" i="22"/>
  <c r="I74"/>
  <c r="I3"/>
  <c r="E122" i="30"/>
  <c r="H121"/>
  <c r="H120"/>
  <c r="H119"/>
  <c r="H118"/>
  <c r="H117"/>
  <c r="H116"/>
  <c r="H115"/>
  <c r="H114"/>
  <c r="H113"/>
  <c r="H112"/>
  <c r="H111"/>
  <c r="H110"/>
  <c r="H109"/>
  <c r="H108"/>
  <c r="H107"/>
  <c r="E106"/>
  <c r="H105"/>
  <c r="H104"/>
  <c r="H103"/>
  <c r="H102"/>
  <c r="H101"/>
  <c r="H100"/>
  <c r="H106" l="1"/>
  <c r="N3" i="25"/>
  <c r="I74" i="28"/>
  <c r="I3"/>
  <c r="H3" s="1"/>
  <c r="E74" i="20"/>
  <c r="F50" i="22"/>
  <c r="G38"/>
  <c r="M4" i="25"/>
  <c r="M74" s="1"/>
  <c r="E4" i="21"/>
  <c r="L4" i="22"/>
  <c r="M74"/>
  <c r="M3"/>
  <c r="Y41"/>
  <c r="R20"/>
  <c r="Q20" s="1"/>
  <c r="P20" s="1"/>
  <c r="L3" i="23"/>
  <c r="N4" i="22"/>
  <c r="O74"/>
  <c r="O3"/>
  <c r="F4"/>
  <c r="G3"/>
  <c r="G74"/>
  <c r="I8" i="23"/>
  <c r="H8" s="1"/>
  <c r="X8" s="1"/>
  <c r="X10"/>
  <c r="O4"/>
  <c r="P74"/>
  <c r="P3"/>
  <c r="M41" i="26"/>
  <c r="E38"/>
  <c r="H122" i="30"/>
  <c r="H38" i="21"/>
  <c r="G38" s="1"/>
  <c r="F38" s="1"/>
  <c r="Q20" i="25"/>
  <c r="U4" i="22"/>
  <c r="V74"/>
  <c r="X38" i="23"/>
  <c r="V50" i="22"/>
  <c r="U50" s="1"/>
  <c r="K38" i="24"/>
  <c r="J38" s="1"/>
  <c r="E3"/>
  <c r="E74"/>
  <c r="E20" i="22"/>
  <c r="E3" i="25"/>
  <c r="E74"/>
  <c r="K4"/>
  <c r="L74"/>
  <c r="K50"/>
  <c r="L38"/>
  <c r="L3" s="1"/>
  <c r="F3"/>
  <c r="J4" i="23"/>
  <c r="K3"/>
  <c r="K74"/>
  <c r="E99" i="30"/>
  <c r="H98"/>
  <c r="H97"/>
  <c r="H96"/>
  <c r="H95"/>
  <c r="H94"/>
  <c r="E93"/>
  <c r="H92"/>
  <c r="H91"/>
  <c r="H90"/>
  <c r="H89"/>
  <c r="H88"/>
  <c r="H87"/>
  <c r="H86"/>
  <c r="H85"/>
  <c r="H84"/>
  <c r="H83"/>
  <c r="H82"/>
  <c r="H81"/>
  <c r="H80"/>
  <c r="H79"/>
  <c r="H78"/>
  <c r="H77"/>
  <c r="H76"/>
  <c r="H75"/>
  <c r="H74"/>
  <c r="H73"/>
  <c r="E72"/>
  <c r="H71"/>
  <c r="H70"/>
  <c r="H69"/>
  <c r="H68"/>
  <c r="H67"/>
  <c r="H66"/>
  <c r="H65"/>
  <c r="H64"/>
  <c r="H63"/>
  <c r="H62"/>
  <c r="H61"/>
  <c r="H60"/>
  <c r="H59"/>
  <c r="H58"/>
  <c r="H57"/>
  <c r="H56"/>
  <c r="H55"/>
  <c r="H54"/>
  <c r="H53"/>
  <c r="E52"/>
  <c r="H51"/>
  <c r="H50"/>
  <c r="H49"/>
  <c r="H48"/>
  <c r="H47"/>
  <c r="H46"/>
  <c r="H45"/>
  <c r="H44"/>
  <c r="H43"/>
  <c r="H42"/>
  <c r="H41"/>
  <c r="H40"/>
  <c r="H39"/>
  <c r="H38"/>
  <c r="H37"/>
  <c r="H36"/>
  <c r="E35"/>
  <c r="H34"/>
  <c r="H33"/>
  <c r="H32"/>
  <c r="H31"/>
  <c r="H30"/>
  <c r="H29"/>
  <c r="H28"/>
  <c r="H27"/>
  <c r="H26"/>
  <c r="H25"/>
  <c r="H24"/>
  <c r="H23"/>
  <c r="E22"/>
  <c r="H21"/>
  <c r="H20"/>
  <c r="H19"/>
  <c r="H18"/>
  <c r="H17"/>
  <c r="H16"/>
  <c r="H15"/>
  <c r="H14"/>
  <c r="E13"/>
  <c r="H12"/>
  <c r="H11"/>
  <c r="H10"/>
  <c r="H9"/>
  <c r="H8"/>
  <c r="H7"/>
  <c r="H6"/>
  <c r="H5"/>
  <c r="H4"/>
  <c r="H3"/>
  <c r="H35" l="1"/>
  <c r="H93"/>
  <c r="H99"/>
  <c r="H72"/>
  <c r="M3" i="25"/>
  <c r="H13" i="30"/>
  <c r="H123" s="1"/>
  <c r="H22"/>
  <c r="E123"/>
  <c r="H52"/>
  <c r="T50" i="22"/>
  <c r="Y50" s="1"/>
  <c r="U38"/>
  <c r="T38" s="1"/>
  <c r="S38" s="1"/>
  <c r="F38"/>
  <c r="F3" s="1"/>
  <c r="E3" i="26"/>
  <c r="E4" i="22"/>
  <c r="F74"/>
  <c r="K4"/>
  <c r="L74"/>
  <c r="L3"/>
  <c r="T4"/>
  <c r="U74"/>
  <c r="E74" i="21"/>
  <c r="E3"/>
  <c r="N4" i="23"/>
  <c r="O74"/>
  <c r="O3"/>
  <c r="N74" i="22"/>
  <c r="N3"/>
  <c r="K38" i="25"/>
  <c r="J38" s="1"/>
  <c r="I38" s="1"/>
  <c r="Q50"/>
  <c r="J4"/>
  <c r="K74"/>
  <c r="I4" i="23"/>
  <c r="J74"/>
  <c r="J3"/>
  <c r="H6" i="33"/>
  <c r="F6"/>
  <c r="E6"/>
  <c r="H5"/>
  <c r="F4"/>
  <c r="F7" s="1"/>
  <c r="E4"/>
  <c r="H3"/>
  <c r="H4" s="1"/>
  <c r="H7" l="1"/>
  <c r="E7"/>
  <c r="M4" i="23"/>
  <c r="N74"/>
  <c r="N3"/>
  <c r="K74" i="22"/>
  <c r="K3"/>
  <c r="U3"/>
  <c r="E74"/>
  <c r="E3"/>
  <c r="K3" i="25"/>
  <c r="S4" i="22"/>
  <c r="T3"/>
  <c r="T74"/>
  <c r="H38" i="25"/>
  <c r="I3"/>
  <c r="J74"/>
  <c r="J3"/>
  <c r="H4" i="23"/>
  <c r="I74"/>
  <c r="I3"/>
  <c r="L54" i="34"/>
  <c r="K54"/>
  <c r="J54"/>
  <c r="I54"/>
  <c r="H54"/>
  <c r="G54"/>
  <c r="F54"/>
  <c r="E54"/>
  <c r="D54"/>
  <c r="N53"/>
  <c r="M53"/>
  <c r="M52"/>
  <c r="L51"/>
  <c r="K51"/>
  <c r="J51"/>
  <c r="I51"/>
  <c r="H51"/>
  <c r="G51"/>
  <c r="F51"/>
  <c r="E51"/>
  <c r="D51"/>
  <c r="M50"/>
  <c r="M49"/>
  <c r="N48" s="1"/>
  <c r="M48"/>
  <c r="N47"/>
  <c r="M47"/>
  <c r="N46"/>
  <c r="M46"/>
  <c r="M45"/>
  <c r="N45" s="1"/>
  <c r="L44"/>
  <c r="K44"/>
  <c r="J44"/>
  <c r="I44"/>
  <c r="H44"/>
  <c r="G44"/>
  <c r="F44"/>
  <c r="E44"/>
  <c r="D44"/>
  <c r="M43"/>
  <c r="M42"/>
  <c r="N41" s="1"/>
  <c r="M41"/>
  <c r="M40"/>
  <c r="N40" s="1"/>
  <c r="L39"/>
  <c r="K39"/>
  <c r="J39"/>
  <c r="I39"/>
  <c r="H39"/>
  <c r="G39"/>
  <c r="F39"/>
  <c r="E39"/>
  <c r="D39"/>
  <c r="M38"/>
  <c r="M37"/>
  <c r="N36"/>
  <c r="M36"/>
  <c r="M35"/>
  <c r="N35" s="1"/>
  <c r="L34"/>
  <c r="K34"/>
  <c r="J34"/>
  <c r="I34"/>
  <c r="H34"/>
  <c r="G34"/>
  <c r="F34"/>
  <c r="E34"/>
  <c r="D34"/>
  <c r="M33"/>
  <c r="N32" s="1"/>
  <c r="M32"/>
  <c r="M31"/>
  <c r="M30"/>
  <c r="N29"/>
  <c r="M29"/>
  <c r="M28"/>
  <c r="N27"/>
  <c r="M27"/>
  <c r="L26"/>
  <c r="K26"/>
  <c r="J26"/>
  <c r="I26"/>
  <c r="H26"/>
  <c r="G26"/>
  <c r="F26"/>
  <c r="E26"/>
  <c r="D26"/>
  <c r="M25"/>
  <c r="M24"/>
  <c r="M23"/>
  <c r="M22"/>
  <c r="N21"/>
  <c r="M21"/>
  <c r="M20"/>
  <c r="M19"/>
  <c r="N19" s="1"/>
  <c r="M18"/>
  <c r="L17"/>
  <c r="K17"/>
  <c r="J17"/>
  <c r="I17"/>
  <c r="H17"/>
  <c r="G17"/>
  <c r="F17"/>
  <c r="E17"/>
  <c r="D17"/>
  <c r="M16"/>
  <c r="M15"/>
  <c r="N14"/>
  <c r="M14"/>
  <c r="N13" s="1"/>
  <c r="M13"/>
  <c r="M12"/>
  <c r="N12" s="1"/>
  <c r="M11"/>
  <c r="L10"/>
  <c r="K10"/>
  <c r="J10"/>
  <c r="I10"/>
  <c r="H10"/>
  <c r="G10"/>
  <c r="F10"/>
  <c r="E10"/>
  <c r="D10"/>
  <c r="M9"/>
  <c r="N9" s="1"/>
  <c r="M8"/>
  <c r="N8" s="1"/>
  <c r="L7"/>
  <c r="K7"/>
  <c r="J7"/>
  <c r="I7"/>
  <c r="H7"/>
  <c r="G7"/>
  <c r="F7"/>
  <c r="E7"/>
  <c r="D7"/>
  <c r="N6" s="1"/>
  <c r="M6"/>
  <c r="M5"/>
  <c r="M7" s="1"/>
  <c r="D72" i="37"/>
  <c r="E71"/>
  <c r="E70"/>
  <c r="E69"/>
  <c r="E68"/>
  <c r="E67"/>
  <c r="E66"/>
  <c r="E64"/>
  <c r="E63"/>
  <c r="E62"/>
  <c r="E61"/>
  <c r="D60"/>
  <c r="D65" s="1"/>
  <c r="E59"/>
  <c r="E58"/>
  <c r="E57"/>
  <c r="E56"/>
  <c r="D55"/>
  <c r="E54"/>
  <c r="E53"/>
  <c r="E52"/>
  <c r="E51"/>
  <c r="E50"/>
  <c r="E49"/>
  <c r="D48"/>
  <c r="E47"/>
  <c r="E46"/>
  <c r="E45"/>
  <c r="E44"/>
  <c r="E43"/>
  <c r="E42"/>
  <c r="D41"/>
  <c r="E40"/>
  <c r="E39"/>
  <c r="E38"/>
  <c r="E37"/>
  <c r="E36"/>
  <c r="E35"/>
  <c r="E34"/>
  <c r="E33"/>
  <c r="D32"/>
  <c r="E31"/>
  <c r="E30"/>
  <c r="E29"/>
  <c r="E28"/>
  <c r="E27"/>
  <c r="E26"/>
  <c r="E25"/>
  <c r="E24"/>
  <c r="E23"/>
  <c r="E22"/>
  <c r="E21"/>
  <c r="D20"/>
  <c r="E19"/>
  <c r="E18"/>
  <c r="E17"/>
  <c r="E16"/>
  <c r="E15"/>
  <c r="E14"/>
  <c r="E13"/>
  <c r="E12"/>
  <c r="E11"/>
  <c r="E10"/>
  <c r="E9"/>
  <c r="D8"/>
  <c r="E7"/>
  <c r="E6"/>
  <c r="D5"/>
  <c r="E4"/>
  <c r="E3"/>
  <c r="J71" i="35"/>
  <c r="I71"/>
  <c r="H71"/>
  <c r="G71"/>
  <c r="F71"/>
  <c r="E71"/>
  <c r="D71"/>
  <c r="K70"/>
  <c r="K69"/>
  <c r="K68"/>
  <c r="K67"/>
  <c r="K66"/>
  <c r="J65"/>
  <c r="I65"/>
  <c r="H65"/>
  <c r="G65"/>
  <c r="F65"/>
  <c r="E65"/>
  <c r="D65"/>
  <c r="K64"/>
  <c r="L64" s="1"/>
  <c r="K63"/>
  <c r="L63" s="1"/>
  <c r="K62"/>
  <c r="L62" s="1"/>
  <c r="K61"/>
  <c r="L61" s="1"/>
  <c r="K60"/>
  <c r="L60" s="1"/>
  <c r="K59"/>
  <c r="L59" s="1"/>
  <c r="K58"/>
  <c r="L58" s="1"/>
  <c r="L57"/>
  <c r="K57"/>
  <c r="K56"/>
  <c r="J55"/>
  <c r="I55"/>
  <c r="H55"/>
  <c r="G55"/>
  <c r="F55"/>
  <c r="E55"/>
  <c r="D55"/>
  <c r="K54"/>
  <c r="K53"/>
  <c r="L52" s="1"/>
  <c r="K52"/>
  <c r="K51"/>
  <c r="K50"/>
  <c r="K49"/>
  <c r="K55" s="1"/>
  <c r="J48"/>
  <c r="I48"/>
  <c r="H48"/>
  <c r="G48"/>
  <c r="F48"/>
  <c r="E48"/>
  <c r="D48"/>
  <c r="K47"/>
  <c r="L47" s="1"/>
  <c r="K46"/>
  <c r="L46" s="1"/>
  <c r="L45"/>
  <c r="K45"/>
  <c r="K44"/>
  <c r="L44" s="1"/>
  <c r="K43"/>
  <c r="L43" s="1"/>
  <c r="K42"/>
  <c r="J41"/>
  <c r="I41"/>
  <c r="H41"/>
  <c r="G41"/>
  <c r="F41"/>
  <c r="E41"/>
  <c r="D41"/>
  <c r="K40"/>
  <c r="K39"/>
  <c r="L38" s="1"/>
  <c r="K38"/>
  <c r="K37"/>
  <c r="L36" s="1"/>
  <c r="K36"/>
  <c r="L35" s="1"/>
  <c r="K35"/>
  <c r="L34" s="1"/>
  <c r="K34"/>
  <c r="K33"/>
  <c r="J32"/>
  <c r="I32"/>
  <c r="H32"/>
  <c r="G32"/>
  <c r="F32"/>
  <c r="E32"/>
  <c r="D32"/>
  <c r="K31"/>
  <c r="L31" s="1"/>
  <c r="K30"/>
  <c r="L30" s="1"/>
  <c r="L29"/>
  <c r="K29"/>
  <c r="K28"/>
  <c r="L28" s="1"/>
  <c r="K27"/>
  <c r="L27" s="1"/>
  <c r="K26"/>
  <c r="L26" s="1"/>
  <c r="K25"/>
  <c r="L25" s="1"/>
  <c r="K24"/>
  <c r="L24" s="1"/>
  <c r="K23"/>
  <c r="L23" s="1"/>
  <c r="K22"/>
  <c r="L22" s="1"/>
  <c r="J21"/>
  <c r="I21"/>
  <c r="H21"/>
  <c r="G21"/>
  <c r="F21"/>
  <c r="E21"/>
  <c r="D21"/>
  <c r="L20" s="1"/>
  <c r="K20"/>
  <c r="K19"/>
  <c r="K18"/>
  <c r="K17"/>
  <c r="K16"/>
  <c r="K15"/>
  <c r="K14"/>
  <c r="L13" s="1"/>
  <c r="K13"/>
  <c r="L12" s="1"/>
  <c r="K12"/>
  <c r="L11" s="1"/>
  <c r="K11"/>
  <c r="J10"/>
  <c r="I10"/>
  <c r="H10"/>
  <c r="G10"/>
  <c r="F10"/>
  <c r="E10"/>
  <c r="D10"/>
  <c r="K9"/>
  <c r="L9" s="1"/>
  <c r="K8"/>
  <c r="J7"/>
  <c r="I7"/>
  <c r="H7"/>
  <c r="G7"/>
  <c r="F7"/>
  <c r="E7"/>
  <c r="D7"/>
  <c r="K6"/>
  <c r="K5"/>
  <c r="F61" i="36"/>
  <c r="E61"/>
  <c r="H60"/>
  <c r="G60"/>
  <c r="H59"/>
  <c r="G59"/>
  <c r="H58"/>
  <c r="G58"/>
  <c r="H57"/>
  <c r="G57"/>
  <c r="H56"/>
  <c r="G56"/>
  <c r="F55"/>
  <c r="E55"/>
  <c r="H54"/>
  <c r="G54"/>
  <c r="H53"/>
  <c r="G53"/>
  <c r="I52" s="1"/>
  <c r="H52"/>
  <c r="G52"/>
  <c r="H51"/>
  <c r="G51"/>
  <c r="H50"/>
  <c r="G50"/>
  <c r="I50" s="1"/>
  <c r="I49"/>
  <c r="H49"/>
  <c r="G49"/>
  <c r="H48"/>
  <c r="G48"/>
  <c r="H47"/>
  <c r="G47"/>
  <c r="I47" s="1"/>
  <c r="F46"/>
  <c r="E46"/>
  <c r="H45"/>
  <c r="G45"/>
  <c r="H44"/>
  <c r="G44"/>
  <c r="H43"/>
  <c r="G43"/>
  <c r="I43" s="1"/>
  <c r="F42"/>
  <c r="E42"/>
  <c r="H41"/>
  <c r="G41"/>
  <c r="I40" s="1"/>
  <c r="H40"/>
  <c r="G40"/>
  <c r="H39"/>
  <c r="G39"/>
  <c r="I38"/>
  <c r="H38"/>
  <c r="G38"/>
  <c r="F37"/>
  <c r="E37"/>
  <c r="H36"/>
  <c r="G36"/>
  <c r="I36" s="1"/>
  <c r="I35"/>
  <c r="H35"/>
  <c r="G35"/>
  <c r="H34"/>
  <c r="G34"/>
  <c r="H33"/>
  <c r="G33"/>
  <c r="H32"/>
  <c r="G32"/>
  <c r="H31"/>
  <c r="G31"/>
  <c r="I30"/>
  <c r="H30"/>
  <c r="G30"/>
  <c r="F29"/>
  <c r="E29"/>
  <c r="H28"/>
  <c r="G28"/>
  <c r="H27"/>
  <c r="G27"/>
  <c r="I26"/>
  <c r="H26"/>
  <c r="G26"/>
  <c r="H25"/>
  <c r="I25" s="1"/>
  <c r="G25"/>
  <c r="H24"/>
  <c r="G24"/>
  <c r="H23"/>
  <c r="G23"/>
  <c r="H22"/>
  <c r="G22"/>
  <c r="I21"/>
  <c r="H21"/>
  <c r="G21"/>
  <c r="H20"/>
  <c r="G20"/>
  <c r="H19"/>
  <c r="G19"/>
  <c r="F18"/>
  <c r="E18"/>
  <c r="I17" s="1"/>
  <c r="H17"/>
  <c r="G17"/>
  <c r="I16"/>
  <c r="H16"/>
  <c r="G16"/>
  <c r="H15"/>
  <c r="G15"/>
  <c r="I14" s="1"/>
  <c r="H14"/>
  <c r="G14"/>
  <c r="H13"/>
  <c r="G13"/>
  <c r="H12"/>
  <c r="I12" s="1"/>
  <c r="G12"/>
  <c r="H11"/>
  <c r="I11" s="1"/>
  <c r="G11"/>
  <c r="H10"/>
  <c r="G10"/>
  <c r="H9"/>
  <c r="G9"/>
  <c r="H8"/>
  <c r="G8"/>
  <c r="F7"/>
  <c r="E7"/>
  <c r="H6"/>
  <c r="G6"/>
  <c r="I6" s="1"/>
  <c r="H5"/>
  <c r="I5" s="1"/>
  <c r="G5"/>
  <c r="H4"/>
  <c r="G4"/>
  <c r="F4"/>
  <c r="E4"/>
  <c r="H3"/>
  <c r="G3"/>
  <c r="I39" l="1"/>
  <c r="I44"/>
  <c r="K10" i="35"/>
  <c r="L69"/>
  <c r="L6"/>
  <c r="L8"/>
  <c r="I59" i="36"/>
  <c r="I3"/>
  <c r="I4" s="1"/>
  <c r="G42"/>
  <c r="I48"/>
  <c r="I51"/>
  <c r="I60"/>
  <c r="L19" i="35"/>
  <c r="L54"/>
  <c r="N28" i="34"/>
  <c r="N42"/>
  <c r="H3" i="23"/>
  <c r="I24" i="36"/>
  <c r="I27"/>
  <c r="I31"/>
  <c r="N43" i="34"/>
  <c r="N44" s="1"/>
  <c r="I28" i="36"/>
  <c r="I32"/>
  <c r="L49" i="35"/>
  <c r="L67"/>
  <c r="E8" i="37"/>
  <c r="N5" i="34"/>
  <c r="N7" s="1"/>
  <c r="N24"/>
  <c r="I8" i="36"/>
  <c r="I15"/>
  <c r="I22"/>
  <c r="I54"/>
  <c r="L15" i="35"/>
  <c r="L50"/>
  <c r="L55" s="1"/>
  <c r="I10" i="36"/>
  <c r="I13"/>
  <c r="I20"/>
  <c r="I23"/>
  <c r="L16" i="35"/>
  <c r="L32"/>
  <c r="K32" s="1"/>
  <c r="L39"/>
  <c r="L53"/>
  <c r="L70"/>
  <c r="N25" i="34"/>
  <c r="N30"/>
  <c r="N34" s="1"/>
  <c r="M34" s="1"/>
  <c r="N49"/>
  <c r="I7" i="36"/>
  <c r="H7" s="1"/>
  <c r="G7" s="1"/>
  <c r="I57"/>
  <c r="L17" i="35"/>
  <c r="L33"/>
  <c r="L41" s="1"/>
  <c r="K41" s="1"/>
  <c r="L40"/>
  <c r="L42"/>
  <c r="L48" s="1"/>
  <c r="K48" s="1"/>
  <c r="E20" i="37"/>
  <c r="E60"/>
  <c r="N10" i="34"/>
  <c r="M10" s="1"/>
  <c r="N15"/>
  <c r="N20"/>
  <c r="N31"/>
  <c r="L10" i="35"/>
  <c r="L18"/>
  <c r="L56"/>
  <c r="L65" s="1"/>
  <c r="K65" s="1"/>
  <c r="E5" i="37"/>
  <c r="N11" i="34"/>
  <c r="N16"/>
  <c r="N17" s="1"/>
  <c r="M17" s="1"/>
  <c r="N50"/>
  <c r="I33" i="36"/>
  <c r="I45"/>
  <c r="I46" s="1"/>
  <c r="H46" s="1"/>
  <c r="G46" s="1"/>
  <c r="I58"/>
  <c r="K21" i="35"/>
  <c r="L66"/>
  <c r="R4" i="22"/>
  <c r="S3"/>
  <c r="S74"/>
  <c r="E55" i="37"/>
  <c r="N22" i="34"/>
  <c r="N33"/>
  <c r="N37"/>
  <c r="N52"/>
  <c r="I34" i="36"/>
  <c r="I37" s="1"/>
  <c r="H37" s="1"/>
  <c r="G37" s="1"/>
  <c r="L5" i="35"/>
  <c r="L7" s="1"/>
  <c r="K7" s="1"/>
  <c r="E32" i="37"/>
  <c r="E48"/>
  <c r="N18" i="34"/>
  <c r="N23"/>
  <c r="N38"/>
  <c r="M74" i="23"/>
  <c r="M3"/>
  <c r="I9" i="36"/>
  <c r="I18" s="1"/>
  <c r="H18" s="1"/>
  <c r="G18" s="1"/>
  <c r="I19"/>
  <c r="G29"/>
  <c r="I41"/>
  <c r="I42" s="1"/>
  <c r="H42" s="1"/>
  <c r="I53"/>
  <c r="I56"/>
  <c r="I61" s="1"/>
  <c r="H61" s="1"/>
  <c r="G61" s="1"/>
  <c r="L14" i="35"/>
  <c r="L21" s="1"/>
  <c r="L37"/>
  <c r="L51"/>
  <c r="L68"/>
  <c r="E41" i="37"/>
  <c r="E65"/>
  <c r="M44" i="34"/>
  <c r="G38" i="25"/>
  <c r="G3" s="1"/>
  <c r="H3"/>
  <c r="G4" i="23"/>
  <c r="H74"/>
  <c r="AM115" i="32"/>
  <c r="AB115"/>
  <c r="AA115"/>
  <c r="Z115"/>
  <c r="Y115"/>
  <c r="W115"/>
  <c r="V115"/>
  <c r="U115"/>
  <c r="T115"/>
  <c r="M115"/>
  <c r="L115"/>
  <c r="K115"/>
  <c r="J115"/>
  <c r="H115"/>
  <c r="G115"/>
  <c r="F115"/>
  <c r="E115"/>
  <c r="D115"/>
  <c r="AJ114"/>
  <c r="AC114"/>
  <c r="AL114" s="1"/>
  <c r="X114"/>
  <c r="R114"/>
  <c r="Q114"/>
  <c r="P114"/>
  <c r="O114"/>
  <c r="N114"/>
  <c r="I114"/>
  <c r="AJ113"/>
  <c r="AC113"/>
  <c r="AL113" s="1"/>
  <c r="X113"/>
  <c r="R113"/>
  <c r="Q113"/>
  <c r="P113"/>
  <c r="O113"/>
  <c r="N113"/>
  <c r="I113"/>
  <c r="AJ112"/>
  <c r="AC112"/>
  <c r="AL112" s="1"/>
  <c r="X112"/>
  <c r="R112"/>
  <c r="Q112"/>
  <c r="P112"/>
  <c r="O112"/>
  <c r="N112"/>
  <c r="I112"/>
  <c r="AJ111"/>
  <c r="AC111"/>
  <c r="AL111" s="1"/>
  <c r="X111"/>
  <c r="R111"/>
  <c r="Q111"/>
  <c r="P111"/>
  <c r="O111"/>
  <c r="N111"/>
  <c r="I111"/>
  <c r="AJ110"/>
  <c r="AF110"/>
  <c r="AC110"/>
  <c r="AL110" s="1"/>
  <c r="X110"/>
  <c r="R110"/>
  <c r="Q110"/>
  <c r="P110"/>
  <c r="O110"/>
  <c r="N110"/>
  <c r="I110"/>
  <c r="AJ109"/>
  <c r="AC109"/>
  <c r="AL109" s="1"/>
  <c r="X109"/>
  <c r="R109"/>
  <c r="Q109"/>
  <c r="P109"/>
  <c r="O109"/>
  <c r="N109"/>
  <c r="I109"/>
  <c r="AK108"/>
  <c r="AJ108"/>
  <c r="AC108"/>
  <c r="AL108" s="1"/>
  <c r="X108"/>
  <c r="R108"/>
  <c r="Q108"/>
  <c r="P108"/>
  <c r="O108"/>
  <c r="N108"/>
  <c r="I108"/>
  <c r="AJ107"/>
  <c r="AC107"/>
  <c r="AL107" s="1"/>
  <c r="X107"/>
  <c r="R107"/>
  <c r="Q107"/>
  <c r="P107"/>
  <c r="O107"/>
  <c r="N107"/>
  <c r="I107"/>
  <c r="AK106"/>
  <c r="AJ106"/>
  <c r="AC106"/>
  <c r="AL106" s="1"/>
  <c r="X106"/>
  <c r="R106"/>
  <c r="Q106"/>
  <c r="P106"/>
  <c r="O106"/>
  <c r="N106"/>
  <c r="I106"/>
  <c r="AK105"/>
  <c r="AJ105"/>
  <c r="AG105"/>
  <c r="AF105"/>
  <c r="AC105"/>
  <c r="AL105" s="1"/>
  <c r="X105"/>
  <c r="R105"/>
  <c r="Q105"/>
  <c r="P105"/>
  <c r="O105"/>
  <c r="N105"/>
  <c r="I105"/>
  <c r="AJ104"/>
  <c r="AC104"/>
  <c r="AL104" s="1"/>
  <c r="X104"/>
  <c r="R104"/>
  <c r="Q104"/>
  <c r="P104"/>
  <c r="O104"/>
  <c r="N104"/>
  <c r="I104"/>
  <c r="AJ103"/>
  <c r="AC103"/>
  <c r="AL103" s="1"/>
  <c r="X103"/>
  <c r="R103"/>
  <c r="Q103"/>
  <c r="P103"/>
  <c r="O103"/>
  <c r="N103"/>
  <c r="I103"/>
  <c r="AJ102"/>
  <c r="AC102"/>
  <c r="AL102" s="1"/>
  <c r="X102"/>
  <c r="R102"/>
  <c r="Q102"/>
  <c r="P102"/>
  <c r="O102"/>
  <c r="S102" s="1"/>
  <c r="N102"/>
  <c r="I102"/>
  <c r="AJ101"/>
  <c r="AI101"/>
  <c r="AE101"/>
  <c r="AC101"/>
  <c r="AL101" s="1"/>
  <c r="X101"/>
  <c r="R101"/>
  <c r="Q101"/>
  <c r="P101"/>
  <c r="O101"/>
  <c r="N101"/>
  <c r="I101"/>
  <c r="AM100"/>
  <c r="AB100"/>
  <c r="AA100"/>
  <c r="Z100"/>
  <c r="Y100"/>
  <c r="W100"/>
  <c r="V100"/>
  <c r="U100"/>
  <c r="T100"/>
  <c r="M100"/>
  <c r="L100"/>
  <c r="K100"/>
  <c r="J100"/>
  <c r="H100"/>
  <c r="G100"/>
  <c r="F100"/>
  <c r="E100"/>
  <c r="D100"/>
  <c r="AK99"/>
  <c r="AJ99"/>
  <c r="AI99"/>
  <c r="AG99"/>
  <c r="AF99"/>
  <c r="AE99"/>
  <c r="AC99"/>
  <c r="AL99" s="1"/>
  <c r="X99"/>
  <c r="R99"/>
  <c r="Q99"/>
  <c r="P99"/>
  <c r="O99"/>
  <c r="N99"/>
  <c r="I99"/>
  <c r="AJ98"/>
  <c r="AC98"/>
  <c r="AL98" s="1"/>
  <c r="X98"/>
  <c r="R98"/>
  <c r="Q98"/>
  <c r="P98"/>
  <c r="O98"/>
  <c r="N98"/>
  <c r="I98"/>
  <c r="AJ97"/>
  <c r="AC97"/>
  <c r="AL97" s="1"/>
  <c r="X97"/>
  <c r="R97"/>
  <c r="Q97"/>
  <c r="P97"/>
  <c r="O97"/>
  <c r="N97"/>
  <c r="I97"/>
  <c r="AJ96"/>
  <c r="AC96"/>
  <c r="AL96" s="1"/>
  <c r="X96"/>
  <c r="R96"/>
  <c r="Q96"/>
  <c r="P96"/>
  <c r="O96"/>
  <c r="N96"/>
  <c r="I96"/>
  <c r="AE104" l="1"/>
  <c r="S113"/>
  <c r="AE97"/>
  <c r="I29" i="36"/>
  <c r="H29" s="1"/>
  <c r="N51" i="34"/>
  <c r="M51" s="1"/>
  <c r="S101" i="32"/>
  <c r="S99"/>
  <c r="AI97"/>
  <c r="S103"/>
  <c r="AG104"/>
  <c r="AF104" s="1"/>
  <c r="I55" i="36"/>
  <c r="H55" s="1"/>
  <c r="G55" s="1"/>
  <c r="S97" i="32"/>
  <c r="N26" i="34"/>
  <c r="M26" s="1"/>
  <c r="N39"/>
  <c r="M39" s="1"/>
  <c r="Q4" i="22"/>
  <c r="R3"/>
  <c r="R74"/>
  <c r="AE96" i="32"/>
  <c r="N100"/>
  <c r="AF96"/>
  <c r="AG98"/>
  <c r="AF98" s="1"/>
  <c r="Q115"/>
  <c r="S105"/>
  <c r="AG107"/>
  <c r="AG109"/>
  <c r="AE113"/>
  <c r="S109"/>
  <c r="S112"/>
  <c r="AI113"/>
  <c r="I62" i="36"/>
  <c r="H62" s="1"/>
  <c r="G62" s="1"/>
  <c r="F62" s="1"/>
  <c r="E62" s="1"/>
  <c r="AE98" i="32"/>
  <c r="AH98"/>
  <c r="X115"/>
  <c r="AF109"/>
  <c r="AG96"/>
  <c r="P100"/>
  <c r="AE106"/>
  <c r="AK107"/>
  <c r="AK98"/>
  <c r="AH104"/>
  <c r="AF106"/>
  <c r="AG108"/>
  <c r="AF108" s="1"/>
  <c r="AG110"/>
  <c r="AI96"/>
  <c r="R100"/>
  <c r="Q100" s="1"/>
  <c r="AK96"/>
  <c r="I115"/>
  <c r="S106"/>
  <c r="AG106"/>
  <c r="AH108"/>
  <c r="S110"/>
  <c r="AF107"/>
  <c r="O100"/>
  <c r="AK104"/>
  <c r="S108"/>
  <c r="AK110"/>
  <c r="S114"/>
  <c r="P115"/>
  <c r="I100"/>
  <c r="AI102"/>
  <c r="AH102" s="1"/>
  <c r="AH103"/>
  <c r="S107"/>
  <c r="AH111"/>
  <c r="AI112"/>
  <c r="AI114"/>
  <c r="AH114" s="1"/>
  <c r="S96"/>
  <c r="AH97"/>
  <c r="AL115"/>
  <c r="AH101"/>
  <c r="AG102"/>
  <c r="AG103"/>
  <c r="S111"/>
  <c r="AG111"/>
  <c r="AH112"/>
  <c r="AH113"/>
  <c r="AG114"/>
  <c r="AL100"/>
  <c r="AH96"/>
  <c r="AG97"/>
  <c r="AG100" s="1"/>
  <c r="AI98"/>
  <c r="AH99"/>
  <c r="AN99" s="1"/>
  <c r="AG101"/>
  <c r="AK101"/>
  <c r="AF102"/>
  <c r="AK102"/>
  <c r="AF103"/>
  <c r="AK103"/>
  <c r="AI104"/>
  <c r="AE105"/>
  <c r="AI105"/>
  <c r="AI106"/>
  <c r="AH106" s="1"/>
  <c r="AN106" s="1"/>
  <c r="AE107"/>
  <c r="AI107"/>
  <c r="AE108"/>
  <c r="AE109"/>
  <c r="AI109"/>
  <c r="AE110"/>
  <c r="AF111"/>
  <c r="AK111"/>
  <c r="AG112"/>
  <c r="AF112" s="1"/>
  <c r="AK112"/>
  <c r="AG113"/>
  <c r="AK113"/>
  <c r="AF114"/>
  <c r="AK114"/>
  <c r="O115"/>
  <c r="AF97"/>
  <c r="AK97"/>
  <c r="S98"/>
  <c r="X100"/>
  <c r="AC100"/>
  <c r="AF101"/>
  <c r="AE102"/>
  <c r="AE103"/>
  <c r="AI103"/>
  <c r="S104"/>
  <c r="AH105"/>
  <c r="AH107"/>
  <c r="AI108"/>
  <c r="AH109"/>
  <c r="AI110"/>
  <c r="AH110" s="1"/>
  <c r="AE111"/>
  <c r="AI111"/>
  <c r="AE112"/>
  <c r="AF113"/>
  <c r="AE114"/>
  <c r="AC115"/>
  <c r="G3" i="23"/>
  <c r="G74"/>
  <c r="AM95" i="32"/>
  <c r="AB95"/>
  <c r="AA95"/>
  <c r="Z95"/>
  <c r="Y95"/>
  <c r="W95"/>
  <c r="V95"/>
  <c r="U95"/>
  <c r="T95"/>
  <c r="M95"/>
  <c r="L95"/>
  <c r="K95"/>
  <c r="J95"/>
  <c r="H95"/>
  <c r="G95"/>
  <c r="F95"/>
  <c r="E95"/>
  <c r="D95"/>
  <c r="AJ94"/>
  <c r="AC94"/>
  <c r="AL94" s="1"/>
  <c r="X94"/>
  <c r="R94"/>
  <c r="Q94"/>
  <c r="P94"/>
  <c r="O94"/>
  <c r="N94"/>
  <c r="I94"/>
  <c r="AK93"/>
  <c r="AJ93"/>
  <c r="AH93"/>
  <c r="AG93"/>
  <c r="AF93" s="1"/>
  <c r="AC93"/>
  <c r="AL93" s="1"/>
  <c r="X93"/>
  <c r="R93"/>
  <c r="Q93"/>
  <c r="P93"/>
  <c r="O93"/>
  <c r="N93"/>
  <c r="I93"/>
  <c r="AJ92"/>
  <c r="AC92"/>
  <c r="AL92" s="1"/>
  <c r="X92"/>
  <c r="R92"/>
  <c r="Q92"/>
  <c r="P92"/>
  <c r="O92"/>
  <c r="N92"/>
  <c r="I92"/>
  <c r="AJ91"/>
  <c r="AC91"/>
  <c r="AL91" s="1"/>
  <c r="X91"/>
  <c r="R91"/>
  <c r="Q91"/>
  <c r="P91"/>
  <c r="O91"/>
  <c r="N91"/>
  <c r="I91"/>
  <c r="AJ90"/>
  <c r="AC90"/>
  <c r="AL90" s="1"/>
  <c r="X90"/>
  <c r="R90"/>
  <c r="Q90"/>
  <c r="P90"/>
  <c r="O90"/>
  <c r="N90"/>
  <c r="I90"/>
  <c r="AH100" l="1"/>
  <c r="AN114"/>
  <c r="AE93"/>
  <c r="S92"/>
  <c r="AK94"/>
  <c r="AN113"/>
  <c r="S115"/>
  <c r="AK100"/>
  <c r="AJ100" s="1"/>
  <c r="AI100" s="1"/>
  <c r="AN97"/>
  <c r="N95"/>
  <c r="AG91"/>
  <c r="AE94"/>
  <c r="AN102"/>
  <c r="S90"/>
  <c r="AF94"/>
  <c r="AF115"/>
  <c r="AN98"/>
  <c r="S91"/>
  <c r="S94"/>
  <c r="AG94"/>
  <c r="P4" i="22"/>
  <c r="Q3"/>
  <c r="Q74"/>
  <c r="R115" i="32"/>
  <c r="N115"/>
  <c r="AH90"/>
  <c r="AI91"/>
  <c r="AH91" s="1"/>
  <c r="AE92"/>
  <c r="AI92"/>
  <c r="S93"/>
  <c r="AN111"/>
  <c r="AN108"/>
  <c r="AG115"/>
  <c r="AE115"/>
  <c r="AF100"/>
  <c r="AE100" s="1"/>
  <c r="AH92"/>
  <c r="AF91"/>
  <c r="AK91"/>
  <c r="AG92"/>
  <c r="AN107"/>
  <c r="AH115"/>
  <c r="AN96"/>
  <c r="AG90"/>
  <c r="AF90"/>
  <c r="AE90"/>
  <c r="AI90"/>
  <c r="AE91"/>
  <c r="AF92"/>
  <c r="AK92"/>
  <c r="AI93"/>
  <c r="AN93" s="1"/>
  <c r="AI94"/>
  <c r="AH94" s="1"/>
  <c r="AN110"/>
  <c r="AN105"/>
  <c r="AN101"/>
  <c r="S100"/>
  <c r="AI115"/>
  <c r="AJ89"/>
  <c r="AJ95" s="1"/>
  <c r="AE89"/>
  <c r="AC89"/>
  <c r="AK89" s="1"/>
  <c r="X89"/>
  <c r="X95" s="1"/>
  <c r="R89"/>
  <c r="Q89"/>
  <c r="P89"/>
  <c r="P95" s="1"/>
  <c r="O89"/>
  <c r="I89"/>
  <c r="I95" s="1"/>
  <c r="AM88"/>
  <c r="AB88"/>
  <c r="AA88"/>
  <c r="Z88"/>
  <c r="Y88"/>
  <c r="W88"/>
  <c r="V88"/>
  <c r="U88"/>
  <c r="T88"/>
  <c r="M88"/>
  <c r="L88"/>
  <c r="K88"/>
  <c r="J88"/>
  <c r="H88"/>
  <c r="G88"/>
  <c r="F88"/>
  <c r="E88"/>
  <c r="D88"/>
  <c r="AJ87"/>
  <c r="AC87"/>
  <c r="AL87" s="1"/>
  <c r="X87"/>
  <c r="R87"/>
  <c r="Q87"/>
  <c r="P87"/>
  <c r="O87"/>
  <c r="N87"/>
  <c r="I87"/>
  <c r="AJ86"/>
  <c r="AC86"/>
  <c r="AL86" s="1"/>
  <c r="X86"/>
  <c r="R86"/>
  <c r="Q86"/>
  <c r="P86"/>
  <c r="O86"/>
  <c r="S86" s="1"/>
  <c r="N86"/>
  <c r="I86"/>
  <c r="AK87" l="1"/>
  <c r="S87"/>
  <c r="AN94"/>
  <c r="AE95"/>
  <c r="AI87"/>
  <c r="AF86"/>
  <c r="AG89"/>
  <c r="AF89" s="1"/>
  <c r="AF95" s="1"/>
  <c r="S89"/>
  <c r="S95" s="1"/>
  <c r="R95" s="1"/>
  <c r="Q95" s="1"/>
  <c r="AH89"/>
  <c r="AH95" s="1"/>
  <c r="P3" i="22"/>
  <c r="P74"/>
  <c r="AE86" i="32"/>
  <c r="AE87"/>
  <c r="O95"/>
  <c r="AK86"/>
  <c r="AF87"/>
  <c r="AH87"/>
  <c r="AL89"/>
  <c r="AL95" s="1"/>
  <c r="AC95"/>
  <c r="AO96"/>
  <c r="AN100"/>
  <c r="AI86"/>
  <c r="AH86" s="1"/>
  <c r="AG86"/>
  <c r="AG87"/>
  <c r="AI89"/>
  <c r="AI95" s="1"/>
  <c r="AJ85"/>
  <c r="AC85"/>
  <c r="AL85" s="1"/>
  <c r="X85"/>
  <c r="R85"/>
  <c r="Q85"/>
  <c r="P85"/>
  <c r="O85"/>
  <c r="N85"/>
  <c r="I85"/>
  <c r="AJ84"/>
  <c r="AC84"/>
  <c r="AL84" s="1"/>
  <c r="X84"/>
  <c r="R84"/>
  <c r="Q84"/>
  <c r="P84"/>
  <c r="O84"/>
  <c r="N84"/>
  <c r="I84"/>
  <c r="AJ83"/>
  <c r="AC83"/>
  <c r="AL83" s="1"/>
  <c r="X83"/>
  <c r="R83"/>
  <c r="Q83"/>
  <c r="P83"/>
  <c r="O83"/>
  <c r="S83" s="1"/>
  <c r="N83"/>
  <c r="I83"/>
  <c r="AJ82"/>
  <c r="AC82"/>
  <c r="AL82" s="1"/>
  <c r="X82"/>
  <c r="R82"/>
  <c r="Q82"/>
  <c r="P82"/>
  <c r="O82"/>
  <c r="N82"/>
  <c r="I82"/>
  <c r="AJ81"/>
  <c r="AC81"/>
  <c r="AL81" s="1"/>
  <c r="X81"/>
  <c r="R81"/>
  <c r="Q81"/>
  <c r="P81"/>
  <c r="O81"/>
  <c r="N81"/>
  <c r="I81"/>
  <c r="AJ80"/>
  <c r="AC80"/>
  <c r="AL80" s="1"/>
  <c r="X80"/>
  <c r="R80"/>
  <c r="Q80"/>
  <c r="P80"/>
  <c r="O80"/>
  <c r="S80" s="1"/>
  <c r="N80"/>
  <c r="I80"/>
  <c r="AJ79"/>
  <c r="AC79"/>
  <c r="AL79" s="1"/>
  <c r="X79"/>
  <c r="R79"/>
  <c r="Q79"/>
  <c r="P79"/>
  <c r="O79"/>
  <c r="N79"/>
  <c r="I79"/>
  <c r="AJ78"/>
  <c r="AG78"/>
  <c r="AC78"/>
  <c r="AL78" s="1"/>
  <c r="X78"/>
  <c r="R78"/>
  <c r="Q78"/>
  <c r="P78"/>
  <c r="O78"/>
  <c r="N78"/>
  <c r="I78"/>
  <c r="AJ77"/>
  <c r="AC77"/>
  <c r="AL77" s="1"/>
  <c r="X77"/>
  <c r="R77"/>
  <c r="Q77"/>
  <c r="P77"/>
  <c r="O77"/>
  <c r="N77"/>
  <c r="I77"/>
  <c r="AJ76"/>
  <c r="AC76"/>
  <c r="AL76" s="1"/>
  <c r="X76"/>
  <c r="R76"/>
  <c r="Q76"/>
  <c r="P76"/>
  <c r="O76"/>
  <c r="S76" s="1"/>
  <c r="N76"/>
  <c r="I76"/>
  <c r="AJ75"/>
  <c r="AC75"/>
  <c r="AL75" s="1"/>
  <c r="X75"/>
  <c r="R75"/>
  <c r="Q75"/>
  <c r="P75"/>
  <c r="O75"/>
  <c r="N75"/>
  <c r="I75"/>
  <c r="AJ74"/>
  <c r="AC74"/>
  <c r="AL74" s="1"/>
  <c r="X74"/>
  <c r="R74"/>
  <c r="Q74"/>
  <c r="P74"/>
  <c r="O74"/>
  <c r="N74"/>
  <c r="I74"/>
  <c r="AJ73"/>
  <c r="AC73"/>
  <c r="AL73" s="1"/>
  <c r="X73"/>
  <c r="R73"/>
  <c r="Q73"/>
  <c r="P73"/>
  <c r="O73"/>
  <c r="N73"/>
  <c r="I73"/>
  <c r="AJ72"/>
  <c r="AC72"/>
  <c r="AL72" s="1"/>
  <c r="X72"/>
  <c r="R72"/>
  <c r="Q72"/>
  <c r="P72"/>
  <c r="O72"/>
  <c r="N72"/>
  <c r="I72"/>
  <c r="AJ71"/>
  <c r="AC71"/>
  <c r="AL71" s="1"/>
  <c r="X71"/>
  <c r="R71"/>
  <c r="Q71"/>
  <c r="P71"/>
  <c r="O71"/>
  <c r="N71"/>
  <c r="I71"/>
  <c r="AJ70"/>
  <c r="AC70"/>
  <c r="AL70" s="1"/>
  <c r="X70"/>
  <c r="R70"/>
  <c r="Q70"/>
  <c r="P70"/>
  <c r="O70"/>
  <c r="N70"/>
  <c r="I70"/>
  <c r="AK69"/>
  <c r="AJ69"/>
  <c r="AC69"/>
  <c r="AG69" s="1"/>
  <c r="X69"/>
  <c r="R69"/>
  <c r="Q69"/>
  <c r="P69"/>
  <c r="O69"/>
  <c r="N69"/>
  <c r="I69"/>
  <c r="AM68"/>
  <c r="AB68"/>
  <c r="AA68"/>
  <c r="Z68"/>
  <c r="Y68"/>
  <c r="W68"/>
  <c r="V68"/>
  <c r="U68"/>
  <c r="T68"/>
  <c r="M68"/>
  <c r="L68"/>
  <c r="K68"/>
  <c r="J68"/>
  <c r="H68"/>
  <c r="G68"/>
  <c r="F68"/>
  <c r="E68"/>
  <c r="D68"/>
  <c r="AJ67"/>
  <c r="AC67"/>
  <c r="AL67" s="1"/>
  <c r="X67"/>
  <c r="R67"/>
  <c r="Q67"/>
  <c r="P67"/>
  <c r="O67"/>
  <c r="N67"/>
  <c r="I67"/>
  <c r="AJ66"/>
  <c r="AC66"/>
  <c r="AL66" s="1"/>
  <c r="X66"/>
  <c r="R66"/>
  <c r="Q66"/>
  <c r="P66"/>
  <c r="O66"/>
  <c r="N66"/>
  <c r="I66"/>
  <c r="AJ65"/>
  <c r="AC65"/>
  <c r="AL65" s="1"/>
  <c r="X65"/>
  <c r="R65"/>
  <c r="Q65"/>
  <c r="P65"/>
  <c r="O65"/>
  <c r="S65" s="1"/>
  <c r="N65"/>
  <c r="I65"/>
  <c r="AJ64"/>
  <c r="AC64"/>
  <c r="AL64" s="1"/>
  <c r="X64"/>
  <c r="R64"/>
  <c r="Q64"/>
  <c r="P64"/>
  <c r="O64"/>
  <c r="S64" s="1"/>
  <c r="N64"/>
  <c r="I64"/>
  <c r="AJ63"/>
  <c r="AC63"/>
  <c r="AL63" s="1"/>
  <c r="X63"/>
  <c r="R63"/>
  <c r="Q63"/>
  <c r="P63"/>
  <c r="O63"/>
  <c r="N63"/>
  <c r="I63"/>
  <c r="AJ62"/>
  <c r="AC62"/>
  <c r="AL62" s="1"/>
  <c r="X62"/>
  <c r="R62"/>
  <c r="Q62"/>
  <c r="P62"/>
  <c r="O62"/>
  <c r="N62"/>
  <c r="I62"/>
  <c r="AJ61"/>
  <c r="AG61"/>
  <c r="AF61"/>
  <c r="AC61"/>
  <c r="AL61" s="1"/>
  <c r="X61"/>
  <c r="R61"/>
  <c r="Q61"/>
  <c r="P61"/>
  <c r="O61"/>
  <c r="N61"/>
  <c r="I61"/>
  <c r="AJ60"/>
  <c r="AC60"/>
  <c r="AL60" s="1"/>
  <c r="X60"/>
  <c r="R60"/>
  <c r="Q60"/>
  <c r="P60"/>
  <c r="O60"/>
  <c r="S60" s="1"/>
  <c r="N60"/>
  <c r="I60"/>
  <c r="AJ59"/>
  <c r="AC59"/>
  <c r="AL59" s="1"/>
  <c r="X59"/>
  <c r="R59"/>
  <c r="Q59"/>
  <c r="P59"/>
  <c r="O59"/>
  <c r="N59"/>
  <c r="I59"/>
  <c r="AJ58"/>
  <c r="AC58"/>
  <c r="AL58" s="1"/>
  <c r="X58"/>
  <c r="R58"/>
  <c r="Q58"/>
  <c r="P58"/>
  <c r="O58"/>
  <c r="N58"/>
  <c r="I58"/>
  <c r="AJ57"/>
  <c r="AC57"/>
  <c r="AL57" s="1"/>
  <c r="X57"/>
  <c r="R57"/>
  <c r="Q57"/>
  <c r="P57"/>
  <c r="O57"/>
  <c r="N57"/>
  <c r="I57"/>
  <c r="AJ56"/>
  <c r="AC56"/>
  <c r="AL56" s="1"/>
  <c r="X56"/>
  <c r="R56"/>
  <c r="Q56"/>
  <c r="P56"/>
  <c r="O56"/>
  <c r="N56"/>
  <c r="I56"/>
  <c r="AJ55"/>
  <c r="AF55"/>
  <c r="AC55"/>
  <c r="AL55" s="1"/>
  <c r="X55"/>
  <c r="R55"/>
  <c r="Q55"/>
  <c r="P55"/>
  <c r="O55"/>
  <c r="N55"/>
  <c r="I55"/>
  <c r="AJ54"/>
  <c r="AC54"/>
  <c r="AL54" s="1"/>
  <c r="X54"/>
  <c r="R54"/>
  <c r="Q54"/>
  <c r="P54"/>
  <c r="O54"/>
  <c r="N54"/>
  <c r="I54"/>
  <c r="AK53"/>
  <c r="AJ53"/>
  <c r="AI53" s="1"/>
  <c r="AF53"/>
  <c r="AE53"/>
  <c r="AC53"/>
  <c r="AL53" s="1"/>
  <c r="X53"/>
  <c r="R53"/>
  <c r="Q53"/>
  <c r="P53"/>
  <c r="O53"/>
  <c r="N53"/>
  <c r="I53"/>
  <c r="AJ52"/>
  <c r="AC52"/>
  <c r="AL52" s="1"/>
  <c r="X52"/>
  <c r="R52"/>
  <c r="Q52"/>
  <c r="P52"/>
  <c r="O52"/>
  <c r="N52"/>
  <c r="I52"/>
  <c r="AJ51"/>
  <c r="AC51"/>
  <c r="AL51" s="1"/>
  <c r="X51"/>
  <c r="R51"/>
  <c r="Q51"/>
  <c r="P51"/>
  <c r="O51"/>
  <c r="N51"/>
  <c r="I51"/>
  <c r="AJ50"/>
  <c r="AC50"/>
  <c r="AL50" s="1"/>
  <c r="X50"/>
  <c r="R50"/>
  <c r="Q50"/>
  <c r="P50"/>
  <c r="O50"/>
  <c r="N50"/>
  <c r="I50"/>
  <c r="AM49"/>
  <c r="AB49"/>
  <c r="AA49"/>
  <c r="Z49"/>
  <c r="Y49"/>
  <c r="W49"/>
  <c r="V49"/>
  <c r="U49"/>
  <c r="T49"/>
  <c r="M49"/>
  <c r="L49"/>
  <c r="K49"/>
  <c r="J49"/>
  <c r="H49"/>
  <c r="G49"/>
  <c r="F49"/>
  <c r="E49"/>
  <c r="D49"/>
  <c r="AJ48"/>
  <c r="AC48"/>
  <c r="AL48" s="1"/>
  <c r="X48"/>
  <c r="R48"/>
  <c r="Q48"/>
  <c r="P48"/>
  <c r="O48"/>
  <c r="N48"/>
  <c r="I48"/>
  <c r="AK47"/>
  <c r="AJ47"/>
  <c r="AI47" s="1"/>
  <c r="AE47"/>
  <c r="AC47"/>
  <c r="AL47" s="1"/>
  <c r="X47"/>
  <c r="R47"/>
  <c r="Q47"/>
  <c r="P47"/>
  <c r="O47"/>
  <c r="S47" s="1"/>
  <c r="N47"/>
  <c r="I47"/>
  <c r="AJ46"/>
  <c r="AC46"/>
  <c r="AL46" s="1"/>
  <c r="X46"/>
  <c r="R46"/>
  <c r="Q46"/>
  <c r="P46"/>
  <c r="O46"/>
  <c r="N46"/>
  <c r="I46"/>
  <c r="AJ45"/>
  <c r="AC45"/>
  <c r="AL45" s="1"/>
  <c r="X45"/>
  <c r="R45"/>
  <c r="Q45"/>
  <c r="P45"/>
  <c r="O45"/>
  <c r="N45"/>
  <c r="I45"/>
  <c r="AJ44"/>
  <c r="AC44"/>
  <c r="AL44" s="1"/>
  <c r="X44"/>
  <c r="R44"/>
  <c r="Q44"/>
  <c r="P44"/>
  <c r="O44"/>
  <c r="N44"/>
  <c r="I44"/>
  <c r="AJ43"/>
  <c r="AC43"/>
  <c r="AL43" s="1"/>
  <c r="X43"/>
  <c r="R43"/>
  <c r="Q43"/>
  <c r="P43"/>
  <c r="O43"/>
  <c r="N43"/>
  <c r="I43"/>
  <c r="AJ42"/>
  <c r="AC42"/>
  <c r="AL42" s="1"/>
  <c r="X42"/>
  <c r="R42"/>
  <c r="Q42"/>
  <c r="P42"/>
  <c r="O42"/>
  <c r="N42"/>
  <c r="I42"/>
  <c r="AJ41"/>
  <c r="AC41"/>
  <c r="AL41" s="1"/>
  <c r="X41"/>
  <c r="R41"/>
  <c r="Q41"/>
  <c r="P41"/>
  <c r="O41"/>
  <c r="N41"/>
  <c r="I41"/>
  <c r="AJ40"/>
  <c r="AG40"/>
  <c r="AF40"/>
  <c r="AC40"/>
  <c r="AL40" s="1"/>
  <c r="X40"/>
  <c r="R40"/>
  <c r="Q40"/>
  <c r="P40"/>
  <c r="O40"/>
  <c r="N40"/>
  <c r="I40"/>
  <c r="AJ39"/>
  <c r="AC39"/>
  <c r="AL39" s="1"/>
  <c r="X39"/>
  <c r="R39"/>
  <c r="Q39"/>
  <c r="P39"/>
  <c r="O39"/>
  <c r="N39"/>
  <c r="I39"/>
  <c r="AJ38"/>
  <c r="AC38"/>
  <c r="AL38" s="1"/>
  <c r="X38"/>
  <c r="R38"/>
  <c r="Q38"/>
  <c r="P38"/>
  <c r="O38"/>
  <c r="N38"/>
  <c r="I38"/>
  <c r="AJ37"/>
  <c r="AC37"/>
  <c r="AL37" s="1"/>
  <c r="X37"/>
  <c r="R37"/>
  <c r="Q37"/>
  <c r="P37"/>
  <c r="O37"/>
  <c r="S37" s="1"/>
  <c r="N37"/>
  <c r="I37"/>
  <c r="AJ36"/>
  <c r="AC36"/>
  <c r="AL36" s="1"/>
  <c r="X36"/>
  <c r="R36"/>
  <c r="Q36"/>
  <c r="P36"/>
  <c r="O36"/>
  <c r="N36"/>
  <c r="I36"/>
  <c r="AJ35"/>
  <c r="AC35"/>
  <c r="AL35" s="1"/>
  <c r="X35"/>
  <c r="R35"/>
  <c r="Q35"/>
  <c r="P35"/>
  <c r="O35"/>
  <c r="N35"/>
  <c r="I35"/>
  <c r="AJ34"/>
  <c r="AC34"/>
  <c r="AL34" s="1"/>
  <c r="X34"/>
  <c r="R34"/>
  <c r="Q34"/>
  <c r="P34"/>
  <c r="O34"/>
  <c r="N34"/>
  <c r="I34"/>
  <c r="AM33"/>
  <c r="AB33"/>
  <c r="AA33"/>
  <c r="Z33"/>
  <c r="Y33"/>
  <c r="W33"/>
  <c r="V33"/>
  <c r="U33"/>
  <c r="T33"/>
  <c r="M33"/>
  <c r="L33"/>
  <c r="K33"/>
  <c r="J33"/>
  <c r="H33"/>
  <c r="G33"/>
  <c r="F33"/>
  <c r="E33"/>
  <c r="D33"/>
  <c r="AJ32"/>
  <c r="AC32"/>
  <c r="AL32" s="1"/>
  <c r="X32"/>
  <c r="R32"/>
  <c r="Q32"/>
  <c r="P32"/>
  <c r="O32"/>
  <c r="S32" s="1"/>
  <c r="N32"/>
  <c r="I32"/>
  <c r="AJ31"/>
  <c r="AC31"/>
  <c r="AL31" s="1"/>
  <c r="X31"/>
  <c r="R31"/>
  <c r="Q31"/>
  <c r="P31"/>
  <c r="O31"/>
  <c r="S31" s="1"/>
  <c r="N31"/>
  <c r="I31"/>
  <c r="AJ30"/>
  <c r="AC30"/>
  <c r="AL30" s="1"/>
  <c r="X30"/>
  <c r="R30"/>
  <c r="Q30"/>
  <c r="P30"/>
  <c r="O30"/>
  <c r="N30"/>
  <c r="I30"/>
  <c r="AJ29"/>
  <c r="AC29"/>
  <c r="AL29" s="1"/>
  <c r="X29"/>
  <c r="R29"/>
  <c r="Q29"/>
  <c r="P29"/>
  <c r="O29"/>
  <c r="N29"/>
  <c r="I29"/>
  <c r="AJ28"/>
  <c r="AC28"/>
  <c r="AL28" s="1"/>
  <c r="X28"/>
  <c r="R28"/>
  <c r="Q28"/>
  <c r="P28"/>
  <c r="O28"/>
  <c r="N28"/>
  <c r="I28"/>
  <c r="AJ27"/>
  <c r="AC27"/>
  <c r="AL27" s="1"/>
  <c r="X27"/>
  <c r="R27"/>
  <c r="Q27"/>
  <c r="P27"/>
  <c r="O27"/>
  <c r="S27" s="1"/>
  <c r="N27"/>
  <c r="I27"/>
  <c r="AJ26"/>
  <c r="AH26"/>
  <c r="AG26" s="1"/>
  <c r="AC26"/>
  <c r="AL26" s="1"/>
  <c r="X26"/>
  <c r="R26"/>
  <c r="Q26"/>
  <c r="P26"/>
  <c r="O26"/>
  <c r="N26"/>
  <c r="I26"/>
  <c r="AJ25"/>
  <c r="AC25"/>
  <c r="AL25" s="1"/>
  <c r="X25"/>
  <c r="R25"/>
  <c r="Q25"/>
  <c r="P25"/>
  <c r="O25"/>
  <c r="S25" s="1"/>
  <c r="N25"/>
  <c r="I25"/>
  <c r="AK24"/>
  <c r="AJ24"/>
  <c r="AF24"/>
  <c r="AC24"/>
  <c r="AL24" s="1"/>
  <c r="X24"/>
  <c r="R24"/>
  <c r="Q24"/>
  <c r="P24"/>
  <c r="O24"/>
  <c r="N24"/>
  <c r="I24"/>
  <c r="AJ23"/>
  <c r="AI23"/>
  <c r="AG23"/>
  <c r="AE23"/>
  <c r="AC23"/>
  <c r="AL23" s="1"/>
  <c r="X23"/>
  <c r="R23"/>
  <c r="Q23"/>
  <c r="P23"/>
  <c r="O23"/>
  <c r="S23" s="1"/>
  <c r="N23"/>
  <c r="I23"/>
  <c r="AJ22"/>
  <c r="AC22"/>
  <c r="AL22" s="1"/>
  <c r="X22"/>
  <c r="R22"/>
  <c r="Q22"/>
  <c r="P22"/>
  <c r="O22"/>
  <c r="N22"/>
  <c r="I22"/>
  <c r="AI61" l="1"/>
  <c r="AK76"/>
  <c r="S81"/>
  <c r="AI83"/>
  <c r="R33"/>
  <c r="AE24"/>
  <c r="AK34"/>
  <c r="S42"/>
  <c r="X68"/>
  <c r="AK57"/>
  <c r="AK61"/>
  <c r="AE74"/>
  <c r="AK83"/>
  <c r="S24"/>
  <c r="P49"/>
  <c r="AI40"/>
  <c r="AE55"/>
  <c r="S74"/>
  <c r="AK74"/>
  <c r="AI85"/>
  <c r="S29"/>
  <c r="S35"/>
  <c r="AK36"/>
  <c r="N68"/>
  <c r="S58"/>
  <c r="AF23"/>
  <c r="S30"/>
  <c r="AG37"/>
  <c r="AK40"/>
  <c r="S46"/>
  <c r="AF47"/>
  <c r="S55"/>
  <c r="AI55"/>
  <c r="AE61"/>
  <c r="AG65"/>
  <c r="O88"/>
  <c r="AG76"/>
  <c r="AF76" s="1"/>
  <c r="S85"/>
  <c r="AH76"/>
  <c r="S79"/>
  <c r="AG95"/>
  <c r="S26"/>
  <c r="AG27"/>
  <c r="Q49"/>
  <c r="AE35"/>
  <c r="AG42"/>
  <c r="AL68"/>
  <c r="AE58"/>
  <c r="AE60"/>
  <c r="P88"/>
  <c r="AE25"/>
  <c r="R49"/>
  <c r="AF35"/>
  <c r="I68"/>
  <c r="AJ68"/>
  <c r="S53"/>
  <c r="AG58"/>
  <c r="AF58" s="1"/>
  <c r="AF60"/>
  <c r="AH62"/>
  <c r="AE75"/>
  <c r="AE82"/>
  <c r="AE84"/>
  <c r="Q33"/>
  <c r="AK27"/>
  <c r="X49"/>
  <c r="AI35"/>
  <c r="AE48"/>
  <c r="AF75"/>
  <c r="AF82"/>
  <c r="AG84"/>
  <c r="AF84" s="1"/>
  <c r="AN87"/>
  <c r="X33"/>
  <c r="AF25"/>
  <c r="AE22"/>
  <c r="AG25"/>
  <c r="AG28"/>
  <c r="AK35"/>
  <c r="AE41"/>
  <c r="AF48"/>
  <c r="S50"/>
  <c r="AE52"/>
  <c r="AE54"/>
  <c r="AK58"/>
  <c r="AK60"/>
  <c r="AG63"/>
  <c r="X88"/>
  <c r="S71"/>
  <c r="AE73"/>
  <c r="AG75"/>
  <c r="S82"/>
  <c r="S84"/>
  <c r="AN86"/>
  <c r="N33"/>
  <c r="AF22"/>
  <c r="AK23"/>
  <c r="AI25"/>
  <c r="I49"/>
  <c r="AE34"/>
  <c r="AE36"/>
  <c r="AF41"/>
  <c r="S43"/>
  <c r="S48"/>
  <c r="AH48"/>
  <c r="AG48" s="1"/>
  <c r="P68"/>
  <c r="S51"/>
  <c r="AF52"/>
  <c r="AF54"/>
  <c r="AE57"/>
  <c r="AE59"/>
  <c r="S67"/>
  <c r="S72"/>
  <c r="AI75"/>
  <c r="AK82"/>
  <c r="AK84"/>
  <c r="O33"/>
  <c r="AJ33"/>
  <c r="AK25"/>
  <c r="S28"/>
  <c r="AG29"/>
  <c r="N49"/>
  <c r="AF34"/>
  <c r="AF36"/>
  <c r="AE40"/>
  <c r="S41"/>
  <c r="AG41"/>
  <c r="S44"/>
  <c r="Q68"/>
  <c r="S54"/>
  <c r="S56"/>
  <c r="AF57"/>
  <c r="AF59"/>
  <c r="S63"/>
  <c r="AG64"/>
  <c r="I88"/>
  <c r="S73"/>
  <c r="AK75"/>
  <c r="AE83"/>
  <c r="AE85"/>
  <c r="P33"/>
  <c r="AK22"/>
  <c r="O49"/>
  <c r="AJ49"/>
  <c r="AH36"/>
  <c r="AG36" s="1"/>
  <c r="S39"/>
  <c r="AI41"/>
  <c r="S45"/>
  <c r="AK48"/>
  <c r="R68"/>
  <c r="AK52"/>
  <c r="AK54"/>
  <c r="S57"/>
  <c r="AI57"/>
  <c r="S59"/>
  <c r="AI59"/>
  <c r="S61"/>
  <c r="AF74"/>
  <c r="AE76"/>
  <c r="S78"/>
  <c r="AF83"/>
  <c r="AF85"/>
  <c r="AL69"/>
  <c r="AL88" s="1"/>
  <c r="AC88"/>
  <c r="S22"/>
  <c r="AI26"/>
  <c r="AH27"/>
  <c r="AI28"/>
  <c r="AH28" s="1"/>
  <c r="AH29"/>
  <c r="AE30"/>
  <c r="AE31"/>
  <c r="AI31"/>
  <c r="AE32"/>
  <c r="I33"/>
  <c r="S34"/>
  <c r="S36"/>
  <c r="AH37"/>
  <c r="AE38"/>
  <c r="AE39"/>
  <c r="AI39"/>
  <c r="S40"/>
  <c r="AI42"/>
  <c r="AH42" s="1"/>
  <c r="AE43"/>
  <c r="AI43"/>
  <c r="AE44"/>
  <c r="AE45"/>
  <c r="AI45"/>
  <c r="AE46"/>
  <c r="AE50"/>
  <c r="AE51"/>
  <c r="AI51"/>
  <c r="AE56"/>
  <c r="AI62"/>
  <c r="AH63"/>
  <c r="AI64"/>
  <c r="AH64" s="1"/>
  <c r="AH65"/>
  <c r="AE66"/>
  <c r="AE67"/>
  <c r="AI67"/>
  <c r="AH69"/>
  <c r="AE70"/>
  <c r="AE71"/>
  <c r="AI71"/>
  <c r="AE72"/>
  <c r="AI73"/>
  <c r="S75"/>
  <c r="AH77"/>
  <c r="AI78"/>
  <c r="AH78" s="1"/>
  <c r="AE79"/>
  <c r="AI79"/>
  <c r="AE80"/>
  <c r="AE81"/>
  <c r="AI81"/>
  <c r="AI30"/>
  <c r="AH31"/>
  <c r="AI32"/>
  <c r="AH32" s="1"/>
  <c r="AI38"/>
  <c r="AH38" s="1"/>
  <c r="AH39"/>
  <c r="AH43"/>
  <c r="AI44"/>
  <c r="AH45"/>
  <c r="AI46"/>
  <c r="AH46" s="1"/>
  <c r="AI50"/>
  <c r="AH51"/>
  <c r="AI56"/>
  <c r="AH56" s="1"/>
  <c r="S62"/>
  <c r="AI66"/>
  <c r="AH67"/>
  <c r="AC68"/>
  <c r="AI70"/>
  <c r="AH70" s="1"/>
  <c r="AH71"/>
  <c r="AI72"/>
  <c r="AH73"/>
  <c r="S77"/>
  <c r="AG77"/>
  <c r="AK77"/>
  <c r="AH79"/>
  <c r="AI80"/>
  <c r="AH81"/>
  <c r="AN89"/>
  <c r="AO89" s="1"/>
  <c r="AL33"/>
  <c r="AI24"/>
  <c r="AH24" s="1"/>
  <c r="AF26"/>
  <c r="AF28"/>
  <c r="AK28"/>
  <c r="AF29"/>
  <c r="AK29"/>
  <c r="AH30"/>
  <c r="AG30" s="1"/>
  <c r="AG31"/>
  <c r="AG32"/>
  <c r="AC33"/>
  <c r="AL49"/>
  <c r="AI34"/>
  <c r="AH35"/>
  <c r="AF37"/>
  <c r="S38"/>
  <c r="AG38"/>
  <c r="AG39"/>
  <c r="AF42"/>
  <c r="AK42"/>
  <c r="AG43"/>
  <c r="AH44"/>
  <c r="AG44" s="1"/>
  <c r="AG45"/>
  <c r="AK45"/>
  <c r="AG46"/>
  <c r="AH47"/>
  <c r="AC49"/>
  <c r="AH50"/>
  <c r="AG51"/>
  <c r="AI52"/>
  <c r="AH52" s="1"/>
  <c r="AH53"/>
  <c r="AI54"/>
  <c r="AH55"/>
  <c r="AG56"/>
  <c r="AH57"/>
  <c r="AI58"/>
  <c r="AH59"/>
  <c r="AI60"/>
  <c r="AH60" s="1"/>
  <c r="AG62"/>
  <c r="AF62" s="1"/>
  <c r="AK62"/>
  <c r="AF63"/>
  <c r="AF64"/>
  <c r="AK64"/>
  <c r="AF65"/>
  <c r="AK65"/>
  <c r="S66"/>
  <c r="AH66"/>
  <c r="AG67"/>
  <c r="O68"/>
  <c r="N88"/>
  <c r="S69"/>
  <c r="AF69"/>
  <c r="S70"/>
  <c r="AG70"/>
  <c r="AG71"/>
  <c r="AH72"/>
  <c r="AG73"/>
  <c r="AI74"/>
  <c r="AH74" s="1"/>
  <c r="AF77"/>
  <c r="AF78"/>
  <c r="AK78"/>
  <c r="AG79"/>
  <c r="AH80"/>
  <c r="AG81"/>
  <c r="AI82"/>
  <c r="AH82" s="1"/>
  <c r="AH83"/>
  <c r="AI84"/>
  <c r="AH85"/>
  <c r="AI22"/>
  <c r="AK26"/>
  <c r="AF27"/>
  <c r="AH22"/>
  <c r="AH23"/>
  <c r="AN23" s="1"/>
  <c r="AO23" s="1"/>
  <c r="AG24"/>
  <c r="AH25"/>
  <c r="AE26"/>
  <c r="AE27"/>
  <c r="AI27"/>
  <c r="AE28"/>
  <c r="AN28" s="1"/>
  <c r="AE29"/>
  <c r="AI29"/>
  <c r="AF30"/>
  <c r="AK30"/>
  <c r="AF31"/>
  <c r="AF32"/>
  <c r="AK32"/>
  <c r="AG34"/>
  <c r="AG35"/>
  <c r="AN35" s="1"/>
  <c r="AI36"/>
  <c r="AE37"/>
  <c r="AI37"/>
  <c r="AF38"/>
  <c r="AK38"/>
  <c r="AF39"/>
  <c r="AK39"/>
  <c r="AH40"/>
  <c r="AH41"/>
  <c r="AE42"/>
  <c r="AF43"/>
  <c r="AK43"/>
  <c r="AF44"/>
  <c r="AK44"/>
  <c r="AF45"/>
  <c r="AF46"/>
  <c r="AK46"/>
  <c r="AG47"/>
  <c r="AI48"/>
  <c r="AN48" s="1"/>
  <c r="AF50"/>
  <c r="AK50"/>
  <c r="AF51"/>
  <c r="S52"/>
  <c r="AG52"/>
  <c r="AG53"/>
  <c r="AN53" s="1"/>
  <c r="AH54"/>
  <c r="AG54" s="1"/>
  <c r="AG55"/>
  <c r="AK55"/>
  <c r="AF56"/>
  <c r="AK56"/>
  <c r="AG57"/>
  <c r="AH58"/>
  <c r="AG59"/>
  <c r="AG60"/>
  <c r="AH61"/>
  <c r="AN61" s="1"/>
  <c r="AE62"/>
  <c r="AE63"/>
  <c r="AI63"/>
  <c r="AE64"/>
  <c r="AE65"/>
  <c r="AI65"/>
  <c r="AG66"/>
  <c r="AF66" s="1"/>
  <c r="AK66"/>
  <c r="AF67"/>
  <c r="AE69"/>
  <c r="AI69"/>
  <c r="AF70"/>
  <c r="AK70"/>
  <c r="AF71"/>
  <c r="AK71"/>
  <c r="AG72"/>
  <c r="AF72" s="1"/>
  <c r="AK72"/>
  <c r="AF73"/>
  <c r="AG74"/>
  <c r="AN74" s="1"/>
  <c r="AH75"/>
  <c r="AI76"/>
  <c r="AN76" s="1"/>
  <c r="AE77"/>
  <c r="AI77"/>
  <c r="AE78"/>
  <c r="AF79"/>
  <c r="AK79"/>
  <c r="AG80"/>
  <c r="AF80" s="1"/>
  <c r="AK80"/>
  <c r="AF81"/>
  <c r="AG82"/>
  <c r="AG83"/>
  <c r="AH84"/>
  <c r="AN84" s="1"/>
  <c r="AG85"/>
  <c r="AM21"/>
  <c r="AB21"/>
  <c r="AA21"/>
  <c r="Z21"/>
  <c r="Y21"/>
  <c r="W21"/>
  <c r="V21"/>
  <c r="U21"/>
  <c r="T21"/>
  <c r="M21"/>
  <c r="L21"/>
  <c r="K21"/>
  <c r="J21"/>
  <c r="H21"/>
  <c r="G21"/>
  <c r="F21"/>
  <c r="E21"/>
  <c r="D21"/>
  <c r="AJ20"/>
  <c r="AC20"/>
  <c r="AL20" s="1"/>
  <c r="X20"/>
  <c r="R20"/>
  <c r="Q20"/>
  <c r="P20"/>
  <c r="O20"/>
  <c r="N20"/>
  <c r="I20"/>
  <c r="AJ19"/>
  <c r="AG19"/>
  <c r="AC19"/>
  <c r="AL19" s="1"/>
  <c r="X19"/>
  <c r="R19"/>
  <c r="Q19"/>
  <c r="P19"/>
  <c r="O19"/>
  <c r="S19" s="1"/>
  <c r="N19"/>
  <c r="I19"/>
  <c r="AJ18"/>
  <c r="AG18"/>
  <c r="AC18"/>
  <c r="AL18" s="1"/>
  <c r="X18"/>
  <c r="R18"/>
  <c r="Q18"/>
  <c r="P18"/>
  <c r="O18"/>
  <c r="S18" s="1"/>
  <c r="N18"/>
  <c r="I18"/>
  <c r="AJ17"/>
  <c r="AC17"/>
  <c r="AL17" s="1"/>
  <c r="X17"/>
  <c r="R17"/>
  <c r="Q17"/>
  <c r="P17"/>
  <c r="O17"/>
  <c r="N17"/>
  <c r="I17"/>
  <c r="AJ16"/>
  <c r="AC16"/>
  <c r="AL16" s="1"/>
  <c r="X16"/>
  <c r="R16"/>
  <c r="Q16"/>
  <c r="P16"/>
  <c r="O16"/>
  <c r="N16"/>
  <c r="I16"/>
  <c r="AJ15"/>
  <c r="AC15"/>
  <c r="AL15" s="1"/>
  <c r="X15"/>
  <c r="R15"/>
  <c r="Q15"/>
  <c r="P15"/>
  <c r="O15"/>
  <c r="N15"/>
  <c r="I15"/>
  <c r="AJ14"/>
  <c r="AC14"/>
  <c r="AL14" s="1"/>
  <c r="X14"/>
  <c r="R14"/>
  <c r="Q14"/>
  <c r="P14"/>
  <c r="O14"/>
  <c r="N14"/>
  <c r="I14"/>
  <c r="AM13"/>
  <c r="AB13"/>
  <c r="AA13"/>
  <c r="Z13"/>
  <c r="Y13"/>
  <c r="W13"/>
  <c r="V13"/>
  <c r="U13"/>
  <c r="T13"/>
  <c r="M13"/>
  <c r="L13"/>
  <c r="K13"/>
  <c r="J13"/>
  <c r="H13"/>
  <c r="G13"/>
  <c r="F13"/>
  <c r="E13"/>
  <c r="D13"/>
  <c r="AJ12"/>
  <c r="AC12"/>
  <c r="AL12" s="1"/>
  <c r="X12"/>
  <c r="R12"/>
  <c r="Q12"/>
  <c r="P12"/>
  <c r="O12"/>
  <c r="N12"/>
  <c r="I12"/>
  <c r="AJ11"/>
  <c r="AC11"/>
  <c r="AL11" s="1"/>
  <c r="X11"/>
  <c r="R11"/>
  <c r="Q11"/>
  <c r="P11"/>
  <c r="O11"/>
  <c r="N11"/>
  <c r="I11"/>
  <c r="AJ10"/>
  <c r="AC10"/>
  <c r="AL10" s="1"/>
  <c r="X10"/>
  <c r="R10"/>
  <c r="Q10"/>
  <c r="P10"/>
  <c r="O10"/>
  <c r="N10"/>
  <c r="I10"/>
  <c r="AJ9"/>
  <c r="AC9"/>
  <c r="AL9" s="1"/>
  <c r="X9"/>
  <c r="R9"/>
  <c r="Q9"/>
  <c r="P9"/>
  <c r="O9"/>
  <c r="N9"/>
  <c r="I9"/>
  <c r="AJ8"/>
  <c r="AC8"/>
  <c r="AL8" s="1"/>
  <c r="X8"/>
  <c r="R8"/>
  <c r="Q8"/>
  <c r="P8"/>
  <c r="O8"/>
  <c r="N8"/>
  <c r="I8"/>
  <c r="AJ7"/>
  <c r="AC7"/>
  <c r="AL7" s="1"/>
  <c r="X7"/>
  <c r="R7"/>
  <c r="Q7"/>
  <c r="P7"/>
  <c r="O7"/>
  <c r="S7" s="1"/>
  <c r="N7"/>
  <c r="I7"/>
  <c r="AJ6"/>
  <c r="AI6"/>
  <c r="AC6"/>
  <c r="AL6" s="1"/>
  <c r="X6"/>
  <c r="R6"/>
  <c r="Q6"/>
  <c r="P6"/>
  <c r="O6"/>
  <c r="N6"/>
  <c r="I6"/>
  <c r="AJ5"/>
  <c r="S12" l="1"/>
  <c r="AL21"/>
  <c r="AN54"/>
  <c r="AF15"/>
  <c r="AI15"/>
  <c r="S10"/>
  <c r="R21"/>
  <c r="Q21" s="1"/>
  <c r="G116"/>
  <c r="V116"/>
  <c r="AN55"/>
  <c r="S88"/>
  <c r="AF33"/>
  <c r="S6"/>
  <c r="S11"/>
  <c r="X21"/>
  <c r="S15"/>
  <c r="H116"/>
  <c r="W116"/>
  <c r="AN83"/>
  <c r="AE49"/>
  <c r="Y116"/>
  <c r="AN82"/>
  <c r="AE14"/>
  <c r="AE16"/>
  <c r="K116"/>
  <c r="Z116"/>
  <c r="AN58"/>
  <c r="AN52"/>
  <c r="N21"/>
  <c r="AF14"/>
  <c r="AF16"/>
  <c r="L116"/>
  <c r="AA116"/>
  <c r="AN75"/>
  <c r="AN64"/>
  <c r="AN57"/>
  <c r="S68"/>
  <c r="AF49"/>
  <c r="AH8"/>
  <c r="S8"/>
  <c r="O21"/>
  <c r="AI14"/>
  <c r="S16"/>
  <c r="D116"/>
  <c r="M116"/>
  <c r="AB116"/>
  <c r="AG88"/>
  <c r="P21"/>
  <c r="AJ21"/>
  <c r="AK16"/>
  <c r="S20"/>
  <c r="E116"/>
  <c r="T116"/>
  <c r="AM116"/>
  <c r="S33"/>
  <c r="AE6"/>
  <c r="AE15"/>
  <c r="F116"/>
  <c r="U116"/>
  <c r="AN62"/>
  <c r="AN26"/>
  <c r="AG22"/>
  <c r="AH33"/>
  <c r="AH7"/>
  <c r="AI8"/>
  <c r="AE9"/>
  <c r="AI9"/>
  <c r="AE10"/>
  <c r="AI10"/>
  <c r="AE11"/>
  <c r="AI11"/>
  <c r="AE12"/>
  <c r="S14"/>
  <c r="AH17"/>
  <c r="AI18"/>
  <c r="AH18" s="1"/>
  <c r="AH19"/>
  <c r="AE20"/>
  <c r="I21"/>
  <c r="AN65"/>
  <c r="AF68"/>
  <c r="AN71"/>
  <c r="AN38"/>
  <c r="AN30"/>
  <c r="AG7"/>
  <c r="AH10"/>
  <c r="AH11"/>
  <c r="AI12"/>
  <c r="S17"/>
  <c r="AG17"/>
  <c r="AI20"/>
  <c r="AE88"/>
  <c r="AI33"/>
  <c r="AN80"/>
  <c r="AN43"/>
  <c r="S49"/>
  <c r="R88"/>
  <c r="Q88" s="1"/>
  <c r="AG50"/>
  <c r="AG68" s="1"/>
  <c r="AH68"/>
  <c r="AH6"/>
  <c r="AH9"/>
  <c r="AG6"/>
  <c r="AF7"/>
  <c r="AG8"/>
  <c r="AF8" s="1"/>
  <c r="S9"/>
  <c r="AG9"/>
  <c r="AG10"/>
  <c r="AG11"/>
  <c r="AH12"/>
  <c r="AH14"/>
  <c r="AH15"/>
  <c r="AI16"/>
  <c r="AF17"/>
  <c r="AF18"/>
  <c r="AK18"/>
  <c r="AF19"/>
  <c r="AK19"/>
  <c r="AH20"/>
  <c r="AG20" s="1"/>
  <c r="AC21"/>
  <c r="AI88"/>
  <c r="AI68"/>
  <c r="AN72"/>
  <c r="AH34"/>
  <c r="AH49" s="1"/>
  <c r="AI49"/>
  <c r="AN50"/>
  <c r="AO50" s="1"/>
  <c r="AE68"/>
  <c r="AK6"/>
  <c r="AK8"/>
  <c r="AF6"/>
  <c r="AE7"/>
  <c r="AI7"/>
  <c r="AE8"/>
  <c r="AF9"/>
  <c r="AF10"/>
  <c r="AF11"/>
  <c r="AG12"/>
  <c r="AF12" s="1"/>
  <c r="AK12"/>
  <c r="AG14"/>
  <c r="AK14"/>
  <c r="AG15"/>
  <c r="AK15"/>
  <c r="AH16"/>
  <c r="AG16" s="1"/>
  <c r="AE17"/>
  <c r="AI17"/>
  <c r="AE18"/>
  <c r="AE19"/>
  <c r="AI19"/>
  <c r="AF20"/>
  <c r="AK20"/>
  <c r="AG49"/>
  <c r="AF88"/>
  <c r="AN79"/>
  <c r="AO79" s="1"/>
  <c r="AN70"/>
  <c r="AN66"/>
  <c r="AN44"/>
  <c r="AN32"/>
  <c r="AE33"/>
  <c r="J116"/>
  <c r="AC5"/>
  <c r="AE5" s="1"/>
  <c r="X5"/>
  <c r="R5"/>
  <c r="Q5"/>
  <c r="P5"/>
  <c r="O5"/>
  <c r="N5"/>
  <c r="I5"/>
  <c r="AJ4"/>
  <c r="AJ13" s="1"/>
  <c r="AC4"/>
  <c r="X4"/>
  <c r="X13" s="1"/>
  <c r="X116" s="1"/>
  <c r="R4"/>
  <c r="Q4"/>
  <c r="P4"/>
  <c r="P13" s="1"/>
  <c r="O4"/>
  <c r="N4"/>
  <c r="I4"/>
  <c r="I13" s="1"/>
  <c r="AN6" l="1"/>
  <c r="R13"/>
  <c r="S21"/>
  <c r="AF21"/>
  <c r="AI21"/>
  <c r="N13"/>
  <c r="O13"/>
  <c r="O116" s="1"/>
  <c r="N116" s="1"/>
  <c r="AN20"/>
  <c r="AL4"/>
  <c r="AC13"/>
  <c r="AH88"/>
  <c r="AL5"/>
  <c r="AI5"/>
  <c r="AG21"/>
  <c r="AH4"/>
  <c r="AH5"/>
  <c r="AN8"/>
  <c r="AG33"/>
  <c r="S4"/>
  <c r="AG4"/>
  <c r="AK4"/>
  <c r="S5"/>
  <c r="AG5"/>
  <c r="AN12"/>
  <c r="AE21"/>
  <c r="AN34"/>
  <c r="AO34" s="1"/>
  <c r="Q13"/>
  <c r="Q116" s="1"/>
  <c r="P116" s="1"/>
  <c r="AE4"/>
  <c r="AF5"/>
  <c r="AN18"/>
  <c r="AC116"/>
  <c r="I116"/>
  <c r="AI4"/>
  <c r="AH21"/>
  <c r="C122" i="31"/>
  <c r="D121"/>
  <c r="D120"/>
  <c r="D119"/>
  <c r="D118"/>
  <c r="D117"/>
  <c r="D116"/>
  <c r="D115"/>
  <c r="D114"/>
  <c r="D113"/>
  <c r="D112"/>
  <c r="C111"/>
  <c r="D110"/>
  <c r="D109"/>
  <c r="D108"/>
  <c r="D107"/>
  <c r="D106"/>
  <c r="D105"/>
  <c r="D104"/>
  <c r="D103"/>
  <c r="D102"/>
  <c r="D101"/>
  <c r="D100"/>
  <c r="D99"/>
  <c r="D98"/>
  <c r="D97"/>
  <c r="D96"/>
  <c r="C95"/>
  <c r="D94"/>
  <c r="D93"/>
  <c r="D92"/>
  <c r="D91"/>
  <c r="D90"/>
  <c r="D89"/>
  <c r="D88"/>
  <c r="D87"/>
  <c r="C86"/>
  <c r="D85"/>
  <c r="D84"/>
  <c r="D83"/>
  <c r="D82"/>
  <c r="D81"/>
  <c r="D80"/>
  <c r="D79"/>
  <c r="D78"/>
  <c r="D77"/>
  <c r="D76"/>
  <c r="D75"/>
  <c r="D74"/>
  <c r="C73"/>
  <c r="D72"/>
  <c r="D71"/>
  <c r="D70"/>
  <c r="D69"/>
  <c r="D68"/>
  <c r="D67"/>
  <c r="D66"/>
  <c r="D65"/>
  <c r="D64"/>
  <c r="D63"/>
  <c r="D62"/>
  <c r="D61"/>
  <c r="D60"/>
  <c r="D59"/>
  <c r="D58"/>
  <c r="D57"/>
  <c r="C56"/>
  <c r="D55"/>
  <c r="D54"/>
  <c r="D53"/>
  <c r="D52"/>
  <c r="D51"/>
  <c r="D50"/>
  <c r="D49"/>
  <c r="D48"/>
  <c r="D47"/>
  <c r="D46"/>
  <c r="D45"/>
  <c r="D44"/>
  <c r="D43"/>
  <c r="D42"/>
  <c r="D41"/>
  <c r="D40"/>
  <c r="D39"/>
  <c r="D38"/>
  <c r="D37"/>
  <c r="C36"/>
  <c r="D35"/>
  <c r="D34"/>
  <c r="D33"/>
  <c r="D32"/>
  <c r="D31"/>
  <c r="D30"/>
  <c r="D29"/>
  <c r="D28"/>
  <c r="D27"/>
  <c r="D26"/>
  <c r="D25"/>
  <c r="D24"/>
  <c r="D23"/>
  <c r="D22"/>
  <c r="D21"/>
  <c r="D20"/>
  <c r="D19"/>
  <c r="D18"/>
  <c r="D17"/>
  <c r="D16"/>
  <c r="C15"/>
  <c r="D14"/>
  <c r="D13"/>
  <c r="D12"/>
  <c r="D11"/>
  <c r="D10"/>
  <c r="D9"/>
  <c r="C8"/>
  <c r="C123" s="1"/>
  <c r="D7"/>
  <c r="D6"/>
  <c r="D5"/>
  <c r="D4"/>
  <c r="D3"/>
  <c r="D56" l="1"/>
  <c r="D36"/>
  <c r="D95"/>
  <c r="D111"/>
  <c r="D122"/>
  <c r="D15"/>
  <c r="D73"/>
  <c r="D86"/>
  <c r="D123" s="1"/>
  <c r="S13" i="32"/>
  <c r="S116" s="1"/>
  <c r="R116" s="1"/>
  <c r="D8" i="31"/>
  <c r="AI13" i="32"/>
  <c r="AI116" s="1"/>
  <c r="AE13"/>
  <c r="AE116" s="1"/>
  <c r="AH13"/>
  <c r="AH116" s="1"/>
  <c r="AF4"/>
  <c r="AN4" s="1"/>
  <c r="AO4" s="1"/>
  <c r="AG13"/>
  <c r="AG116" s="1"/>
  <c r="AL13"/>
  <c r="AL116" s="1"/>
  <c r="N73" i="29"/>
  <c r="N72"/>
  <c r="N71"/>
  <c r="N70"/>
  <c r="N69"/>
  <c r="N68"/>
  <c r="N67"/>
  <c r="N66"/>
  <c r="N65"/>
  <c r="N64"/>
  <c r="N63"/>
  <c r="N62"/>
  <c r="N61"/>
  <c r="N60"/>
  <c r="N59"/>
  <c r="N58"/>
  <c r="N57"/>
  <c r="N56"/>
  <c r="N55"/>
  <c r="N54"/>
  <c r="N53"/>
  <c r="N52"/>
  <c r="N51"/>
  <c r="N50"/>
  <c r="N49"/>
  <c r="N48"/>
  <c r="N47"/>
  <c r="N46"/>
  <c r="N45"/>
  <c r="N44"/>
  <c r="N43"/>
  <c r="N42"/>
  <c r="N41"/>
  <c r="N40"/>
  <c r="N39"/>
  <c r="N38"/>
  <c r="N37"/>
  <c r="N36"/>
  <c r="N35"/>
  <c r="N34"/>
  <c r="N33"/>
  <c r="N32"/>
  <c r="N31"/>
  <c r="N30"/>
  <c r="N29"/>
  <c r="N28"/>
  <c r="N27"/>
  <c r="N26"/>
  <c r="N25"/>
  <c r="N24"/>
  <c r="N23"/>
  <c r="N22"/>
  <c r="N21"/>
  <c r="N20"/>
  <c r="N19"/>
  <c r="N18"/>
  <c r="N17"/>
  <c r="N16"/>
  <c r="N15"/>
  <c r="N14"/>
  <c r="N13"/>
  <c r="N12"/>
  <c r="N11"/>
  <c r="N10"/>
  <c r="N9"/>
  <c r="AF13" i="32" l="1"/>
  <c r="AF116" s="1"/>
  <c r="N8" i="29"/>
  <c r="N7"/>
  <c r="N6"/>
  <c r="N5"/>
  <c r="N4"/>
  <c r="N3"/>
  <c r="N74" l="1"/>
  <c r="X40" i="23" l="1"/>
  <c r="N3" i="27" l="1"/>
  <c r="M3"/>
  <c r="S38"/>
  <c r="T38" s="1"/>
  <c r="AO97" i="32"/>
  <c r="AO98"/>
  <c r="AO99"/>
  <c r="AN91"/>
  <c r="AO91" s="1"/>
  <c r="AN92"/>
  <c r="AO92" s="1"/>
  <c r="AO93"/>
  <c r="AO94"/>
  <c r="AN69"/>
  <c r="AO69" s="1"/>
  <c r="AO70"/>
  <c r="AO71"/>
  <c r="AO72"/>
  <c r="AO74"/>
  <c r="AO75"/>
  <c r="AO76"/>
  <c r="AN77"/>
  <c r="AO77" s="1"/>
  <c r="AN78"/>
  <c r="AO78" s="1"/>
  <c r="AO80"/>
  <c r="AO82"/>
  <c r="AO83"/>
  <c r="AO84"/>
  <c r="AO86"/>
  <c r="AO87"/>
  <c r="AO52"/>
  <c r="AO53"/>
  <c r="AO54"/>
  <c r="AO55"/>
  <c r="AN56"/>
  <c r="AO56" s="1"/>
  <c r="AO57"/>
  <c r="AO58"/>
  <c r="AN60"/>
  <c r="AO60" s="1"/>
  <c r="AO61"/>
  <c r="AO62"/>
  <c r="AO64"/>
  <c r="AO65"/>
  <c r="AO66"/>
  <c r="AO35"/>
  <c r="AN36"/>
  <c r="AO36" s="1"/>
  <c r="AO38"/>
  <c r="AN39"/>
  <c r="AO39" s="1"/>
  <c r="AN40"/>
  <c r="AO40" s="1"/>
  <c r="AN42"/>
  <c r="AO42" s="1"/>
  <c r="AO43"/>
  <c r="AO44"/>
  <c r="AN45"/>
  <c r="AO45" s="1"/>
  <c r="AN46"/>
  <c r="AO46" s="1"/>
  <c r="AN47"/>
  <c r="AO47" s="1"/>
  <c r="AO48"/>
  <c r="AN22"/>
  <c r="AO22" s="1"/>
  <c r="AN24"/>
  <c r="AO24"/>
  <c r="AN25"/>
  <c r="AO25" s="1"/>
  <c r="AO26"/>
  <c r="AN27"/>
  <c r="AO27" s="1"/>
  <c r="AO28"/>
  <c r="AN29"/>
  <c r="AO29" s="1"/>
  <c r="AO30"/>
  <c r="AO32"/>
  <c r="AN14"/>
  <c r="AO14" s="1"/>
  <c r="AN15"/>
  <c r="AO15" s="1"/>
  <c r="AN16"/>
  <c r="AO16" s="1"/>
  <c r="AO18"/>
  <c r="AN19"/>
  <c r="AO19" s="1"/>
  <c r="AO20"/>
  <c r="AO101"/>
  <c r="AO102"/>
  <c r="AN103"/>
  <c r="AO103" s="1"/>
  <c r="AN104"/>
  <c r="AO104" s="1"/>
  <c r="AO105"/>
  <c r="AO106"/>
  <c r="AO107"/>
  <c r="AO108"/>
  <c r="AO110"/>
  <c r="AO111"/>
  <c r="AN112"/>
  <c r="AO112" s="1"/>
  <c r="AO113"/>
  <c r="AO114"/>
  <c r="AO6"/>
  <c r="AO8"/>
  <c r="AO12"/>
  <c r="AK5"/>
  <c r="AN5" s="1"/>
  <c r="AO100"/>
  <c r="AK73"/>
  <c r="AK81"/>
  <c r="AN81" s="1"/>
  <c r="AO81" s="1"/>
  <c r="AK41"/>
  <c r="AN41" s="1"/>
  <c r="AO41" s="1"/>
  <c r="AO5" l="1"/>
  <c r="AN73"/>
  <c r="AO73" l="1"/>
  <c r="G4" i="20" l="1"/>
  <c r="G74" s="1"/>
  <c r="R15" i="27" l="1"/>
  <c r="R4"/>
  <c r="Q4"/>
  <c r="S15"/>
  <c r="T15" s="1"/>
  <c r="S4" l="1"/>
  <c r="T4" s="1"/>
  <c r="O8" i="25"/>
  <c r="O4"/>
  <c r="P8"/>
  <c r="P25"/>
  <c r="Q25" s="1"/>
  <c r="O47"/>
  <c r="O38" s="1"/>
  <c r="Q38" s="1"/>
  <c r="P43"/>
  <c r="P38" s="1"/>
  <c r="P47"/>
  <c r="Q47" s="1"/>
  <c r="P55"/>
  <c r="P54"/>
  <c r="Q54"/>
  <c r="Q8"/>
  <c r="Q55"/>
  <c r="Q43" l="1"/>
  <c r="O3"/>
  <c r="O74"/>
  <c r="P4"/>
  <c r="P74" l="1"/>
  <c r="P3"/>
  <c r="Q3" s="1"/>
  <c r="Q4"/>
  <c r="Q74" l="1"/>
  <c r="AK85" i="32" l="1"/>
  <c r="AN85"/>
  <c r="AN88" s="1"/>
  <c r="AO85"/>
  <c r="AO88" s="1"/>
  <c r="AK109"/>
  <c r="AN109"/>
  <c r="AO109" s="1"/>
  <c r="AO115" s="1"/>
  <c r="AK90"/>
  <c r="AN90" s="1"/>
  <c r="AK51"/>
  <c r="AN51"/>
  <c r="AO51" s="1"/>
  <c r="AK59"/>
  <c r="AN59" s="1"/>
  <c r="AK63"/>
  <c r="AN63" s="1"/>
  <c r="AO63" s="1"/>
  <c r="AK67"/>
  <c r="AN67" s="1"/>
  <c r="AO67" s="1"/>
  <c r="AK37"/>
  <c r="AK49" s="1"/>
  <c r="AK31"/>
  <c r="AN31" s="1"/>
  <c r="AK17"/>
  <c r="AK21" s="1"/>
  <c r="AN17"/>
  <c r="AO17" s="1"/>
  <c r="AO21" s="1"/>
  <c r="AK7"/>
  <c r="AN7" s="1"/>
  <c r="AK9"/>
  <c r="AN9"/>
  <c r="AO9" s="1"/>
  <c r="AK10"/>
  <c r="AN10" s="1"/>
  <c r="AO10" s="1"/>
  <c r="AK11"/>
  <c r="AN11"/>
  <c r="AO11" s="1"/>
  <c r="AN115"/>
  <c r="AK13"/>
  <c r="AK115"/>
  <c r="AK95"/>
  <c r="AK88"/>
  <c r="AK33"/>
  <c r="AJ115"/>
  <c r="AJ88"/>
  <c r="AN95" l="1"/>
  <c r="AO90"/>
  <c r="AO95" s="1"/>
  <c r="AJ116"/>
  <c r="AN37"/>
  <c r="AO37" s="1"/>
  <c r="AO49" s="1"/>
  <c r="AN13"/>
  <c r="AO7"/>
  <c r="AO13" s="1"/>
  <c r="AN68"/>
  <c r="AO59"/>
  <c r="AO68" s="1"/>
  <c r="AO31"/>
  <c r="AO33" s="1"/>
  <c r="AN33"/>
  <c r="AN21"/>
  <c r="AN49"/>
  <c r="AK68"/>
  <c r="AK116" s="1"/>
  <c r="AN116" l="1"/>
  <c r="AO116"/>
  <c r="AO117"/>
  <c r="H8" i="20" l="1"/>
  <c r="H4"/>
  <c r="I10"/>
  <c r="I8"/>
  <c r="I12"/>
  <c r="I4"/>
  <c r="J4"/>
  <c r="E54"/>
  <c r="E38"/>
  <c r="F54"/>
  <c r="F38"/>
  <c r="G54"/>
  <c r="G38"/>
  <c r="H54"/>
  <c r="H38"/>
  <c r="J38" s="1"/>
  <c r="I41"/>
  <c r="I43"/>
  <c r="I45"/>
  <c r="I47"/>
  <c r="I54"/>
  <c r="I38"/>
  <c r="H31"/>
  <c r="I31"/>
  <c r="J31" s="1"/>
  <c r="F20" i="21"/>
  <c r="F4"/>
  <c r="G20"/>
  <c r="G4" s="1"/>
  <c r="H20"/>
  <c r="H4"/>
  <c r="I15"/>
  <c r="I4" s="1"/>
  <c r="I20"/>
  <c r="J12"/>
  <c r="J4" s="1"/>
  <c r="J15"/>
  <c r="J22"/>
  <c r="J20" s="1"/>
  <c r="K20" s="1"/>
  <c r="J43"/>
  <c r="J47"/>
  <c r="J38"/>
  <c r="K38" s="1"/>
  <c r="W8" i="22"/>
  <c r="W4"/>
  <c r="X10"/>
  <c r="X8" s="1"/>
  <c r="X22"/>
  <c r="X20"/>
  <c r="V47"/>
  <c r="V38"/>
  <c r="W47"/>
  <c r="W38"/>
  <c r="X43"/>
  <c r="Y43" s="1"/>
  <c r="X45"/>
  <c r="X47"/>
  <c r="X55"/>
  <c r="X54"/>
  <c r="S4" i="23"/>
  <c r="S3" s="1"/>
  <c r="X3" s="1"/>
  <c r="T4"/>
  <c r="U15"/>
  <c r="U4"/>
  <c r="V15"/>
  <c r="V4"/>
  <c r="W15"/>
  <c r="W4"/>
  <c r="X4"/>
  <c r="F20" i="24"/>
  <c r="F4" s="1"/>
  <c r="G20"/>
  <c r="G4"/>
  <c r="H20"/>
  <c r="H4"/>
  <c r="I20"/>
  <c r="I4" s="1"/>
  <c r="J20"/>
  <c r="J4" s="1"/>
  <c r="K20"/>
  <c r="K4"/>
  <c r="L20"/>
  <c r="L4"/>
  <c r="M20"/>
  <c r="M4" s="1"/>
  <c r="N20"/>
  <c r="N4" s="1"/>
  <c r="O20"/>
  <c r="O4"/>
  <c r="P20"/>
  <c r="P4"/>
  <c r="Q20"/>
  <c r="Q4" s="1"/>
  <c r="R20"/>
  <c r="R4" s="1"/>
  <c r="S20"/>
  <c r="S4"/>
  <c r="T15"/>
  <c r="T22"/>
  <c r="T20"/>
  <c r="T4" s="1"/>
  <c r="T27"/>
  <c r="S47"/>
  <c r="S38" s="1"/>
  <c r="T43"/>
  <c r="T38" s="1"/>
  <c r="T47"/>
  <c r="U47" s="1"/>
  <c r="T55"/>
  <c r="T54" s="1"/>
  <c r="U54" s="1"/>
  <c r="T31"/>
  <c r="U31"/>
  <c r="F20" i="26"/>
  <c r="F4"/>
  <c r="G20"/>
  <c r="G4"/>
  <c r="H20"/>
  <c r="H4" s="1"/>
  <c r="I20"/>
  <c r="I4"/>
  <c r="I3" s="1"/>
  <c r="J8"/>
  <c r="J4" s="1"/>
  <c r="J20"/>
  <c r="K10"/>
  <c r="K8"/>
  <c r="K22"/>
  <c r="K20"/>
  <c r="K4"/>
  <c r="K74" s="1"/>
  <c r="L10"/>
  <c r="L8"/>
  <c r="L4" s="1"/>
  <c r="L22"/>
  <c r="L20"/>
  <c r="L25"/>
  <c r="J38"/>
  <c r="K47"/>
  <c r="K38" s="1"/>
  <c r="L43"/>
  <c r="L47"/>
  <c r="L55"/>
  <c r="L54"/>
  <c r="L38"/>
  <c r="O31" i="27"/>
  <c r="P31"/>
  <c r="P3" s="1"/>
  <c r="Q31"/>
  <c r="R31"/>
  <c r="S31"/>
  <c r="T31"/>
  <c r="L4" i="28"/>
  <c r="O4" s="1"/>
  <c r="M4"/>
  <c r="N15"/>
  <c r="N4" s="1"/>
  <c r="N25"/>
  <c r="N43"/>
  <c r="N38" s="1"/>
  <c r="O38" s="1"/>
  <c r="N47"/>
  <c r="O47" s="1"/>
  <c r="E72" i="37"/>
  <c r="L71" i="35"/>
  <c r="Q3" i="27"/>
  <c r="S3"/>
  <c r="O3"/>
  <c r="R3"/>
  <c r="J74" i="20"/>
  <c r="I74"/>
  <c r="E3"/>
  <c r="J3" s="1"/>
  <c r="F3"/>
  <c r="G3"/>
  <c r="H3"/>
  <c r="I3"/>
  <c r="T3" i="23"/>
  <c r="U3"/>
  <c r="V3"/>
  <c r="W3"/>
  <c r="X74"/>
  <c r="K71" i="35"/>
  <c r="K72" s="1"/>
  <c r="J72"/>
  <c r="I72"/>
  <c r="H72"/>
  <c r="G72"/>
  <c r="F72"/>
  <c r="E72"/>
  <c r="D72"/>
  <c r="L55" i="34"/>
  <c r="K55"/>
  <c r="J55"/>
  <c r="I55"/>
  <c r="H55"/>
  <c r="G55"/>
  <c r="F55"/>
  <c r="E55"/>
  <c r="D55"/>
  <c r="N54"/>
  <c r="M54"/>
  <c r="M55"/>
  <c r="N55"/>
  <c r="D73" i="37"/>
  <c r="E73"/>
  <c r="F3" i="26"/>
  <c r="G3"/>
  <c r="L3" i="28"/>
  <c r="M3"/>
  <c r="Y20" i="22"/>
  <c r="V3"/>
  <c r="G3" i="24"/>
  <c r="H3"/>
  <c r="K3"/>
  <c r="L3"/>
  <c r="O3"/>
  <c r="P3"/>
  <c r="Y22" i="22"/>
  <c r="M54" i="26"/>
  <c r="U27" i="24"/>
  <c r="J8" i="20"/>
  <c r="J47"/>
  <c r="M55" i="26"/>
  <c r="M25"/>
  <c r="F74"/>
  <c r="K43" i="21"/>
  <c r="Y45" i="22"/>
  <c r="W3"/>
  <c r="W74"/>
  <c r="F74" i="21"/>
  <c r="F3"/>
  <c r="H3"/>
  <c r="Y10" i="22"/>
  <c r="K22" i="21"/>
  <c r="K74" i="24"/>
  <c r="M10" i="26"/>
  <c r="M20"/>
  <c r="Y54" i="22"/>
  <c r="O43" i="28"/>
  <c r="Y55" i="22"/>
  <c r="U22" i="24"/>
  <c r="Y47" i="22"/>
  <c r="G74" i="24"/>
  <c r="J45" i="20"/>
  <c r="M47" i="26"/>
  <c r="K47" i="21"/>
  <c r="K15"/>
  <c r="U55" i="24"/>
  <c r="M8" i="26"/>
  <c r="U15" i="24"/>
  <c r="K12" i="21"/>
  <c r="J12" i="20"/>
  <c r="M43" i="26"/>
  <c r="J43" i="20"/>
  <c r="M22" i="26"/>
  <c r="X15" i="23"/>
  <c r="J10" i="20"/>
  <c r="J54"/>
  <c r="O25" i="28"/>
  <c r="U43" i="24"/>
  <c r="J41" i="20"/>
  <c r="H74"/>
  <c r="H74" i="21"/>
  <c r="O15" i="28"/>
  <c r="S74" i="23"/>
  <c r="T74"/>
  <c r="U74"/>
  <c r="V74"/>
  <c r="W74"/>
  <c r="S74" i="24"/>
  <c r="O74"/>
  <c r="H74"/>
  <c r="P74"/>
  <c r="G74" i="26"/>
  <c r="I74"/>
  <c r="L74" i="24"/>
  <c r="L74" i="28"/>
  <c r="M74"/>
  <c r="H3" i="26" l="1"/>
  <c r="H74"/>
  <c r="N74" i="24"/>
  <c r="N3"/>
  <c r="M74"/>
  <c r="M3"/>
  <c r="J74" i="21"/>
  <c r="J3"/>
  <c r="N3" i="28"/>
  <c r="O3" s="1"/>
  <c r="N74"/>
  <c r="R3" i="24"/>
  <c r="R74"/>
  <c r="K3" i="26"/>
  <c r="M38"/>
  <c r="Y8" i="22"/>
  <c r="X4"/>
  <c r="Y4" s="1"/>
  <c r="M4" i="26"/>
  <c r="U38" i="24"/>
  <c r="S3"/>
  <c r="Q3"/>
  <c r="Q74"/>
  <c r="I74" i="21"/>
  <c r="I3"/>
  <c r="O74" i="28"/>
  <c r="U4" i="24"/>
  <c r="F3"/>
  <c r="F74"/>
  <c r="L74" i="26"/>
  <c r="L3"/>
  <c r="J74"/>
  <c r="J3"/>
  <c r="T74" i="24"/>
  <c r="T3"/>
  <c r="J3"/>
  <c r="J74"/>
  <c r="G74" i="21"/>
  <c r="G3"/>
  <c r="K3" s="1"/>
  <c r="I3" i="24"/>
  <c r="I74"/>
  <c r="K4" i="21"/>
  <c r="U20" i="24"/>
  <c r="L72" i="35"/>
  <c r="X38" i="22"/>
  <c r="Y38" s="1"/>
  <c r="T3" i="27"/>
  <c r="Y74" i="22" l="1"/>
  <c r="U74" i="24"/>
  <c r="M74" i="26"/>
  <c r="X74" i="22"/>
  <c r="X3"/>
  <c r="Y3" s="1"/>
  <c r="K74" i="21"/>
  <c r="U3" i="24"/>
  <c r="M3" i="26"/>
</calcChain>
</file>

<file path=xl/sharedStrings.xml><?xml version="1.0" encoding="utf-8"?>
<sst xmlns="http://schemas.openxmlformats.org/spreadsheetml/2006/main" count="6893" uniqueCount="1791">
  <si>
    <t>工资福利支出</t>
  </si>
  <si>
    <t>单位</t>
  </si>
  <si>
    <t>莘庄</t>
  </si>
  <si>
    <t>吴泾</t>
  </si>
  <si>
    <t>七宝</t>
  </si>
  <si>
    <t>浦江</t>
  </si>
  <si>
    <t>梅陇</t>
  </si>
  <si>
    <t>马桥</t>
  </si>
  <si>
    <t>华漕</t>
  </si>
  <si>
    <t>颛桥</t>
  </si>
  <si>
    <t>虹桥</t>
  </si>
  <si>
    <t>工业区</t>
  </si>
  <si>
    <t>序号</t>
  </si>
  <si>
    <t>项目名称</t>
  </si>
  <si>
    <t>功能分类</t>
  </si>
  <si>
    <t>口径</t>
  </si>
  <si>
    <t>佳佳中心幼儿园</t>
    <phoneticPr fontId="2" type="noConversion"/>
  </si>
  <si>
    <t>康城幼儿园</t>
    <phoneticPr fontId="2" type="noConversion"/>
  </si>
  <si>
    <t>实验幼儿园</t>
    <phoneticPr fontId="2" type="noConversion"/>
  </si>
  <si>
    <t>社区学校</t>
    <phoneticPr fontId="2" type="noConversion"/>
  </si>
  <si>
    <t>明星学校</t>
    <phoneticPr fontId="2" type="noConversion"/>
  </si>
  <si>
    <t>合计</t>
  </si>
  <si>
    <t>备注</t>
  </si>
  <si>
    <t>1</t>
  </si>
  <si>
    <t>基本支出总预算数</t>
  </si>
  <si>
    <t>公式计算</t>
  </si>
  <si>
    <t>2</t>
  </si>
  <si>
    <t>3</t>
  </si>
  <si>
    <t>　　基本工资</t>
  </si>
  <si>
    <t>4</t>
  </si>
  <si>
    <t>　　　　1、岗位工资</t>
  </si>
  <si>
    <t>主款项</t>
  </si>
  <si>
    <t>根据人事口径按实编制</t>
  </si>
  <si>
    <t>5</t>
  </si>
  <si>
    <t>　　　　2、薪级工资</t>
  </si>
  <si>
    <t>6</t>
  </si>
  <si>
    <t>　　津贴补贴</t>
  </si>
  <si>
    <t>7</t>
  </si>
  <si>
    <t>　　　　1、各类津贴★▲</t>
  </si>
  <si>
    <t>8</t>
  </si>
  <si>
    <t>　　　　2、各类补贴</t>
  </si>
  <si>
    <t>9</t>
  </si>
  <si>
    <t>　　　　　　(1)上下班交通费补贴</t>
    <phoneticPr fontId="2" type="noConversion"/>
  </si>
  <si>
    <t>10</t>
  </si>
  <si>
    <t>　　其他社会保障缴费</t>
  </si>
  <si>
    <t>注：社保缴费基数应该相同</t>
  </si>
  <si>
    <t>11</t>
  </si>
  <si>
    <t>　　　　1、工伤保险费0.256%</t>
    <phoneticPr fontId="2" type="noConversion"/>
  </si>
  <si>
    <t>公式计算（请检查）</t>
  </si>
  <si>
    <t>12</t>
  </si>
  <si>
    <t>　　　　2、失业保险0.5%</t>
    <phoneticPr fontId="2" type="noConversion"/>
  </si>
  <si>
    <t>13</t>
  </si>
  <si>
    <t>　　绩效工资</t>
  </si>
  <si>
    <t>14</t>
  </si>
  <si>
    <t>　　　　1、绩效工资</t>
  </si>
  <si>
    <t>根据人保科数字编制</t>
    <phoneticPr fontId="2" type="noConversion"/>
  </si>
  <si>
    <t>15</t>
  </si>
  <si>
    <t>　　　　2、校长职级制</t>
  </si>
  <si>
    <t>根据校长职级制按实编制</t>
  </si>
  <si>
    <t>16</t>
  </si>
  <si>
    <t>　　　　3、工作餐补贴</t>
    <phoneticPr fontId="2" type="noConversion"/>
  </si>
  <si>
    <t>17</t>
  </si>
  <si>
    <t>　　　　4、课后服务(在编人员）</t>
    <phoneticPr fontId="2" type="noConversion"/>
  </si>
  <si>
    <t>18</t>
  </si>
  <si>
    <t xml:space="preserve">   城镇职工基本医疗保险缴费</t>
  </si>
  <si>
    <t>19</t>
  </si>
  <si>
    <r>
      <t xml:space="preserve">        1、医疗保险费10</t>
    </r>
    <r>
      <rPr>
        <sz val="9"/>
        <color indexed="8"/>
        <rFont val="宋体"/>
        <family val="3"/>
        <charset val="134"/>
      </rPr>
      <t>%</t>
    </r>
    <phoneticPr fontId="2" type="noConversion"/>
  </si>
  <si>
    <t>事业单位医疗</t>
  </si>
  <si>
    <t>20</t>
  </si>
  <si>
    <r>
      <t xml:space="preserve">        2、其他医疗保险费4</t>
    </r>
    <r>
      <rPr>
        <sz val="9"/>
        <color indexed="8"/>
        <rFont val="宋体"/>
        <family val="3"/>
        <charset val="134"/>
      </rPr>
      <t>%</t>
    </r>
    <phoneticPr fontId="2" type="noConversion"/>
  </si>
  <si>
    <t>21</t>
  </si>
  <si>
    <r>
      <t xml:space="preserve">          (</t>
    </r>
    <r>
      <rPr>
        <sz val="9"/>
        <color indexed="8"/>
        <rFont val="宋体"/>
        <family val="3"/>
        <charset val="134"/>
      </rPr>
      <t>1</t>
    </r>
    <r>
      <rPr>
        <sz val="9"/>
        <color indexed="8"/>
        <rFont val="宋体"/>
        <family val="3"/>
        <charset val="134"/>
      </rPr>
      <t>)其他保险2%(统筹)</t>
    </r>
  </si>
  <si>
    <t>22</t>
  </si>
  <si>
    <r>
      <t xml:space="preserve">          (</t>
    </r>
    <r>
      <rPr>
        <sz val="9"/>
        <color indexed="8"/>
        <rFont val="宋体"/>
        <family val="3"/>
        <charset val="134"/>
      </rPr>
      <t>2</t>
    </r>
    <r>
      <rPr>
        <sz val="9"/>
        <color indexed="8"/>
        <rFont val="宋体"/>
        <family val="3"/>
        <charset val="134"/>
      </rPr>
      <t>)其他保险2%(单位)</t>
    </r>
  </si>
  <si>
    <t>23</t>
  </si>
  <si>
    <t>　　事业单位基本养老保险缴费</t>
  </si>
  <si>
    <t>24</t>
  </si>
  <si>
    <t>　　　　1、基本养老保险16%</t>
    <phoneticPr fontId="2" type="noConversion"/>
  </si>
  <si>
    <t>养老保险</t>
  </si>
  <si>
    <t>25</t>
  </si>
  <si>
    <t>　　职业年金缴纳</t>
  </si>
  <si>
    <t>26</t>
  </si>
  <si>
    <t>　　　　1、职业年金8%</t>
  </si>
  <si>
    <t>职业年金</t>
  </si>
  <si>
    <t>27</t>
  </si>
  <si>
    <r>
      <t xml:space="preserve"> </t>
    </r>
    <r>
      <rPr>
        <sz val="9"/>
        <color indexed="8"/>
        <rFont val="宋体"/>
        <family val="3"/>
        <charset val="134"/>
      </rPr>
      <t xml:space="preserve">   </t>
    </r>
    <r>
      <rPr>
        <sz val="9"/>
        <color indexed="8"/>
        <rFont val="宋体"/>
        <family val="3"/>
        <charset val="134"/>
      </rPr>
      <t>公积金</t>
    </r>
    <r>
      <rPr>
        <sz val="9"/>
        <color indexed="8"/>
        <rFont val="宋体"/>
        <family val="3"/>
        <charset val="134"/>
      </rPr>
      <t>7%</t>
    </r>
    <phoneticPr fontId="2" type="noConversion"/>
  </si>
  <si>
    <t>公积金</t>
  </si>
  <si>
    <t>根据人事口径按实编制</t>
    <phoneticPr fontId="2" type="noConversion"/>
  </si>
  <si>
    <t>28</t>
  </si>
  <si>
    <t xml:space="preserve">    其他工资福利</t>
    <phoneticPr fontId="2" type="noConversion"/>
  </si>
  <si>
    <t>年初预算为0</t>
    <phoneticPr fontId="2" type="noConversion"/>
  </si>
  <si>
    <t>29</t>
  </si>
  <si>
    <t>对个人和家庭补助</t>
  </si>
  <si>
    <t>30</t>
  </si>
  <si>
    <t xml:space="preserve">    退休费</t>
    <phoneticPr fontId="2" type="noConversion"/>
  </si>
  <si>
    <t>离退休</t>
  </si>
  <si>
    <t>根据退休人员情况按实编制</t>
    <phoneticPr fontId="2" type="noConversion"/>
  </si>
  <si>
    <t>31</t>
  </si>
  <si>
    <t xml:space="preserve">        1、退休人员生活补贴</t>
    <phoneticPr fontId="2" type="noConversion"/>
  </si>
  <si>
    <t>32</t>
  </si>
  <si>
    <t>　　奖励金</t>
  </si>
  <si>
    <t>33</t>
  </si>
  <si>
    <t>　　　　1、独生子女奖励费▲</t>
  </si>
  <si>
    <t>34</t>
  </si>
  <si>
    <t>　　其他支出对个人和家庭补助</t>
  </si>
  <si>
    <t>35</t>
  </si>
  <si>
    <t>　　　　1、其他</t>
    <phoneticPr fontId="2" type="noConversion"/>
  </si>
  <si>
    <t>除罗阳小学3人及七宝二中1人的退休共享费外，其他学校填0</t>
  </si>
  <si>
    <t>36</t>
  </si>
  <si>
    <t>商品和服务支出和其他资本性支出</t>
  </si>
  <si>
    <t>37</t>
  </si>
  <si>
    <t>　　(一)公用定额</t>
  </si>
  <si>
    <t>学生人数*定额</t>
  </si>
  <si>
    <t>38</t>
  </si>
  <si>
    <t xml:space="preserve">       其中：培训费</t>
    <phoneticPr fontId="2" type="noConversion"/>
  </si>
  <si>
    <t>主款项</t>
    <phoneticPr fontId="2" type="noConversion"/>
  </si>
  <si>
    <t>生均定额5%</t>
    <phoneticPr fontId="2" type="noConversion"/>
  </si>
  <si>
    <t>39</t>
  </si>
  <si>
    <t>　　(二)培训费</t>
  </si>
  <si>
    <t>40</t>
  </si>
  <si>
    <t>　　　　1、进修、培训 400元/年教师</t>
  </si>
  <si>
    <t>教职工人数*400元（公式计算）</t>
  </si>
  <si>
    <t>41</t>
  </si>
  <si>
    <t>　　(三)维修(护)费</t>
  </si>
  <si>
    <t>42</t>
  </si>
  <si>
    <t>　　　　1、房屋维修费 15元/年平方米</t>
  </si>
  <si>
    <t>房屋面积*15元（公式计算）</t>
  </si>
  <si>
    <t>43</t>
  </si>
  <si>
    <t>　　(四)物业管理费</t>
  </si>
  <si>
    <t>44</t>
  </si>
  <si>
    <t>　　　　1、绿化维护费 8元/年平方米</t>
  </si>
  <si>
    <t>绿化面积*8元（公式计算）</t>
  </si>
  <si>
    <t>45</t>
  </si>
  <si>
    <t>　　(五)福利费</t>
    <phoneticPr fontId="2" type="noConversion"/>
  </si>
  <si>
    <t>46</t>
  </si>
  <si>
    <t>　　　　1、在职福利费</t>
    <phoneticPr fontId="2" type="noConversion"/>
  </si>
  <si>
    <t>教职工人数*4320元（公式计算）</t>
  </si>
  <si>
    <t>47</t>
  </si>
  <si>
    <t>　　　　2、离退休福利费</t>
    <phoneticPr fontId="2" type="noConversion"/>
  </si>
  <si>
    <t>离退休人数*4320元（公式计算）</t>
    <phoneticPr fontId="2" type="noConversion"/>
  </si>
  <si>
    <t>48</t>
  </si>
  <si>
    <t>　　(六)工会经费</t>
    <phoneticPr fontId="2" type="noConversion"/>
  </si>
  <si>
    <t>49</t>
  </si>
  <si>
    <t>　　　　1、工会经费2%</t>
  </si>
  <si>
    <t>50</t>
  </si>
  <si>
    <t>　　(七)公务用车运行维护费★</t>
    <phoneticPr fontId="2" type="noConversion"/>
  </si>
  <si>
    <t>51</t>
  </si>
  <si>
    <t>　　　　1、教育系统，校/辆</t>
  </si>
  <si>
    <t>机关局有编制的车辆数*32000元/年（分园及分校预算在其他交通费中编制）</t>
  </si>
  <si>
    <t>52</t>
  </si>
  <si>
    <t>　　(八)其他商品和服务支出</t>
    <phoneticPr fontId="2" type="noConversion"/>
  </si>
  <si>
    <t>53</t>
  </si>
  <si>
    <t>　　　　1、离退休公用支出</t>
    <phoneticPr fontId="2" type="noConversion"/>
  </si>
  <si>
    <t>54</t>
  </si>
  <si>
    <t>　　　　　　(1)活动费(活动费+活动费(托管))</t>
  </si>
  <si>
    <t>离退休人数*400元/年（公式计算）</t>
    <phoneticPr fontId="2" type="noConversion"/>
  </si>
  <si>
    <t>55</t>
  </si>
  <si>
    <t>　　　　2、子女幼托费</t>
    <phoneticPr fontId="2" type="noConversion"/>
  </si>
  <si>
    <t>没有，填0</t>
  </si>
  <si>
    <t>56</t>
  </si>
  <si>
    <t>　　(九)其他交通费用</t>
    <phoneticPr fontId="2" type="noConversion"/>
  </si>
  <si>
    <t>57</t>
  </si>
  <si>
    <t>　　　　2、教育系统</t>
  </si>
  <si>
    <t xml:space="preserve">
机关局无编制车辆的学校按32000元编制预算
机关局有编制的车辆，每分校增加10000元，每个分园增加5000元编制预算</t>
    <phoneticPr fontId="2" type="noConversion"/>
  </si>
  <si>
    <t>58</t>
  </si>
  <si>
    <t>学校基本情况：</t>
  </si>
  <si>
    <t>59</t>
  </si>
  <si>
    <t>1、教职工(人数)</t>
  </si>
  <si>
    <r>
      <t>填写202</t>
    </r>
    <r>
      <rPr>
        <sz val="9"/>
        <color indexed="8"/>
        <rFont val="宋体"/>
        <family val="3"/>
        <charset val="134"/>
      </rPr>
      <t>3</t>
    </r>
    <r>
      <rPr>
        <sz val="9"/>
        <color indexed="8"/>
        <rFont val="宋体"/>
        <family val="3"/>
        <charset val="134"/>
      </rPr>
      <t>年9月在编教职工人数</t>
    </r>
    <phoneticPr fontId="2" type="noConversion"/>
  </si>
  <si>
    <t>60</t>
  </si>
  <si>
    <t xml:space="preserve">       初中</t>
  </si>
  <si>
    <t>61</t>
  </si>
  <si>
    <t xml:space="preserve">       小学</t>
  </si>
  <si>
    <t>62</t>
  </si>
  <si>
    <t xml:space="preserve">       幼儿园</t>
  </si>
  <si>
    <t>63</t>
  </si>
  <si>
    <t xml:space="preserve">       其他</t>
  </si>
  <si>
    <t>64</t>
  </si>
  <si>
    <t>2、学生(人数)</t>
  </si>
  <si>
    <r>
      <t>填写202</t>
    </r>
    <r>
      <rPr>
        <sz val="9"/>
        <color indexed="8"/>
        <rFont val="宋体"/>
        <family val="3"/>
        <charset val="134"/>
      </rPr>
      <t>3</t>
    </r>
    <r>
      <rPr>
        <sz val="9"/>
        <color indexed="8"/>
        <rFont val="宋体"/>
        <family val="3"/>
        <charset val="134"/>
      </rPr>
      <t>年秋季学期学生人数，以招办人数为准</t>
    </r>
    <phoneticPr fontId="2" type="noConversion"/>
  </si>
  <si>
    <t>65</t>
  </si>
  <si>
    <t>66</t>
  </si>
  <si>
    <t>67</t>
  </si>
  <si>
    <t>68</t>
  </si>
  <si>
    <t>69</t>
  </si>
  <si>
    <t>3、事业退休人员人数</t>
    <phoneticPr fontId="2" type="noConversion"/>
  </si>
  <si>
    <t>70</t>
  </si>
  <si>
    <t>4、教育单位房屋（面积）</t>
    <phoneticPr fontId="2" type="noConversion"/>
  </si>
  <si>
    <t>71</t>
  </si>
  <si>
    <t>5、教育单位绿化（面积）</t>
    <phoneticPr fontId="2" type="noConversion"/>
  </si>
  <si>
    <t>上海市闵行区景东小学</t>
  </si>
  <si>
    <t>华东师范大学闵行永德实验小学</t>
  </si>
  <si>
    <t>闵行区塘湾中心幼儿园</t>
  </si>
  <si>
    <t>上海市闵行区吴泾第三幼儿园</t>
  </si>
  <si>
    <t>华东师范大学闵行永德实验幼儿园</t>
  </si>
  <si>
    <t>上海市闵行区吴泾镇社区学校</t>
  </si>
  <si>
    <t>　　　　　　(1)上下班交通费补贴</t>
    <phoneticPr fontId="2" type="noConversion"/>
  </si>
  <si>
    <t>　　　　1、工伤保险费0.256%</t>
    <phoneticPr fontId="2" type="noConversion"/>
  </si>
  <si>
    <t>　　　　2、失业保险0.5%</t>
    <phoneticPr fontId="2" type="noConversion"/>
  </si>
  <si>
    <t>根据人保科数字编制</t>
    <phoneticPr fontId="2" type="noConversion"/>
  </si>
  <si>
    <t>　　　　3、工作餐补贴</t>
    <phoneticPr fontId="2" type="noConversion"/>
  </si>
  <si>
    <t>　　　　4、课后服务(在编人员）</t>
    <phoneticPr fontId="2" type="noConversion"/>
  </si>
  <si>
    <r>
      <t xml:space="preserve">        1、医疗保险费10</t>
    </r>
    <r>
      <rPr>
        <sz val="9"/>
        <color indexed="8"/>
        <rFont val="宋体"/>
        <family val="3"/>
        <charset val="134"/>
      </rPr>
      <t>%</t>
    </r>
    <phoneticPr fontId="2" type="noConversion"/>
  </si>
  <si>
    <r>
      <t xml:space="preserve">        2、其他医疗保险费4</t>
    </r>
    <r>
      <rPr>
        <sz val="9"/>
        <color indexed="8"/>
        <rFont val="宋体"/>
        <family val="3"/>
        <charset val="134"/>
      </rPr>
      <t>%</t>
    </r>
    <phoneticPr fontId="2" type="noConversion"/>
  </si>
  <si>
    <t>　　　　1、基本养老保险16%</t>
    <phoneticPr fontId="2" type="noConversion"/>
  </si>
  <si>
    <r>
      <t xml:space="preserve"> </t>
    </r>
    <r>
      <rPr>
        <sz val="9"/>
        <color indexed="8"/>
        <rFont val="宋体"/>
        <family val="3"/>
        <charset val="134"/>
      </rPr>
      <t xml:space="preserve">   </t>
    </r>
    <r>
      <rPr>
        <sz val="9"/>
        <color indexed="8"/>
        <rFont val="宋体"/>
        <family val="3"/>
        <charset val="134"/>
      </rPr>
      <t>公积金</t>
    </r>
    <r>
      <rPr>
        <sz val="9"/>
        <color indexed="8"/>
        <rFont val="宋体"/>
        <family val="3"/>
        <charset val="134"/>
      </rPr>
      <t>7%</t>
    </r>
    <phoneticPr fontId="2" type="noConversion"/>
  </si>
  <si>
    <t>根据人事口径按实编制</t>
    <phoneticPr fontId="2" type="noConversion"/>
  </si>
  <si>
    <t xml:space="preserve">    其他工资福利</t>
    <phoneticPr fontId="2" type="noConversion"/>
  </si>
  <si>
    <t>年初预算为0</t>
    <phoneticPr fontId="2" type="noConversion"/>
  </si>
  <si>
    <t xml:space="preserve">    退休费</t>
    <phoneticPr fontId="2" type="noConversion"/>
  </si>
  <si>
    <t>根据退休人员情况按实编制</t>
    <phoneticPr fontId="2" type="noConversion"/>
  </si>
  <si>
    <t xml:space="preserve">        1、退休人员生活补贴</t>
    <phoneticPr fontId="2" type="noConversion"/>
  </si>
  <si>
    <t>　　　　1、其他</t>
    <phoneticPr fontId="2" type="noConversion"/>
  </si>
  <si>
    <t xml:space="preserve">       其中：培训费</t>
    <phoneticPr fontId="2" type="noConversion"/>
  </si>
  <si>
    <t>主款项</t>
    <phoneticPr fontId="2" type="noConversion"/>
  </si>
  <si>
    <t>生均定额5%</t>
    <phoneticPr fontId="2" type="noConversion"/>
  </si>
  <si>
    <t>　　(五)福利费</t>
    <phoneticPr fontId="2" type="noConversion"/>
  </si>
  <si>
    <t>　　　　1、在职福利费</t>
    <phoneticPr fontId="2" type="noConversion"/>
  </si>
  <si>
    <t>　　　　2、离退休福利费</t>
    <phoneticPr fontId="2" type="noConversion"/>
  </si>
  <si>
    <t>离退休人数*4320元（公式计算）</t>
    <phoneticPr fontId="2" type="noConversion"/>
  </si>
  <si>
    <t>　　(六)工会经费</t>
    <phoneticPr fontId="2" type="noConversion"/>
  </si>
  <si>
    <t>　　(七)公务用车运行维护费★</t>
    <phoneticPr fontId="2" type="noConversion"/>
  </si>
  <si>
    <t>　　(八)其他商品和服务支出</t>
    <phoneticPr fontId="2" type="noConversion"/>
  </si>
  <si>
    <t>　　　　1、离退休公用支出</t>
    <phoneticPr fontId="2" type="noConversion"/>
  </si>
  <si>
    <t>离退休人数*400元/年（公式计算）</t>
    <phoneticPr fontId="2" type="noConversion"/>
  </si>
  <si>
    <t>　　　　2、子女幼托费</t>
    <phoneticPr fontId="2" type="noConversion"/>
  </si>
  <si>
    <t>　　(九)其他交通费用</t>
    <phoneticPr fontId="2" type="noConversion"/>
  </si>
  <si>
    <t xml:space="preserve">
机关局无编制车辆的学校按32000元编制预算
机关局有编制的车辆，每分校增加10000元，每个分园增加5000元编制预算</t>
    <phoneticPr fontId="2" type="noConversion"/>
  </si>
  <si>
    <r>
      <t>填写202</t>
    </r>
    <r>
      <rPr>
        <sz val="9"/>
        <color indexed="8"/>
        <rFont val="宋体"/>
        <family val="3"/>
        <charset val="134"/>
      </rPr>
      <t>3</t>
    </r>
    <r>
      <rPr>
        <sz val="9"/>
        <color indexed="8"/>
        <rFont val="宋体"/>
        <family val="3"/>
        <charset val="134"/>
      </rPr>
      <t>年9月在编教职工人数</t>
    </r>
    <phoneticPr fontId="2" type="noConversion"/>
  </si>
  <si>
    <r>
      <t>填写202</t>
    </r>
    <r>
      <rPr>
        <sz val="9"/>
        <color indexed="8"/>
        <rFont val="宋体"/>
        <family val="3"/>
        <charset val="134"/>
      </rPr>
      <t>3</t>
    </r>
    <r>
      <rPr>
        <sz val="9"/>
        <color indexed="8"/>
        <rFont val="宋体"/>
        <family val="3"/>
        <charset val="134"/>
      </rPr>
      <t>年秋季学期学生人数，以招办人数为准</t>
    </r>
    <phoneticPr fontId="2" type="noConversion"/>
  </si>
  <si>
    <t>3、事业退休人员人数</t>
    <phoneticPr fontId="2" type="noConversion"/>
  </si>
  <si>
    <t>4、教育单位房屋（面积）</t>
    <phoneticPr fontId="2" type="noConversion"/>
  </si>
  <si>
    <t>5、教育单位绿化（面积）</t>
    <phoneticPr fontId="2" type="noConversion"/>
  </si>
  <si>
    <t>七宝二中</t>
    <phoneticPr fontId="2" type="noConversion"/>
  </si>
  <si>
    <t>七宝实验中学</t>
    <phoneticPr fontId="2" type="noConversion"/>
  </si>
  <si>
    <t>航华中学</t>
    <phoneticPr fontId="2" type="noConversion"/>
  </si>
  <si>
    <t>七宝三中</t>
    <phoneticPr fontId="2" type="noConversion"/>
  </si>
  <si>
    <t>明强小学</t>
    <phoneticPr fontId="2" type="noConversion"/>
  </si>
  <si>
    <t>黎明小学</t>
    <phoneticPr fontId="2" type="noConversion"/>
  </si>
  <si>
    <t>七宝实小</t>
    <phoneticPr fontId="2" type="noConversion"/>
  </si>
  <si>
    <t>航华二小</t>
    <phoneticPr fontId="2" type="noConversion"/>
  </si>
  <si>
    <t>明强二小</t>
    <phoneticPr fontId="2" type="noConversion"/>
  </si>
  <si>
    <t>中心幼</t>
    <phoneticPr fontId="2" type="noConversion"/>
  </si>
  <si>
    <t>星辰</t>
    <phoneticPr fontId="2" type="noConversion"/>
  </si>
  <si>
    <t>春欣</t>
    <phoneticPr fontId="2" type="noConversion"/>
  </si>
  <si>
    <t>七实幼</t>
    <phoneticPr fontId="2" type="noConversion"/>
  </si>
  <si>
    <t>航华二幼</t>
    <phoneticPr fontId="2" type="noConversion"/>
  </si>
  <si>
    <t>皇都</t>
    <phoneticPr fontId="2" type="noConversion"/>
  </si>
  <si>
    <t>明强幼</t>
    <phoneticPr fontId="2" type="noConversion"/>
  </si>
  <si>
    <t>七宝幼</t>
    <phoneticPr fontId="2" type="noConversion"/>
  </si>
  <si>
    <t>宝盛</t>
    <phoneticPr fontId="2" type="noConversion"/>
  </si>
  <si>
    <t>文来</t>
    <phoneticPr fontId="2" type="noConversion"/>
  </si>
  <si>
    <t>七宝社区</t>
    <phoneticPr fontId="2" type="noConversion"/>
  </si>
  <si>
    <t>浦江二中学校</t>
  </si>
  <si>
    <t>浦江三中</t>
    <phoneticPr fontId="2" type="noConversion"/>
  </si>
  <si>
    <t>世外浦江</t>
  </si>
  <si>
    <t>浦航实中</t>
  </si>
  <si>
    <t>上师闵实验</t>
    <phoneticPr fontId="42" type="noConversion"/>
  </si>
  <si>
    <t>二小</t>
  </si>
  <si>
    <t>浦江三小</t>
  </si>
  <si>
    <t>浦汇小学</t>
    <phoneticPr fontId="2" type="noConversion"/>
  </si>
  <si>
    <t>上戏附校</t>
  </si>
  <si>
    <t>福山实验</t>
    <phoneticPr fontId="2" type="noConversion"/>
  </si>
  <si>
    <t>浦江二幼</t>
  </si>
  <si>
    <t>浦江三幼</t>
    <phoneticPr fontId="2" type="noConversion"/>
  </si>
  <si>
    <t>宝邸幼儿园</t>
    <phoneticPr fontId="2" type="noConversion"/>
  </si>
  <si>
    <t>闸航幼</t>
    <phoneticPr fontId="2" type="noConversion"/>
  </si>
  <si>
    <t>瑞和城幼儿园</t>
    <phoneticPr fontId="2" type="noConversion"/>
  </si>
  <si>
    <t>浦瑞幼儿园</t>
    <phoneticPr fontId="2" type="noConversion"/>
  </si>
  <si>
    <t>浦航幼儿园</t>
  </si>
  <si>
    <t>浦莲幼儿园</t>
  </si>
  <si>
    <t>上海市闵行区晶华坊幼儿园</t>
    <phoneticPr fontId="2" type="noConversion"/>
  </si>
  <si>
    <t>上海市闵行区梅陇永联幼儿园</t>
    <phoneticPr fontId="2" type="noConversion"/>
  </si>
  <si>
    <t>马桥社区学校</t>
    <phoneticPr fontId="2" type="noConversion"/>
  </si>
  <si>
    <t>上海交通大学附属闵行马桥实验学校</t>
    <phoneticPr fontId="2" type="noConversion"/>
  </si>
  <si>
    <t>上海市马桥强恕学校</t>
    <phoneticPr fontId="2" type="noConversion"/>
  </si>
  <si>
    <t>上海市闵行区马桥复旦万科实验中学</t>
    <phoneticPr fontId="2" type="noConversion"/>
  </si>
  <si>
    <t>上海市闵行区马桥文来外国语小学</t>
    <phoneticPr fontId="2" type="noConversion"/>
  </si>
  <si>
    <t>上海市闵行区马桥实验幼儿园</t>
    <phoneticPr fontId="2" type="noConversion"/>
  </si>
  <si>
    <t>上海市闵行区马桥元祥幼儿园</t>
    <phoneticPr fontId="2" type="noConversion"/>
  </si>
  <si>
    <t>上海市闵行区马桥启英幼儿园</t>
    <phoneticPr fontId="2" type="noConversion"/>
  </si>
  <si>
    <t>上海市闵行区马桥富杰幼儿园</t>
    <phoneticPr fontId="2" type="noConversion"/>
  </si>
  <si>
    <t>上海市闵行区马桥中心幼儿园</t>
    <phoneticPr fontId="2" type="noConversion"/>
  </si>
  <si>
    <t>上海市闵行区马桥富国幼儿园</t>
    <phoneticPr fontId="2" type="noConversion"/>
  </si>
  <si>
    <t>上海市闵行区马桥富卓幼儿园</t>
    <phoneticPr fontId="2" type="noConversion"/>
  </si>
  <si>
    <t>华漕学校</t>
    <phoneticPr fontId="2" type="noConversion"/>
  </si>
  <si>
    <t>诸翟学校</t>
    <phoneticPr fontId="2" type="noConversion"/>
  </si>
  <si>
    <t>纪王学校</t>
    <phoneticPr fontId="2" type="noConversion"/>
  </si>
  <si>
    <t>华漕幼儿园</t>
    <phoneticPr fontId="2" type="noConversion"/>
  </si>
  <si>
    <t>诸翟幼儿园</t>
    <phoneticPr fontId="2" type="noConversion"/>
  </si>
  <si>
    <t>纪王幼儿园</t>
    <phoneticPr fontId="2" type="noConversion"/>
  </si>
  <si>
    <t>金色幼儿园</t>
    <phoneticPr fontId="2" type="noConversion"/>
  </si>
  <si>
    <t>颛桥中学</t>
  </si>
  <si>
    <t>北桥中学</t>
  </si>
  <si>
    <t>颛桥小学</t>
  </si>
  <si>
    <t>北桥小学</t>
  </si>
  <si>
    <t>田园外小</t>
  </si>
  <si>
    <t>田园二外小</t>
  </si>
  <si>
    <t>颛桥一幼</t>
  </si>
  <si>
    <t>颛桥镇幼</t>
  </si>
  <si>
    <t>君莲幼儿园</t>
  </si>
  <si>
    <t>上师大幼</t>
  </si>
  <si>
    <t>君莲学校</t>
  </si>
  <si>
    <t>社区学校</t>
  </si>
  <si>
    <t>颛桥镇二幼</t>
    <phoneticPr fontId="2" type="noConversion"/>
  </si>
  <si>
    <t>田园中学</t>
    <phoneticPr fontId="2" type="noConversion"/>
  </si>
  <si>
    <t>田园幼儿园</t>
    <phoneticPr fontId="2" type="noConversion"/>
  </si>
  <si>
    <t>上虹中学</t>
  </si>
  <si>
    <t>龙柏中学</t>
  </si>
  <si>
    <t>金汇实验</t>
  </si>
  <si>
    <t>虹桥小学</t>
  </si>
  <si>
    <t>龙柏一小</t>
  </si>
  <si>
    <t>中心幼儿园</t>
  </si>
  <si>
    <t>虹鹿幼儿园</t>
  </si>
  <si>
    <t>龙柏一幼</t>
  </si>
  <si>
    <t>龙柏二幼</t>
  </si>
  <si>
    <t>　　　　　　(1)上下班交通费补贴</t>
  </si>
  <si>
    <t>　　　　2、失业保险0.5%</t>
  </si>
  <si>
    <t>根据人保科数字编制</t>
  </si>
  <si>
    <t>　　　　3、工作餐补贴</t>
  </si>
  <si>
    <t>　　　　4、课后服务(在编人员）</t>
  </si>
  <si>
    <r>
      <t xml:space="preserve">        1、医疗保险费10</t>
    </r>
    <r>
      <rPr>
        <sz val="9"/>
        <color indexed="8"/>
        <rFont val="宋体"/>
        <family val="3"/>
        <charset val="134"/>
      </rPr>
      <t>%</t>
    </r>
  </si>
  <si>
    <r>
      <t xml:space="preserve">        2、其他医疗保险费4</t>
    </r>
    <r>
      <rPr>
        <sz val="9"/>
        <color indexed="8"/>
        <rFont val="宋体"/>
        <family val="3"/>
        <charset val="134"/>
      </rPr>
      <t>%</t>
    </r>
  </si>
  <si>
    <t>　　　　1、基本养老保险16%</t>
  </si>
  <si>
    <r>
      <t xml:space="preserve"> </t>
    </r>
    <r>
      <rPr>
        <sz val="9"/>
        <color indexed="8"/>
        <rFont val="宋体"/>
        <family val="3"/>
        <charset val="134"/>
      </rPr>
      <t xml:space="preserve">   </t>
    </r>
    <r>
      <rPr>
        <sz val="9"/>
        <color indexed="8"/>
        <rFont val="宋体"/>
        <family val="3"/>
        <charset val="134"/>
      </rPr>
      <t>公积金</t>
    </r>
    <r>
      <rPr>
        <sz val="9"/>
        <color indexed="8"/>
        <rFont val="宋体"/>
        <family val="3"/>
        <charset val="134"/>
      </rPr>
      <t>7%</t>
    </r>
  </si>
  <si>
    <t xml:space="preserve">    其他工资福利</t>
  </si>
  <si>
    <t>年初预算为0</t>
  </si>
  <si>
    <t xml:space="preserve">    退休费</t>
  </si>
  <si>
    <t>根据退休人员情况按实编制</t>
  </si>
  <si>
    <t xml:space="preserve">        1、退休人员生活补贴</t>
  </si>
  <si>
    <t>　　　　1、其他</t>
  </si>
  <si>
    <t xml:space="preserve">       其中：培训费</t>
  </si>
  <si>
    <t>生均定额5%</t>
  </si>
  <si>
    <t>　　(五)福利费</t>
  </si>
  <si>
    <t>　　　　1、在职福利费</t>
  </si>
  <si>
    <t>　　　　2、离退休福利费</t>
  </si>
  <si>
    <t>离退休人数*4320元（公式计算）</t>
  </si>
  <si>
    <t>　　(六)工会经费</t>
  </si>
  <si>
    <t>　　(七)公务用车运行维护费★</t>
  </si>
  <si>
    <t>　　(八)其他商品和服务支出</t>
  </si>
  <si>
    <t>　　　　1、离退休公用支出</t>
  </si>
  <si>
    <t>离退休人数*400元/年（公式计算）</t>
  </si>
  <si>
    <t>　　　　2、子女幼托费</t>
  </si>
  <si>
    <t>　　(九)其他交通费用</t>
  </si>
  <si>
    <t xml:space="preserve">
机关局无编制车辆的学校按32000元编制预算
机关局有编制的车辆，每分校增加10000元，每个分园增加5000元编制预算</t>
  </si>
  <si>
    <r>
      <t>填写202</t>
    </r>
    <r>
      <rPr>
        <sz val="9"/>
        <color indexed="8"/>
        <rFont val="宋体"/>
        <family val="3"/>
        <charset val="134"/>
      </rPr>
      <t>3</t>
    </r>
    <r>
      <rPr>
        <sz val="9"/>
        <color indexed="8"/>
        <rFont val="宋体"/>
        <family val="3"/>
        <charset val="134"/>
      </rPr>
      <t>年9月在编教职工人数</t>
    </r>
  </si>
  <si>
    <r>
      <t>填写202</t>
    </r>
    <r>
      <rPr>
        <sz val="9"/>
        <color indexed="8"/>
        <rFont val="宋体"/>
        <family val="3"/>
        <charset val="134"/>
      </rPr>
      <t>3</t>
    </r>
    <r>
      <rPr>
        <sz val="9"/>
        <color indexed="8"/>
        <rFont val="宋体"/>
        <family val="3"/>
        <charset val="134"/>
      </rPr>
      <t>年秋季学期学生人数，以招办人数为准</t>
    </r>
  </si>
  <si>
    <t>3、事业退休人员人数</t>
  </si>
  <si>
    <t>4、教育单位房屋（面积）</t>
  </si>
  <si>
    <t>5、教育单位绿化（面积）</t>
  </si>
  <si>
    <t>莘庄</t>
    <phoneticPr fontId="1" type="noConversion"/>
  </si>
  <si>
    <t>吴泾</t>
    <phoneticPr fontId="1" type="noConversion"/>
  </si>
  <si>
    <t>七宝</t>
    <phoneticPr fontId="1" type="noConversion"/>
  </si>
  <si>
    <t>浦江</t>
    <phoneticPr fontId="1" type="noConversion"/>
  </si>
  <si>
    <t>梅陇</t>
    <phoneticPr fontId="1" type="noConversion"/>
  </si>
  <si>
    <t>马桥</t>
    <phoneticPr fontId="1" type="noConversion"/>
  </si>
  <si>
    <t>华漕</t>
    <phoneticPr fontId="1" type="noConversion"/>
  </si>
  <si>
    <t>颛桥</t>
    <phoneticPr fontId="1" type="noConversion"/>
  </si>
  <si>
    <t>虹桥</t>
    <phoneticPr fontId="1" type="noConversion"/>
  </si>
  <si>
    <t>单位名称</t>
  </si>
  <si>
    <t>属性</t>
  </si>
  <si>
    <t>类别</t>
  </si>
  <si>
    <t>估计标准</t>
  </si>
  <si>
    <t>增量预估</t>
    <phoneticPr fontId="1" type="noConversion"/>
  </si>
  <si>
    <t>估计金额</t>
  </si>
  <si>
    <t>上海市闵行区上虹中学</t>
  </si>
  <si>
    <t>镇管-虹桥</t>
  </si>
  <si>
    <t>初中</t>
  </si>
  <si>
    <t>上海市龙柏中学</t>
  </si>
  <si>
    <t>上海市金汇实验学校</t>
  </si>
  <si>
    <t>九年一贯</t>
  </si>
  <si>
    <t>闵行区虹桥中心小学</t>
  </si>
  <si>
    <t>小学</t>
  </si>
  <si>
    <t>闵行区龙柏第一小学</t>
  </si>
  <si>
    <t>闵行区虹桥中心幼儿园</t>
  </si>
  <si>
    <t>幼儿园</t>
  </si>
  <si>
    <t>上海市闵行区虹鹿幼儿园</t>
  </si>
  <si>
    <t>闵行区龙柏第一幼儿园</t>
  </si>
  <si>
    <t>闵行区龙柏第二幼儿园</t>
  </si>
  <si>
    <t>上海市闵行区虹桥镇社区学校</t>
  </si>
  <si>
    <t>镇管-虹桥 汇总</t>
  </si>
  <si>
    <t>上海市闵行区纪王学校</t>
  </si>
  <si>
    <t>镇管-华漕</t>
  </si>
  <si>
    <t>上海市闵行区诸翟学校</t>
  </si>
  <si>
    <t>上海市闵行区华漕学校</t>
  </si>
  <si>
    <t>闵行区华漕镇纪王幼儿园</t>
  </si>
  <si>
    <t>上海市闵行区诸翟中心幼儿园</t>
  </si>
  <si>
    <t>闵行区华漕镇中心幼儿园</t>
  </si>
  <si>
    <t>上海市闵行区华漕镇金色幼儿园</t>
  </si>
  <si>
    <t>上海市闵行区华漕镇社区学校</t>
  </si>
  <si>
    <t>镇管-华漕 汇总</t>
  </si>
  <si>
    <t>上海市闵行区马桥复旦万科实验中学</t>
  </si>
  <si>
    <t>镇管-马桥</t>
  </si>
  <si>
    <t>上海市马桥强恕学校</t>
  </si>
  <si>
    <t>上海市闵行区马桥实验学校</t>
  </si>
  <si>
    <t>上海市闵行区马桥文来外国语小学</t>
  </si>
  <si>
    <t>闵行区马桥中心幼儿园</t>
  </si>
  <si>
    <t>上海市闵行区马桥富国幼儿园</t>
  </si>
  <si>
    <t>上海市闵行区马桥元祥幼儿园</t>
  </si>
  <si>
    <t>上海市闵行区马桥实验幼儿园</t>
  </si>
  <si>
    <t>上海市闵行区马桥富杰幼儿园</t>
  </si>
  <si>
    <t>上海市闵行区马桥启英幼儿园</t>
  </si>
  <si>
    <t>上海市闵行区马桥富卓幼儿园</t>
  </si>
  <si>
    <t>上海市闵行区马桥镇社区学校</t>
  </si>
  <si>
    <t>镇管-马桥 汇总</t>
  </si>
  <si>
    <t>上海市闵行区梅陇实验学校</t>
    <phoneticPr fontId="1" type="noConversion"/>
  </si>
  <si>
    <t>镇管-梅陇</t>
  </si>
  <si>
    <t>上海市罗阳中学</t>
  </si>
  <si>
    <t>上海市闵行区曹行中学(金都）</t>
    <phoneticPr fontId="1" type="noConversion"/>
  </si>
  <si>
    <t>上海中医药大学附属闵行晶城中学</t>
  </si>
  <si>
    <t>闵行区罗阳小学</t>
  </si>
  <si>
    <t>上海中医药大学附属闵行蔷薇小学</t>
  </si>
  <si>
    <t>上海市闵行区曹行小学</t>
  </si>
  <si>
    <t>闵行区梅陇镇中心幼儿园</t>
  </si>
  <si>
    <t>闵行区曹行中心幼儿园</t>
  </si>
  <si>
    <t>上海市闵行区春申景城幼儿园</t>
  </si>
  <si>
    <t>上海市闵行区梅陇梅锦幼儿园</t>
  </si>
  <si>
    <t>上海市闵行区罗阳河畔幼儿园</t>
  </si>
  <si>
    <t>上海市闵行区晶华坊幼儿园</t>
  </si>
  <si>
    <t>上海市闵行区梅陇金都幼儿园</t>
  </si>
  <si>
    <t>上海市闵行区梅陇永联幼儿园</t>
    <phoneticPr fontId="1" type="noConversion"/>
  </si>
  <si>
    <t>上海市闵行区梅陇镇社区学校</t>
  </si>
  <si>
    <t>镇管-梅陇 汇总</t>
  </si>
  <si>
    <t>上海市闵行区浦江第二中学</t>
  </si>
  <si>
    <t>镇管-浦江</t>
  </si>
  <si>
    <t>上海市闵行区浦江第三中学</t>
  </si>
  <si>
    <t>上海市闵行区浦航实验中学</t>
  </si>
  <si>
    <t>上海世外教育附属浦江外国语学校</t>
  </si>
  <si>
    <t>上海市闵行区浦江第二小学</t>
  </si>
  <si>
    <t>上海市闵行区浦江第三小学</t>
  </si>
  <si>
    <t>上海戏剧学院闵行附属学校</t>
  </si>
  <si>
    <t>上海市闵行区浦汇小学</t>
  </si>
  <si>
    <t>上海市闵行区浦江汇秀小学（福山）</t>
    <phoneticPr fontId="1" type="noConversion"/>
  </si>
  <si>
    <t>上海市闵行区浦江镇第二幼儿园</t>
  </si>
  <si>
    <t>闵行区浦江镇第三幼儿园</t>
  </si>
  <si>
    <t>上海市闵行区浦江闸航路幼儿园</t>
  </si>
  <si>
    <t>上海市闵行区浦江宝邸幼儿园</t>
  </si>
  <si>
    <t>上海市闵行区浦莲幼儿园</t>
  </si>
  <si>
    <t>上海市闵行区浦江瑞和城幼儿园</t>
  </si>
  <si>
    <t>上海市闵行区浦航幼儿园</t>
  </si>
  <si>
    <t>上海市闵行区浦瑞幼儿园</t>
  </si>
  <si>
    <t>上海师范大学附属中学闵行实验学校</t>
  </si>
  <si>
    <t>上海市闵行区浦江镇社区学校</t>
  </si>
  <si>
    <t>镇管-浦江 汇总</t>
  </si>
  <si>
    <t>上海市航华中学</t>
  </si>
  <si>
    <t>镇管-七宝</t>
  </si>
  <si>
    <t>上海市闵行区文来学校</t>
  </si>
  <si>
    <t>上海市闵行区七宝第二中学</t>
  </si>
  <si>
    <t>上海市七宝实验中学</t>
  </si>
  <si>
    <t>上海市闵行区七宝第三中学</t>
  </si>
  <si>
    <t>闵行区航华第二小学</t>
  </si>
  <si>
    <t>闵行区七宝镇明强小学</t>
  </si>
  <si>
    <t>闵行区黎明小学</t>
  </si>
  <si>
    <t>上海市七宝实验小学</t>
  </si>
  <si>
    <t>上海市闵行区七宝明强第二小学</t>
  </si>
  <si>
    <t>闵行区航华第二幼儿园</t>
  </si>
  <si>
    <t>闵行区七宝中心幼儿园</t>
  </si>
  <si>
    <t>上海市闵行区星辰幼儿园</t>
  </si>
  <si>
    <t>上海市闵行区春欣幼儿园</t>
  </si>
  <si>
    <t>上海市闵行区七宝皇都幼儿园</t>
  </si>
  <si>
    <t>上海市闵行区七宝实验幼儿园</t>
  </si>
  <si>
    <t>上海市闵行区明强幼儿园</t>
  </si>
  <si>
    <t>上海市闵行区七宝幼儿园</t>
  </si>
  <si>
    <t>上海市闵行区启英宝盛幼儿园</t>
  </si>
  <si>
    <t>上海市闵行区七宝镇社区学校</t>
  </si>
  <si>
    <t>镇管-七宝 汇总</t>
  </si>
  <si>
    <t>上海市闵行区明星学校</t>
  </si>
  <si>
    <t>镇管-莘庄</t>
  </si>
  <si>
    <t>闵行区佳佳中心幼儿园</t>
  </si>
  <si>
    <t>上海市闵行区康城幼儿园</t>
  </si>
  <si>
    <t>上海市闵行区实验幼儿园</t>
  </si>
  <si>
    <t>上海市闵行区莘庄镇社区学校</t>
  </si>
  <si>
    <t>镇管-莘庄 汇总</t>
  </si>
  <si>
    <t>镇管-吴泾</t>
  </si>
  <si>
    <t>镇管-吴泾 汇总</t>
  </si>
  <si>
    <t>上海市闵行区颛桥中学</t>
  </si>
  <si>
    <t>镇管-颛桥</t>
  </si>
  <si>
    <t>上海市闵行区北桥中学</t>
  </si>
  <si>
    <t>上海市闵行区田园外国语中学</t>
  </si>
  <si>
    <t>上海市闵行区君莲学校</t>
  </si>
  <si>
    <t>闵行区颛桥中心小学</t>
  </si>
  <si>
    <t>上海市闵行区田园外语实验小学</t>
  </si>
  <si>
    <t>闵行区北桥中心小学</t>
  </si>
  <si>
    <t>上海市闵行区田园第二外语实验小学</t>
  </si>
  <si>
    <t>上海市闵行区颛桥镇幼儿园</t>
  </si>
  <si>
    <t>上海市闵行区颛桥镇第一幼儿园</t>
  </si>
  <si>
    <t>上海市闵行区君莲幼儿园</t>
  </si>
  <si>
    <t>上海师范大学闵行实验幼儿园</t>
  </si>
  <si>
    <t>上海市闵行区颛桥镇田园都市幼儿园</t>
  </si>
  <si>
    <t>上海市闵行区颛桥镇第二幼儿园</t>
  </si>
  <si>
    <t>上海市闵行区颛桥镇社区学校</t>
  </si>
  <si>
    <t>镇管-颛桥 汇总</t>
  </si>
  <si>
    <t>总计</t>
  </si>
  <si>
    <t>人数</t>
    <phoneticPr fontId="1" type="noConversion"/>
  </si>
  <si>
    <t>镇属</t>
    <phoneticPr fontId="1" type="noConversion"/>
  </si>
  <si>
    <t>单位</t>
    <phoneticPr fontId="1" type="noConversion"/>
  </si>
  <si>
    <t>一次分配</t>
    <phoneticPr fontId="1" type="noConversion"/>
  </si>
  <si>
    <t>莘庄</t>
    <phoneticPr fontId="1" type="noConversion"/>
  </si>
  <si>
    <t>莘庄 汇总</t>
  </si>
  <si>
    <t>吴泾</t>
    <phoneticPr fontId="1" type="noConversion"/>
  </si>
  <si>
    <t>吴泾 汇总</t>
  </si>
  <si>
    <t>七宝</t>
    <phoneticPr fontId="1" type="noConversion"/>
  </si>
  <si>
    <t>七宝 汇总</t>
  </si>
  <si>
    <t>浦江</t>
    <phoneticPr fontId="1" type="noConversion"/>
  </si>
  <si>
    <t>浦江 汇总</t>
  </si>
  <si>
    <t>梅陇</t>
    <phoneticPr fontId="1" type="noConversion"/>
  </si>
  <si>
    <t>华东理工大学附属闵行梅陇实验学校</t>
    <phoneticPr fontId="2" type="noConversion"/>
  </si>
  <si>
    <t>上海市罗阳中学</t>
    <phoneticPr fontId="2" type="noConversion"/>
  </si>
  <si>
    <t>上海市七宝中学附属闵行金都实验中学</t>
    <phoneticPr fontId="2" type="noConversion"/>
  </si>
  <si>
    <t>上海中医药大学附属闵行晶城中学</t>
    <phoneticPr fontId="2" type="noConversion"/>
  </si>
  <si>
    <t>上海中医药大学附属闵行蔷薇小学</t>
    <phoneticPr fontId="2" type="noConversion"/>
  </si>
  <si>
    <t>闵行区梅陇镇中心幼儿园</t>
    <phoneticPr fontId="2" type="noConversion"/>
  </si>
  <si>
    <t>上海市闵行区春申景城幼儿园</t>
    <phoneticPr fontId="2" type="noConversion"/>
  </si>
  <si>
    <t>上海市闵行区罗阳河畔幼儿园</t>
    <phoneticPr fontId="2" type="noConversion"/>
  </si>
  <si>
    <t>上海市闵行区晶华坊幼儿园</t>
    <phoneticPr fontId="2" type="noConversion"/>
  </si>
  <si>
    <t>上海市闵行区梅陇金都幼儿园</t>
    <phoneticPr fontId="2" type="noConversion"/>
  </si>
  <si>
    <t>上海市闵行区梅陇梅锦幼儿园</t>
    <phoneticPr fontId="2" type="noConversion"/>
  </si>
  <si>
    <t>上海市闵行区梅陇永联幼儿园</t>
    <phoneticPr fontId="2" type="noConversion"/>
  </si>
  <si>
    <t>上海市闵行区梅陇镇社区学校</t>
    <phoneticPr fontId="2" type="noConversion"/>
  </si>
  <si>
    <t>梅陇 汇总</t>
  </si>
  <si>
    <t>马桥</t>
    <phoneticPr fontId="1" type="noConversion"/>
  </si>
  <si>
    <t>马桥 汇总</t>
  </si>
  <si>
    <t>华漕</t>
    <phoneticPr fontId="1" type="noConversion"/>
  </si>
  <si>
    <t>华漕 汇总</t>
  </si>
  <si>
    <t>颛桥</t>
    <phoneticPr fontId="1" type="noConversion"/>
  </si>
  <si>
    <t>颛桥 汇总</t>
  </si>
  <si>
    <t>虹桥</t>
    <phoneticPr fontId="1" type="noConversion"/>
  </si>
  <si>
    <t>虹桥 汇总</t>
  </si>
  <si>
    <t>华漕学校</t>
  </si>
  <si>
    <t>诸翟学校</t>
  </si>
  <si>
    <t>纪王学校</t>
  </si>
  <si>
    <t>华漕幼儿园</t>
  </si>
  <si>
    <t>诸翟幼儿园</t>
  </si>
  <si>
    <t>纪王幼儿园</t>
  </si>
  <si>
    <t>金色幼儿园</t>
  </si>
  <si>
    <t>公积金预算</t>
    <phoneticPr fontId="1" type="noConversion"/>
  </si>
  <si>
    <t>佳佳中心幼儿园</t>
    <phoneticPr fontId="2" type="noConversion"/>
  </si>
  <si>
    <t>康城幼儿园</t>
    <phoneticPr fontId="2" type="noConversion"/>
  </si>
  <si>
    <t>实验幼儿园</t>
    <phoneticPr fontId="2" type="noConversion"/>
  </si>
  <si>
    <t>社区学校</t>
    <phoneticPr fontId="2" type="noConversion"/>
  </si>
  <si>
    <t>明星学校</t>
    <phoneticPr fontId="2" type="noConversion"/>
  </si>
  <si>
    <t>七宝二中</t>
    <phoneticPr fontId="2" type="noConversion"/>
  </si>
  <si>
    <t>七宝实验中学</t>
    <phoneticPr fontId="2" type="noConversion"/>
  </si>
  <si>
    <t>航华中学</t>
    <phoneticPr fontId="2" type="noConversion"/>
  </si>
  <si>
    <t>七宝三中</t>
    <phoneticPr fontId="2" type="noConversion"/>
  </si>
  <si>
    <t>明强小学</t>
    <phoneticPr fontId="2" type="noConversion"/>
  </si>
  <si>
    <t>黎明小学</t>
    <phoneticPr fontId="2" type="noConversion"/>
  </si>
  <si>
    <t>七宝实小</t>
    <phoneticPr fontId="2" type="noConversion"/>
  </si>
  <si>
    <t>航华二小</t>
    <phoneticPr fontId="2" type="noConversion"/>
  </si>
  <si>
    <t>明强二小</t>
    <phoneticPr fontId="2" type="noConversion"/>
  </si>
  <si>
    <t>中心幼</t>
    <phoneticPr fontId="2" type="noConversion"/>
  </si>
  <si>
    <t>星辰</t>
    <phoneticPr fontId="2" type="noConversion"/>
  </si>
  <si>
    <t>春欣</t>
    <phoneticPr fontId="2" type="noConversion"/>
  </si>
  <si>
    <t>七实幼</t>
    <phoneticPr fontId="2" type="noConversion"/>
  </si>
  <si>
    <t>航华二幼</t>
    <phoneticPr fontId="2" type="noConversion"/>
  </si>
  <si>
    <t>皇都</t>
    <phoneticPr fontId="2" type="noConversion"/>
  </si>
  <si>
    <t>明强幼</t>
    <phoneticPr fontId="2" type="noConversion"/>
  </si>
  <si>
    <t>七宝幼</t>
    <phoneticPr fontId="2" type="noConversion"/>
  </si>
  <si>
    <t>宝盛</t>
    <phoneticPr fontId="2" type="noConversion"/>
  </si>
  <si>
    <t>文来</t>
    <phoneticPr fontId="2" type="noConversion"/>
  </si>
  <si>
    <t>七宝社区</t>
    <phoneticPr fontId="2" type="noConversion"/>
  </si>
  <si>
    <t>浦江三中</t>
    <phoneticPr fontId="2" type="noConversion"/>
  </si>
  <si>
    <t>上师闵实验</t>
    <phoneticPr fontId="42" type="noConversion"/>
  </si>
  <si>
    <t>浦汇小学</t>
    <phoneticPr fontId="2" type="noConversion"/>
  </si>
  <si>
    <t>福山实验</t>
    <phoneticPr fontId="2" type="noConversion"/>
  </si>
  <si>
    <t>浦江三幼</t>
    <phoneticPr fontId="2" type="noConversion"/>
  </si>
  <si>
    <t>宝邸幼儿园</t>
    <phoneticPr fontId="2" type="noConversion"/>
  </si>
  <si>
    <t>闸航幼</t>
    <phoneticPr fontId="2" type="noConversion"/>
  </si>
  <si>
    <t>瑞和城幼儿园</t>
    <phoneticPr fontId="2" type="noConversion"/>
  </si>
  <si>
    <t>浦瑞幼儿园</t>
    <phoneticPr fontId="2" type="noConversion"/>
  </si>
  <si>
    <t>浦江镇社区学校</t>
    <phoneticPr fontId="2" type="noConversion"/>
  </si>
  <si>
    <t>上海市闵行区曹行小学</t>
    <phoneticPr fontId="2" type="noConversion"/>
  </si>
  <si>
    <t>闵行区罗阳小学</t>
    <phoneticPr fontId="2" type="noConversion"/>
  </si>
  <si>
    <t>闵行区曹行中心幼儿园</t>
    <phoneticPr fontId="2" type="noConversion"/>
  </si>
  <si>
    <t>马桥社区学校</t>
    <phoneticPr fontId="2" type="noConversion"/>
  </si>
  <si>
    <t>上海交通大学附属闵行马桥实验学校</t>
    <phoneticPr fontId="2" type="noConversion"/>
  </si>
  <si>
    <t>上海市马桥强恕学校</t>
    <phoneticPr fontId="2" type="noConversion"/>
  </si>
  <si>
    <t>上海市闵行区马桥复旦万科实验中学</t>
    <phoneticPr fontId="2" type="noConversion"/>
  </si>
  <si>
    <t>上海市闵行区马桥文来外国语小学</t>
    <phoneticPr fontId="2" type="noConversion"/>
  </si>
  <si>
    <t>上海市闵行区马桥实验幼儿园</t>
    <phoneticPr fontId="2" type="noConversion"/>
  </si>
  <si>
    <t>上海市闵行区马桥元祥幼儿园</t>
    <phoneticPr fontId="2" type="noConversion"/>
  </si>
  <si>
    <t>上海市闵行区马桥启英幼儿园</t>
    <phoneticPr fontId="2" type="noConversion"/>
  </si>
  <si>
    <t>上海市闵行区马桥富杰幼儿园</t>
    <phoneticPr fontId="2" type="noConversion"/>
  </si>
  <si>
    <t>上海市闵行区马桥中心幼儿园</t>
    <phoneticPr fontId="2" type="noConversion"/>
  </si>
  <si>
    <t>上海市闵行区马桥富国幼儿园</t>
    <phoneticPr fontId="2" type="noConversion"/>
  </si>
  <si>
    <t>上海市闵行区马桥富卓幼儿园</t>
    <phoneticPr fontId="2" type="noConversion"/>
  </si>
  <si>
    <t>颛桥镇二幼</t>
    <phoneticPr fontId="2" type="noConversion"/>
  </si>
  <si>
    <t>田园中学</t>
    <phoneticPr fontId="2" type="noConversion"/>
  </si>
  <si>
    <t>田园幼儿园</t>
    <phoneticPr fontId="2" type="noConversion"/>
  </si>
  <si>
    <t>镇属</t>
  </si>
  <si>
    <t>学校</t>
  </si>
  <si>
    <t>学段</t>
    <phoneticPr fontId="1" type="noConversion"/>
  </si>
  <si>
    <t>园部</t>
    <phoneticPr fontId="1" type="noConversion"/>
  </si>
  <si>
    <t>教育教辅后勤应配用工人数(正常额度+临时额度）</t>
  </si>
  <si>
    <t>财政资金应配备人数</t>
  </si>
  <si>
    <t>专技岗位
应配人数</t>
  </si>
  <si>
    <t>管理岗位
应配人数</t>
  </si>
  <si>
    <t>技术岗位
应配人数</t>
  </si>
  <si>
    <t>勤杂岗位
应配人数</t>
  </si>
  <si>
    <t>工资
（1-12月）</t>
  </si>
  <si>
    <t>福利费
（1月-12月）</t>
  </si>
  <si>
    <t>伙食费
（1-12月）</t>
  </si>
  <si>
    <t>工会经费
（1-12月）</t>
  </si>
  <si>
    <t>考核
（1-12月）</t>
  </si>
  <si>
    <t>奖金</t>
    <phoneticPr fontId="1" type="noConversion"/>
  </si>
  <si>
    <t>掌勺津贴</t>
    <phoneticPr fontId="1" type="noConversion"/>
  </si>
  <si>
    <t>社保公积金
（35.256%）</t>
    <phoneticPr fontId="1" type="noConversion"/>
  </si>
  <si>
    <t>课后服务预估
（2024年预估）</t>
    <phoneticPr fontId="1" type="noConversion"/>
  </si>
  <si>
    <t>合计</t>
    <phoneticPr fontId="1" type="noConversion"/>
  </si>
  <si>
    <t>非义务</t>
    <phoneticPr fontId="1" type="noConversion"/>
  </si>
  <si>
    <t>闵行区虹鹿幼儿园</t>
  </si>
  <si>
    <t>义务</t>
    <phoneticPr fontId="1" type="noConversion"/>
  </si>
  <si>
    <t>闵行区虹桥小学</t>
  </si>
  <si>
    <t>虹桥合计</t>
  </si>
  <si>
    <t>闵行区华漕镇金色幼儿园</t>
  </si>
  <si>
    <t>闵行区诸翟中心幼儿园</t>
  </si>
  <si>
    <t>闵行区纪王学校</t>
  </si>
  <si>
    <t>华漕合计</t>
  </si>
  <si>
    <t>闵行区马桥实验幼儿园</t>
  </si>
  <si>
    <t>闵行区马桥富杰幼儿园</t>
  </si>
  <si>
    <t>闵行区马桥启英幼儿园</t>
  </si>
  <si>
    <t>闵行区马桥元祥幼儿园</t>
  </si>
  <si>
    <t>闵行区马桥实验学校</t>
    <phoneticPr fontId="1" type="noConversion"/>
  </si>
  <si>
    <t>闵行区马桥文来外国语小学</t>
  </si>
  <si>
    <t>闵行区马桥强恕学校</t>
  </si>
  <si>
    <t>马桥复旦万科实验中学</t>
  </si>
  <si>
    <t>马桥富卓幼儿园</t>
  </si>
  <si>
    <t>马桥富国幼儿园</t>
  </si>
  <si>
    <t>马桥合计</t>
  </si>
  <si>
    <t>闵行区晶华坊幼儿园</t>
  </si>
  <si>
    <t>闵行区罗阳河畔幼儿园</t>
  </si>
  <si>
    <t>闵行区春申景城幼儿园</t>
  </si>
  <si>
    <t>闵行区曹行中心小学</t>
  </si>
  <si>
    <t>闵行区蔷薇小学</t>
  </si>
  <si>
    <t>七宝金都中学</t>
    <phoneticPr fontId="1" type="noConversion"/>
  </si>
  <si>
    <t>华理梅陇实验</t>
    <phoneticPr fontId="1" type="noConversion"/>
  </si>
  <si>
    <t>闵行区晶城中学</t>
  </si>
  <si>
    <t>梅陇金都幼儿园</t>
  </si>
  <si>
    <t>梅陇梅锦幼儿园</t>
  </si>
  <si>
    <t>梅陇永联幼儿园</t>
    <phoneticPr fontId="1" type="noConversion"/>
  </si>
  <si>
    <t>梅陇合计</t>
  </si>
  <si>
    <t>闵行区浦江宝邸幼儿园</t>
  </si>
  <si>
    <t>闵行区浦莲幼儿园</t>
  </si>
  <si>
    <t>闵行区浦江镇第二幼儿园</t>
  </si>
  <si>
    <t>上戏附校</t>
    <phoneticPr fontId="1" type="noConversion"/>
  </si>
  <si>
    <t>闵行区浦汇小学</t>
  </si>
  <si>
    <t>闵行区浦江第三小学</t>
  </si>
  <si>
    <t>闵行区浦江第二小学</t>
  </si>
  <si>
    <t>闵行区浦江二中</t>
  </si>
  <si>
    <t>闵行区浦江三中</t>
  </si>
  <si>
    <t>闵行区浦航实验中学</t>
    <phoneticPr fontId="1" type="noConversion"/>
  </si>
  <si>
    <t>闵行区浦航幼儿园</t>
  </si>
  <si>
    <t>福山实验学校</t>
    <phoneticPr fontId="1" type="noConversion"/>
  </si>
  <si>
    <t>闵行区浦江瑞和城幼儿园</t>
  </si>
  <si>
    <t>闵行区浦江闸航路幼儿园</t>
  </si>
  <si>
    <t>世外浦江学校</t>
  </si>
  <si>
    <t>浦瑞幼儿园</t>
  </si>
  <si>
    <t>上师大附中</t>
    <phoneticPr fontId="1" type="noConversion"/>
  </si>
  <si>
    <t>浦江合计</t>
  </si>
  <si>
    <t>闵行区春欣幼儿园</t>
  </si>
  <si>
    <t>闵行区七宝实验幼儿园</t>
  </si>
  <si>
    <t>闵行区星辰幼儿园</t>
  </si>
  <si>
    <t>闵行区航华二幼</t>
  </si>
  <si>
    <t>闵行区七宝明强第二小学</t>
  </si>
  <si>
    <t>闵行区航华二小</t>
  </si>
  <si>
    <t>闵行区七宝第三中学</t>
  </si>
  <si>
    <t>闵行区七宝第二中学</t>
  </si>
  <si>
    <t>七宝皇都幼儿园</t>
  </si>
  <si>
    <t>七宝幼儿园</t>
  </si>
  <si>
    <t>七宝明强幼儿园</t>
  </si>
  <si>
    <t>七宝文来学校</t>
  </si>
  <si>
    <t>七宝启英宝盛幼儿园</t>
    <phoneticPr fontId="1" type="noConversion"/>
  </si>
  <si>
    <t>七宝合计</t>
  </si>
  <si>
    <t>吴泾社校</t>
    <phoneticPr fontId="1" type="noConversion"/>
  </si>
  <si>
    <t>华东师范大学闵行永德幼儿园</t>
  </si>
  <si>
    <t>闵行区吴泾第三幼儿园</t>
  </si>
  <si>
    <t>闵行区景东小学</t>
  </si>
  <si>
    <t>永德实验小学</t>
  </si>
  <si>
    <t>吴泾合计</t>
  </si>
  <si>
    <t>闵行区康城幼儿园</t>
  </si>
  <si>
    <t>闵行区明星学校</t>
  </si>
  <si>
    <t>实验幼儿园</t>
  </si>
  <si>
    <t>莘庄合计</t>
  </si>
  <si>
    <t>闵行区君莲幼儿园</t>
  </si>
  <si>
    <t>闵行区颛桥镇第一幼儿园</t>
  </si>
  <si>
    <t>闵行区颛桥镇幼儿园</t>
  </si>
  <si>
    <t>闵行区田园外语实验小学</t>
  </si>
  <si>
    <t>闵行区田园第二外语实验小学</t>
  </si>
  <si>
    <t>闵行区北桥中学</t>
  </si>
  <si>
    <t>闵行区颛桥中学</t>
  </si>
  <si>
    <t>闵行区君莲学校</t>
  </si>
  <si>
    <t>田园外国语中学</t>
  </si>
  <si>
    <t>田园都市幼儿园</t>
  </si>
  <si>
    <t>颛桥第二幼儿园</t>
  </si>
  <si>
    <t>颛桥合计</t>
  </si>
  <si>
    <t>80%下达</t>
    <phoneticPr fontId="1" type="noConversion"/>
  </si>
  <si>
    <t>2024年镇管单位补充公用经费预算表</t>
    <phoneticPr fontId="1" type="noConversion"/>
  </si>
  <si>
    <t>序号</t>
    <phoneticPr fontId="2" type="noConversion"/>
  </si>
  <si>
    <t>学校名称</t>
    <phoneticPr fontId="2" type="noConversion"/>
  </si>
  <si>
    <t>办学类型</t>
    <phoneticPr fontId="2" type="noConversion"/>
  </si>
  <si>
    <t>所属街镇</t>
    <phoneticPr fontId="2" type="noConversion"/>
  </si>
  <si>
    <t>校区门数</t>
    <phoneticPr fontId="2" type="noConversion"/>
  </si>
  <si>
    <t>在岗人数</t>
    <phoneticPr fontId="2" type="noConversion"/>
  </si>
  <si>
    <t>值班单价</t>
    <phoneticPr fontId="2" type="noConversion"/>
  </si>
  <si>
    <t>值班金额</t>
    <phoneticPr fontId="2" type="noConversion"/>
  </si>
  <si>
    <t>所属大队</t>
    <phoneticPr fontId="2" type="noConversion"/>
  </si>
  <si>
    <t>备注</t>
    <phoneticPr fontId="2" type="noConversion"/>
  </si>
  <si>
    <r>
      <rPr>
        <sz val="10"/>
        <rFont val="宋体"/>
        <family val="3"/>
        <charset val="134"/>
      </rPr>
      <t>浦江镇</t>
    </r>
    <phoneticPr fontId="2" type="noConversion"/>
  </si>
  <si>
    <t>十</t>
    <phoneticPr fontId="2" type="noConversion"/>
  </si>
  <si>
    <r>
      <rPr>
        <sz val="10"/>
        <rFont val="宋体"/>
        <family val="3"/>
        <charset val="134"/>
      </rPr>
      <t>浦江社校</t>
    </r>
  </si>
  <si>
    <t>其他</t>
    <phoneticPr fontId="2" type="noConversion"/>
  </si>
  <si>
    <t>不叠加护校</t>
    <phoneticPr fontId="2" type="noConversion"/>
  </si>
  <si>
    <r>
      <rPr>
        <sz val="10"/>
        <rFont val="宋体"/>
        <family val="3"/>
        <charset val="134"/>
      </rPr>
      <t>吴泾镇</t>
    </r>
    <phoneticPr fontId="2" type="noConversion"/>
  </si>
  <si>
    <t>九</t>
    <phoneticPr fontId="2" type="noConversion"/>
  </si>
  <si>
    <r>
      <rPr>
        <sz val="10"/>
        <rFont val="宋体"/>
        <family val="3"/>
        <charset val="134"/>
      </rPr>
      <t>浦江镇小计</t>
    </r>
  </si>
  <si>
    <r>
      <rPr>
        <sz val="10"/>
        <rFont val="宋体"/>
        <family val="3"/>
        <charset val="134"/>
      </rPr>
      <t>吴泾镇小计</t>
    </r>
  </si>
  <si>
    <t>2024年公办义务教育减免书薄费预算表</t>
    <phoneticPr fontId="2" type="noConversion"/>
  </si>
  <si>
    <t>性质</t>
  </si>
  <si>
    <t>学校名称</t>
  </si>
  <si>
    <t>小学金额
（175元/学期*2）</t>
    <phoneticPr fontId="2" type="noConversion"/>
  </si>
  <si>
    <t>初中金额
（215元/学期*2）</t>
    <phoneticPr fontId="2" type="noConversion"/>
  </si>
  <si>
    <t>镇管</t>
  </si>
  <si>
    <t>九年一贯制</t>
  </si>
  <si>
    <r>
      <rPr>
        <sz val="10"/>
        <rFont val="宋体"/>
        <family val="3"/>
        <charset val="134"/>
      </rPr>
      <t>上海市闵行区景东小学</t>
    </r>
  </si>
  <si>
    <t>实德小学</t>
    <phoneticPr fontId="1" type="noConversion"/>
  </si>
  <si>
    <r>
      <rPr>
        <sz val="10"/>
        <rFont val="宋体"/>
        <family val="3"/>
        <charset val="134"/>
      </rPr>
      <t>闵行区航华第二小学</t>
    </r>
  </si>
  <si>
    <r>
      <rPr>
        <sz val="10"/>
        <rFont val="宋体"/>
        <family val="3"/>
        <charset val="134"/>
      </rPr>
      <t>闵行区七宝镇明强小学</t>
    </r>
  </si>
  <si>
    <r>
      <rPr>
        <sz val="10"/>
        <rFont val="宋体"/>
        <family val="3"/>
        <charset val="134"/>
      </rPr>
      <t>上海市七宝实验小学</t>
    </r>
  </si>
  <si>
    <r>
      <rPr>
        <sz val="10"/>
        <rFont val="宋体"/>
        <family val="3"/>
        <charset val="134"/>
      </rPr>
      <t>闵行区黎明小学</t>
    </r>
  </si>
  <si>
    <r>
      <rPr>
        <sz val="10"/>
        <rFont val="宋体"/>
        <family val="3"/>
        <charset val="134"/>
      </rPr>
      <t>上海市闵行区七宝明强第二小学</t>
    </r>
  </si>
  <si>
    <r>
      <rPr>
        <sz val="10"/>
        <rFont val="宋体"/>
        <family val="3"/>
        <charset val="134"/>
      </rPr>
      <t>上海市航华中学</t>
    </r>
  </si>
  <si>
    <r>
      <rPr>
        <sz val="10"/>
        <rFont val="宋体"/>
        <family val="3"/>
        <charset val="134"/>
      </rPr>
      <t>上海市闵行区七宝第二中学</t>
    </r>
  </si>
  <si>
    <r>
      <rPr>
        <sz val="10"/>
        <rFont val="宋体"/>
        <family val="3"/>
        <charset val="134"/>
      </rPr>
      <t>上海市七宝实验中学</t>
    </r>
  </si>
  <si>
    <t>九年一贯制</t>
    <phoneticPr fontId="1" type="noConversion"/>
  </si>
  <si>
    <t>七宝文来</t>
    <phoneticPr fontId="1" type="noConversion"/>
  </si>
  <si>
    <r>
      <rPr>
        <sz val="10"/>
        <rFont val="宋体"/>
        <family val="3"/>
        <charset val="134"/>
      </rPr>
      <t>上海市闵行区七宝第三中学</t>
    </r>
  </si>
  <si>
    <r>
      <rPr>
        <sz val="10"/>
        <rFont val="宋体"/>
        <family val="3"/>
        <charset val="134"/>
      </rPr>
      <t>上海市闵行区浦江第二小学</t>
    </r>
  </si>
  <si>
    <r>
      <rPr>
        <sz val="10"/>
        <rFont val="宋体"/>
        <family val="3"/>
        <charset val="134"/>
      </rPr>
      <t>上海市闵行区浦江第三小学</t>
    </r>
  </si>
  <si>
    <t>小学</t>
    <phoneticPr fontId="1" type="noConversion"/>
  </si>
  <si>
    <t>上戏闵附</t>
  </si>
  <si>
    <r>
      <rPr>
        <sz val="9"/>
        <rFont val="宋体"/>
        <family val="3"/>
        <charset val="134"/>
      </rPr>
      <t>上海市闵行区浦汇小学</t>
    </r>
  </si>
  <si>
    <r>
      <rPr>
        <sz val="10"/>
        <rFont val="宋体"/>
        <family val="3"/>
        <charset val="134"/>
      </rPr>
      <t>上海市闵行区浦江第二中学</t>
    </r>
  </si>
  <si>
    <r>
      <rPr>
        <sz val="10"/>
        <rFont val="宋体"/>
        <family val="3"/>
        <charset val="134"/>
      </rPr>
      <t>上海市闵行区浦江第三中学</t>
    </r>
  </si>
  <si>
    <t>上海市闵行区浦航实验中学</t>
    <phoneticPr fontId="1" type="noConversion"/>
  </si>
  <si>
    <t>上师闵实验</t>
    <phoneticPr fontId="1" type="noConversion"/>
  </si>
  <si>
    <r>
      <rPr>
        <sz val="10"/>
        <rFont val="宋体"/>
        <family val="3"/>
        <charset val="134"/>
      </rPr>
      <t>闵行区罗阳小学</t>
    </r>
  </si>
  <si>
    <r>
      <rPr>
        <sz val="10"/>
        <rFont val="宋体"/>
        <family val="3"/>
        <charset val="134"/>
      </rPr>
      <t>闵行区蔷薇小学</t>
    </r>
  </si>
  <si>
    <r>
      <rPr>
        <sz val="10"/>
        <rFont val="宋体"/>
        <family val="3"/>
        <charset val="134"/>
      </rPr>
      <t>上海市闵行区曹行小学</t>
    </r>
  </si>
  <si>
    <t>梅陇实验</t>
    <phoneticPr fontId="1" type="noConversion"/>
  </si>
  <si>
    <r>
      <rPr>
        <sz val="10"/>
        <rFont val="宋体"/>
        <family val="3"/>
        <charset val="134"/>
      </rPr>
      <t>上海市罗阳中学</t>
    </r>
  </si>
  <si>
    <t>七宝金都</t>
    <phoneticPr fontId="1" type="noConversion"/>
  </si>
  <si>
    <t>晶城中学</t>
  </si>
  <si>
    <t>上海市闵行区马桥实验学校</t>
    <phoneticPr fontId="1" type="noConversion"/>
  </si>
  <si>
    <r>
      <rPr>
        <sz val="9"/>
        <rFont val="宋体"/>
        <family val="3"/>
        <charset val="134"/>
      </rPr>
      <t>上海市闵行区马桥文来外国语小学</t>
    </r>
  </si>
  <si>
    <r>
      <rPr>
        <sz val="10"/>
        <rFont val="宋体"/>
        <family val="3"/>
        <charset val="134"/>
      </rPr>
      <t>上海市马桥强恕学校</t>
    </r>
  </si>
  <si>
    <t>闵行区马桥复旦万科实验中学</t>
    <phoneticPr fontId="1" type="noConversion"/>
  </si>
  <si>
    <r>
      <rPr>
        <sz val="10"/>
        <rFont val="宋体"/>
        <family val="3"/>
        <charset val="134"/>
      </rPr>
      <t>上海市闵行区诸翟学校</t>
    </r>
  </si>
  <si>
    <r>
      <rPr>
        <sz val="10"/>
        <rFont val="宋体"/>
        <family val="3"/>
        <charset val="134"/>
      </rPr>
      <t>上海市闵行区纪王学校</t>
    </r>
  </si>
  <si>
    <r>
      <rPr>
        <sz val="10"/>
        <rFont val="宋体"/>
        <family val="3"/>
        <charset val="134"/>
      </rPr>
      <t>上海市闵行区华漕学校</t>
    </r>
  </si>
  <si>
    <r>
      <rPr>
        <sz val="10"/>
        <rFont val="宋体"/>
        <family val="3"/>
        <charset val="134"/>
      </rPr>
      <t>上海市闵行区田园外语实验小学</t>
    </r>
  </si>
  <si>
    <r>
      <rPr>
        <sz val="10"/>
        <rFont val="宋体"/>
        <family val="3"/>
        <charset val="134"/>
      </rPr>
      <t>闵行区颛桥中心小学</t>
    </r>
  </si>
  <si>
    <r>
      <rPr>
        <sz val="10"/>
        <rFont val="宋体"/>
        <family val="3"/>
        <charset val="134"/>
      </rPr>
      <t>闵行区北桥中心小学</t>
    </r>
  </si>
  <si>
    <r>
      <rPr>
        <sz val="10"/>
        <rFont val="宋体"/>
        <family val="3"/>
        <charset val="134"/>
      </rPr>
      <t>闵行区君莲学校</t>
    </r>
  </si>
  <si>
    <r>
      <rPr>
        <sz val="10"/>
        <rFont val="宋体"/>
        <family val="3"/>
        <charset val="134"/>
      </rPr>
      <t>上海市闵行区北桥中学</t>
    </r>
  </si>
  <si>
    <t>田园初中</t>
    <phoneticPr fontId="1" type="noConversion"/>
  </si>
  <si>
    <r>
      <rPr>
        <sz val="10"/>
        <rFont val="宋体"/>
        <family val="3"/>
        <charset val="134"/>
      </rPr>
      <t>上海市闵行区颛桥中学</t>
    </r>
  </si>
  <si>
    <r>
      <rPr>
        <sz val="10"/>
        <rFont val="宋体"/>
        <family val="3"/>
        <charset val="134"/>
      </rPr>
      <t>闵行区虹桥中心小学</t>
    </r>
  </si>
  <si>
    <r>
      <rPr>
        <sz val="10"/>
        <rFont val="宋体"/>
        <family val="3"/>
        <charset val="134"/>
      </rPr>
      <t>闵行区龙柏第一小学</t>
    </r>
  </si>
  <si>
    <r>
      <rPr>
        <sz val="10"/>
        <rFont val="宋体"/>
        <family val="3"/>
        <charset val="134"/>
      </rPr>
      <t>上海市金汇实验学校</t>
    </r>
  </si>
  <si>
    <r>
      <rPr>
        <sz val="10"/>
        <rFont val="宋体"/>
        <family val="3"/>
        <charset val="134"/>
      </rPr>
      <t>上海市闵行区上虹中学</t>
    </r>
  </si>
  <si>
    <r>
      <rPr>
        <sz val="10"/>
        <rFont val="宋体"/>
        <family val="3"/>
        <charset val="134"/>
      </rPr>
      <t>上海市龙柏中学</t>
    </r>
  </si>
  <si>
    <t>2024义务教育学生营养午餐补助预算表</t>
    <phoneticPr fontId="1" type="noConversion"/>
  </si>
  <si>
    <t xml:space="preserve"> 单位名称</t>
  </si>
  <si>
    <t>单位类别</t>
  </si>
  <si>
    <t>下半年金额</t>
  </si>
  <si>
    <t>明星学校（初中）</t>
    <phoneticPr fontId="1" type="noConversion"/>
  </si>
  <si>
    <t>明星学校（小学）</t>
    <phoneticPr fontId="1" type="noConversion"/>
  </si>
  <si>
    <t>景东小学</t>
  </si>
  <si>
    <t>航华二小</t>
  </si>
  <si>
    <t>黎明小学</t>
  </si>
  <si>
    <t>明强二小</t>
  </si>
  <si>
    <t>明强小学</t>
  </si>
  <si>
    <t>七宝实验小学</t>
  </si>
  <si>
    <t>七宝二中</t>
  </si>
  <si>
    <t>航华中学</t>
  </si>
  <si>
    <t>七宝三中</t>
  </si>
  <si>
    <t>七宝实验中学</t>
  </si>
  <si>
    <t>七宝文来（初中)</t>
    <phoneticPr fontId="1" type="noConversion"/>
  </si>
  <si>
    <t>七宝文来（小学)</t>
    <phoneticPr fontId="1" type="noConversion"/>
  </si>
  <si>
    <t>浦江二小</t>
  </si>
  <si>
    <t>浦汇小学</t>
  </si>
  <si>
    <t>上戏附小</t>
    <phoneticPr fontId="1" type="noConversion"/>
  </si>
  <si>
    <t>福山实验学校（汇秀小学）</t>
    <phoneticPr fontId="1" type="noConversion"/>
  </si>
  <si>
    <t>浦江三中</t>
  </si>
  <si>
    <t>浦航实中</t>
    <phoneticPr fontId="1" type="noConversion"/>
  </si>
  <si>
    <t>浦江二中</t>
  </si>
  <si>
    <t>世外浦江（初中）</t>
    <phoneticPr fontId="1" type="noConversion"/>
  </si>
  <si>
    <t>世外浦江（小学）</t>
    <phoneticPr fontId="1" type="noConversion"/>
  </si>
  <si>
    <t>上师大闵行实验（初中）</t>
    <phoneticPr fontId="1" type="noConversion"/>
  </si>
  <si>
    <t>罗阳小学</t>
  </si>
  <si>
    <t>曹行小学</t>
  </si>
  <si>
    <t>蔷薇小学</t>
  </si>
  <si>
    <t>梅陇中心小学</t>
  </si>
  <si>
    <t>梅陇中学</t>
  </si>
  <si>
    <t>罗阳中学</t>
  </si>
  <si>
    <t>梅陇金都中学</t>
    <phoneticPr fontId="1" type="noConversion"/>
  </si>
  <si>
    <t>马桥文来外国语小学</t>
  </si>
  <si>
    <t>交大马桥实验（初中）</t>
    <phoneticPr fontId="1" type="noConversion"/>
  </si>
  <si>
    <t>交大马桥实验（小学）</t>
    <phoneticPr fontId="1" type="noConversion"/>
  </si>
  <si>
    <t>马桥强恕（初中）</t>
    <phoneticPr fontId="1" type="noConversion"/>
  </si>
  <si>
    <t>马桥强恕（小学）</t>
    <phoneticPr fontId="1" type="noConversion"/>
  </si>
  <si>
    <t xml:space="preserve">诸翟学校（初中）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phoneticPr fontId="1" type="noConversion"/>
  </si>
  <si>
    <t xml:space="preserve">诸翟学校（小学）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</si>
  <si>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华漕学校（初中）</t>
    <phoneticPr fontId="1" type="noConversion"/>
  </si>
  <si>
    <t>华漕学校（小学）</t>
  </si>
  <si>
    <t>纪王学校（初中）</t>
    <phoneticPr fontId="1" type="noConversion"/>
  </si>
  <si>
    <t>纪王学校（小学）</t>
  </si>
  <si>
    <t>君莲学校（初中）</t>
    <phoneticPr fontId="1" type="noConversion"/>
  </si>
  <si>
    <t>君莲学校（小学）</t>
  </si>
  <si>
    <t>虹桥中心小学</t>
  </si>
  <si>
    <t>上海市金汇实验学校（初中）</t>
    <phoneticPr fontId="1" type="noConversion"/>
  </si>
  <si>
    <t>上海市金汇实验学校（小学）</t>
  </si>
  <si>
    <t>2023年第一学期各资助类型金额</t>
    <phoneticPr fontId="1" type="noConversion"/>
  </si>
  <si>
    <t>全年</t>
    <phoneticPr fontId="1" type="noConversion"/>
  </si>
  <si>
    <t>建档立卡贫困家庭学生</t>
    <phoneticPr fontId="1" type="noConversion"/>
  </si>
  <si>
    <t>低保家庭学生</t>
    <phoneticPr fontId="1" type="noConversion"/>
  </si>
  <si>
    <t>烈士家庭学生数</t>
  </si>
  <si>
    <t>适龄孤儿</t>
    <phoneticPr fontId="1" type="noConversion"/>
  </si>
  <si>
    <t>残疾学生</t>
    <phoneticPr fontId="1" type="noConversion"/>
  </si>
  <si>
    <t>低收入家庭学生</t>
  </si>
  <si>
    <t>困境儿童</t>
  </si>
  <si>
    <t>金额</t>
  </si>
  <si>
    <t>上师大学闵行实验（初中）</t>
    <phoneticPr fontId="1" type="noConversion"/>
  </si>
  <si>
    <t>2024年学前教育资助预算表</t>
    <phoneticPr fontId="1" type="noConversion"/>
  </si>
  <si>
    <t>学段</t>
  </si>
  <si>
    <t>2023年第一学期资助金额</t>
    <phoneticPr fontId="1" type="noConversion"/>
  </si>
  <si>
    <t>全年</t>
  </si>
  <si>
    <t>餐费</t>
  </si>
  <si>
    <t>点心费</t>
  </si>
  <si>
    <t>生活用品</t>
  </si>
  <si>
    <t>体检费</t>
  </si>
  <si>
    <t>校车费</t>
  </si>
  <si>
    <t>延时服务费</t>
  </si>
  <si>
    <t>课程配套标准材料费</t>
  </si>
  <si>
    <t>课外教育活动费</t>
  </si>
  <si>
    <t>城镇居民基本医疗保险费</t>
  </si>
  <si>
    <t>上海市闵行区康城幼儿园</t>
    <phoneticPr fontId="2" type="noConversion"/>
  </si>
  <si>
    <t>莘庄镇</t>
  </si>
  <si>
    <t>闵行区佳佳中心幼儿园</t>
    <phoneticPr fontId="2" type="noConversion"/>
  </si>
  <si>
    <t>莘庄小计</t>
    <phoneticPr fontId="1" type="noConversion"/>
  </si>
  <si>
    <t>华东师范大学闵行永德实验幼儿园</t>
    <phoneticPr fontId="2" type="noConversion"/>
  </si>
  <si>
    <t>吴泾镇</t>
  </si>
  <si>
    <t>闵行区塘湾中心幼儿园</t>
    <phoneticPr fontId="2" type="noConversion"/>
  </si>
  <si>
    <t>吴泾小计</t>
    <phoneticPr fontId="1" type="noConversion"/>
  </si>
  <si>
    <t>七宝镇</t>
  </si>
  <si>
    <t>上海市闵行区七宝皇都幼儿园</t>
    <phoneticPr fontId="2" type="noConversion"/>
  </si>
  <si>
    <t>上海市闵行区七宝幼儿园</t>
    <phoneticPr fontId="2" type="noConversion"/>
  </si>
  <si>
    <t>上海市闵行区七宝明强幼儿园</t>
    <phoneticPr fontId="1" type="noConversion"/>
  </si>
  <si>
    <t>七宝小计</t>
    <phoneticPr fontId="1" type="noConversion"/>
  </si>
  <si>
    <t>浦江镇</t>
  </si>
  <si>
    <t>上海市闵行区浦江宝邸幼儿园</t>
    <phoneticPr fontId="2" type="noConversion"/>
  </si>
  <si>
    <t>上海市闵行区浦江镇第二幼儿园</t>
    <phoneticPr fontId="2" type="noConversion"/>
  </si>
  <si>
    <t>上海市闵行区浦瑞幼儿园</t>
    <phoneticPr fontId="2" type="noConversion"/>
  </si>
  <si>
    <t>浦江小计</t>
    <phoneticPr fontId="1" type="noConversion"/>
  </si>
  <si>
    <t>梅陇镇</t>
  </si>
  <si>
    <t>梅陇小计</t>
    <phoneticPr fontId="1" type="noConversion"/>
  </si>
  <si>
    <t>闵行区马桥中心幼儿园</t>
    <phoneticPr fontId="2" type="noConversion"/>
  </si>
  <si>
    <t>马桥镇</t>
  </si>
  <si>
    <t>马桥小计</t>
    <phoneticPr fontId="1" type="noConversion"/>
  </si>
  <si>
    <t>华漕镇</t>
  </si>
  <si>
    <t>闵行区华漕镇中心幼儿园</t>
    <phoneticPr fontId="2" type="noConversion"/>
  </si>
  <si>
    <t>华漕小计</t>
    <phoneticPr fontId="1" type="noConversion"/>
  </si>
  <si>
    <t>颛桥镇</t>
    <phoneticPr fontId="2" type="noConversion"/>
  </si>
  <si>
    <t>颛桥镇</t>
  </si>
  <si>
    <t>上海市闵行区颛桥镇第一幼儿园</t>
    <phoneticPr fontId="2" type="noConversion"/>
  </si>
  <si>
    <t>上海市闵行区颛桥镇第二幼儿园</t>
    <phoneticPr fontId="2" type="noConversion"/>
  </si>
  <si>
    <t>颛桥小计</t>
    <phoneticPr fontId="1" type="noConversion"/>
  </si>
  <si>
    <t>虹桥镇</t>
  </si>
  <si>
    <t>上海市闵行区虹鹿幼儿园</t>
    <phoneticPr fontId="1" type="noConversion"/>
  </si>
  <si>
    <t>虹桥小计</t>
    <phoneticPr fontId="1" type="noConversion"/>
  </si>
  <si>
    <t>总计</t>
    <phoneticPr fontId="1" type="noConversion"/>
  </si>
  <si>
    <t>教育教辅后勤应配用工人数(2023人保提供）</t>
    <phoneticPr fontId="1" type="noConversion"/>
  </si>
  <si>
    <t>因故额外增加临时额度（2023人保提供）</t>
    <phoneticPr fontId="1" type="noConversion"/>
  </si>
  <si>
    <t>2024年金额（年初预算：按中位数测算，学校实际执行按人事部门规定标准执行，严禁超标准发放）</t>
    <phoneticPr fontId="1" type="noConversion"/>
  </si>
  <si>
    <t>现有辅助用工人数（2023年人保科提供）</t>
    <phoneticPr fontId="1" type="noConversion"/>
  </si>
  <si>
    <t>单 位</t>
  </si>
  <si>
    <t>属性2</t>
  </si>
  <si>
    <t>清算金额</t>
    <phoneticPr fontId="1" type="noConversion"/>
  </si>
  <si>
    <t>合计（常规）</t>
    <phoneticPr fontId="1" type="noConversion"/>
  </si>
  <si>
    <t>其中：校长绩效工资项目</t>
    <phoneticPr fontId="1" type="noConversion"/>
  </si>
  <si>
    <t>课后延时</t>
  </si>
  <si>
    <t>总绩效</t>
  </si>
  <si>
    <t>义务</t>
  </si>
  <si>
    <t>非义务</t>
  </si>
  <si>
    <t>社校</t>
  </si>
  <si>
    <t>上海市闵行区教育学院附属友爱实验中学</t>
  </si>
  <si>
    <t>上海市闵行区七宝文来学校</t>
  </si>
  <si>
    <t>上海市闵行区七宝明强幼儿园</t>
  </si>
  <si>
    <t>上海市七宝中学附属闵行金都实验中学</t>
  </si>
  <si>
    <t>上海市闵行区梅陇永联幼儿园</t>
  </si>
  <si>
    <t>上海交通大学附属闵行马桥实验学校</t>
  </si>
  <si>
    <t>示范幼儿园</t>
  </si>
  <si>
    <t>镇级合计</t>
    <phoneticPr fontId="1" type="noConversion"/>
  </si>
  <si>
    <r>
      <t>2023年</t>
    </r>
    <r>
      <rPr>
        <sz val="16"/>
        <rFont val="宋体"/>
        <family val="3"/>
        <charset val="134"/>
        <scheme val="minor"/>
      </rPr>
      <t>在编人员绩效（含课后延时）清算</t>
    </r>
    <phoneticPr fontId="1" type="noConversion"/>
  </si>
  <si>
    <t>2023年核定金额</t>
    <phoneticPr fontId="1" type="noConversion"/>
  </si>
  <si>
    <t>2023年分配金额</t>
    <phoneticPr fontId="1" type="noConversion"/>
  </si>
  <si>
    <t>福山实验学校（原汇秀）</t>
    <phoneticPr fontId="1" type="noConversion"/>
  </si>
  <si>
    <t>镇属</t>
    <phoneticPr fontId="49" type="noConversion"/>
  </si>
  <si>
    <t>莘庄</t>
    <phoneticPr fontId="49" type="noConversion"/>
  </si>
  <si>
    <t>吴泾</t>
    <phoneticPr fontId="49" type="noConversion"/>
  </si>
  <si>
    <t>七宝</t>
    <phoneticPr fontId="49" type="noConversion"/>
  </si>
  <si>
    <t>浦江</t>
    <phoneticPr fontId="49" type="noConversion"/>
  </si>
  <si>
    <t>上海市闵行区福山实验学校</t>
  </si>
  <si>
    <t>梅陇</t>
    <phoneticPr fontId="49" type="noConversion"/>
  </si>
  <si>
    <t>马桥</t>
    <phoneticPr fontId="49" type="noConversion"/>
  </si>
  <si>
    <t>华漕</t>
    <phoneticPr fontId="49" type="noConversion"/>
  </si>
  <si>
    <t>颛桥</t>
    <phoneticPr fontId="49" type="noConversion"/>
  </si>
  <si>
    <t>虹桥</t>
    <phoneticPr fontId="49" type="noConversion"/>
  </si>
  <si>
    <t>上海市闵行区梅陇中学(梅陇实验）</t>
    <phoneticPr fontId="1" type="noConversion"/>
  </si>
  <si>
    <t>闵行区北颛桥中心小学</t>
    <phoneticPr fontId="1" type="noConversion"/>
  </si>
  <si>
    <t>合计</t>
    <phoneticPr fontId="1" type="noConversion"/>
  </si>
  <si>
    <t>人数</t>
    <phoneticPr fontId="1" type="noConversion"/>
  </si>
  <si>
    <t>金额（3元/人）</t>
    <phoneticPr fontId="1" type="noConversion"/>
  </si>
  <si>
    <t>2024年基本支出预算表</t>
    <phoneticPr fontId="2" type="noConversion"/>
  </si>
  <si>
    <t>2024年残疾人就业保障专项预算</t>
    <phoneticPr fontId="1" type="noConversion"/>
  </si>
  <si>
    <t>2024年社区教育</t>
    <phoneticPr fontId="1" type="noConversion"/>
  </si>
  <si>
    <t>2024年义务教育资助调整预算表</t>
    <phoneticPr fontId="1" type="noConversion"/>
  </si>
  <si>
    <t>2024年保安经费预算（镇级单位）</t>
    <phoneticPr fontId="1" type="noConversion"/>
  </si>
  <si>
    <t>2024年绩效预估（在编人员：实际发放按人事口径）</t>
    <phoneticPr fontId="1" type="noConversion"/>
  </si>
  <si>
    <t>2024年基本支出预算表（莘庄）</t>
    <phoneticPr fontId="2" type="noConversion"/>
  </si>
  <si>
    <t>2024年基本支出预算表（七宝）</t>
    <phoneticPr fontId="2" type="noConversion"/>
  </si>
  <si>
    <t>2024年基本支出预算表（吴泾）</t>
    <phoneticPr fontId="2" type="noConversion"/>
  </si>
  <si>
    <t>2024年基本支出预算表（浦江）</t>
    <phoneticPr fontId="2" type="noConversion"/>
  </si>
  <si>
    <t>浦江二中学校</t>
    <phoneticPr fontId="1" type="noConversion"/>
  </si>
  <si>
    <t>梅陇实验</t>
    <phoneticPr fontId="2" type="noConversion"/>
  </si>
  <si>
    <t>罗阳中学</t>
    <phoneticPr fontId="2" type="noConversion"/>
  </si>
  <si>
    <t>金都实验</t>
    <phoneticPr fontId="2" type="noConversion"/>
  </si>
  <si>
    <t>晶城中学</t>
    <phoneticPr fontId="2" type="noConversion"/>
  </si>
  <si>
    <t>曹行小学</t>
    <phoneticPr fontId="2" type="noConversion"/>
  </si>
  <si>
    <t>罗阳小学</t>
    <phoneticPr fontId="2" type="noConversion"/>
  </si>
  <si>
    <t>蔷薇小学</t>
    <phoneticPr fontId="2" type="noConversion"/>
  </si>
  <si>
    <t>梅陇中心幼儿园</t>
    <phoneticPr fontId="2" type="noConversion"/>
  </si>
  <si>
    <t>曹行中心幼儿园</t>
    <phoneticPr fontId="2" type="noConversion"/>
  </si>
  <si>
    <t>春申景城幼儿园</t>
    <phoneticPr fontId="2" type="noConversion"/>
  </si>
  <si>
    <t>罗阳河畔幼儿园</t>
    <phoneticPr fontId="2" type="noConversion"/>
  </si>
  <si>
    <t>晶华坊幼儿园</t>
    <phoneticPr fontId="2" type="noConversion"/>
  </si>
  <si>
    <t>梅陇金都幼儿园</t>
    <phoneticPr fontId="2" type="noConversion"/>
  </si>
  <si>
    <t>梅锦幼儿园</t>
    <phoneticPr fontId="2" type="noConversion"/>
  </si>
  <si>
    <t>永联幼儿园</t>
    <phoneticPr fontId="2" type="noConversion"/>
  </si>
  <si>
    <t>2024年基本支出预算表（梅陇）</t>
    <phoneticPr fontId="2" type="noConversion"/>
  </si>
  <si>
    <t>2024年基本支出预算表（马桥）</t>
    <phoneticPr fontId="2" type="noConversion"/>
  </si>
  <si>
    <t>2024年基本支出预算表（华漕）</t>
    <phoneticPr fontId="2" type="noConversion"/>
  </si>
  <si>
    <t>2024年基本支出预算表（颛桥）</t>
    <phoneticPr fontId="2" type="noConversion"/>
  </si>
  <si>
    <t>2024年基本支出预算表（虹桥）</t>
    <phoneticPr fontId="1" type="noConversion"/>
  </si>
  <si>
    <t>2023年镇管学校修缮专项尾款清算统计表</t>
  </si>
  <si>
    <t>曹行中心幼儿园（蔷薇园）校舍维修项目</t>
  </si>
  <si>
    <t>金都幼儿园（银泰园）校舍维修项目</t>
  </si>
  <si>
    <t>春申景城幼儿园（景城园）场地维修项目</t>
  </si>
  <si>
    <t>罗阳小学场地、围墙维修项目</t>
  </si>
  <si>
    <t>蔷薇小学场地维修项目</t>
  </si>
  <si>
    <t>弘梅小学</t>
  </si>
  <si>
    <t>弘梅小学场地维修项目</t>
  </si>
  <si>
    <t>弘梅二小</t>
  </si>
  <si>
    <t>弘梅二小场地维修项目</t>
  </si>
  <si>
    <t>2023年诸翟幼儿园暑期场地修缮项目</t>
  </si>
  <si>
    <t>2023年金色幼儿园暑期修缮项目</t>
  </si>
  <si>
    <t>闵教院附属友爱实验中学</t>
  </si>
  <si>
    <t>2023年吴泾镇教院友中校舍修缮项目</t>
  </si>
  <si>
    <t>2023年马桥镇学校暑期校舍修缮项目</t>
  </si>
  <si>
    <t>民办马桥小学</t>
  </si>
  <si>
    <t>福山实验学校（原汇秀小学）校舍维修项目</t>
  </si>
  <si>
    <t>浦江二中电扩容项目</t>
  </si>
  <si>
    <t>浦莲幼儿园、浦航幼儿园、宝邸幼儿园</t>
  </si>
  <si>
    <t>浦莲幼儿园（佳兴园）、浦航幼儿园、宝邸（瑞和园）学校修缮项目</t>
  </si>
  <si>
    <t>浦江二中、福山实验、浦江三幼、浦汇小学</t>
  </si>
  <si>
    <t>浦江二中、福山实验、浦江三幼、浦汇小学学校修缮项目</t>
  </si>
  <si>
    <t>文馨学校</t>
  </si>
  <si>
    <t>08-04（文馨学校）搬迁修缮项目</t>
  </si>
  <si>
    <t>上海师范大学闵行实验幼儿园(翔泰园）</t>
  </si>
  <si>
    <t>2022年上海师范大学闵行实验幼儿园（翔泰园）维修工程</t>
  </si>
  <si>
    <t>闵行区颛桥镇君莲幼儿园</t>
  </si>
  <si>
    <t>2022年君莲幼儿园暑期维修工程</t>
  </si>
  <si>
    <t>上海市闵行区田园外语实验小学（金都校区）</t>
  </si>
  <si>
    <t>2022年田园外语实验小学（金都校区）暑期电扩容维修工程</t>
  </si>
  <si>
    <t>2022年田园初中电扩容维修项目</t>
  </si>
  <si>
    <t>上海师范大学闵行实验幼儿园（复地园）</t>
  </si>
  <si>
    <t>2022-2023年上海市闵行区君莲学校专项维修</t>
  </si>
  <si>
    <t>2022-2023年田园外语实验小学（金都校区）专项维修</t>
  </si>
  <si>
    <t>2022-2023年闵行区北桥中学专项维修</t>
  </si>
  <si>
    <t>上海市闵行区颛桥镇第一幼儿园（银桥园）</t>
  </si>
  <si>
    <t>2022-2023年颛桥镇第一幼儿园（银桥分园）专项维修</t>
  </si>
  <si>
    <t>上海市闵行区颛桥镇幼儿园（莘闵园）</t>
  </si>
  <si>
    <t>2022-2023年颛桥镇幼儿园专项维修</t>
  </si>
  <si>
    <t>上海市闵行区田园都市幼儿园</t>
  </si>
  <si>
    <t>2023年田园都市幼儿园电扩容工程</t>
  </si>
  <si>
    <t>2023年君莲学校专项维修工程</t>
  </si>
  <si>
    <t>上海闵行区民办华星小学</t>
  </si>
  <si>
    <t>2023年华星小学专项维修工程</t>
  </si>
  <si>
    <t>2023年颛桥小学专项维修工程</t>
  </si>
  <si>
    <t>田园外小金都校区体育馆修缮项目</t>
  </si>
  <si>
    <t>田园二外小室内体育馆改造工程</t>
  </si>
  <si>
    <t>2022年航华第二幼儿园（总园）校舍维修工程</t>
  </si>
  <si>
    <t>闵行区航华第二幼儿园（分园）</t>
  </si>
  <si>
    <t>2022年航华第二幼儿园（分园）维修工程</t>
  </si>
  <si>
    <t>2022年航华中学场地维修工程</t>
  </si>
  <si>
    <t>2022年黎明小学校舍维修工程</t>
  </si>
  <si>
    <t>2022年明强第二小学场地维修工程</t>
  </si>
  <si>
    <t>2022年七宝实验小学场地维修工程</t>
  </si>
  <si>
    <t>2023年七宝第三中学校舍维修工程</t>
  </si>
  <si>
    <t>2023年航华第二小学校舍维修工程</t>
  </si>
  <si>
    <t>2023年七宝实验小学场地维修工程</t>
  </si>
  <si>
    <t>2023年七宝明强第二小学场地维修工程</t>
  </si>
  <si>
    <t>七宝外国语小学</t>
  </si>
  <si>
    <t>2023年七宝外国语小学校舍维修工程</t>
  </si>
  <si>
    <t>2023年七宝中心幼儿园（广海园）校舍维修工程</t>
  </si>
  <si>
    <t>2023年七宝皇都幼儿园校舍维修工程</t>
  </si>
  <si>
    <t>2022年虹桥中心小学暑期校舍维修项目</t>
  </si>
  <si>
    <t>2022年龙柏第一小学暑期校舍维修项目</t>
  </si>
  <si>
    <t>华虹小学</t>
  </si>
  <si>
    <t>2022年华虹小学暑期校舍维修项目</t>
  </si>
  <si>
    <t>2023年龙柏中学暑期校舍维修项目</t>
  </si>
  <si>
    <t>2023年金汇实验学校暑期校舍维修项目</t>
  </si>
  <si>
    <t>2023年虹桥中心小学暑期校舍维修项目</t>
  </si>
  <si>
    <t>2023年闵行区龙柏第一幼儿园分园暑期校舍维修项目</t>
  </si>
  <si>
    <t>2024年抚恤金年初预算（1-3月已发生数）</t>
    <phoneticPr fontId="1" type="noConversion"/>
  </si>
  <si>
    <t>上海市闵行区七宝第二中学</t>
    <phoneticPr fontId="49" type="noConversion"/>
  </si>
  <si>
    <t>闵行区七宝中心幼儿园</t>
    <phoneticPr fontId="1" type="noConversion"/>
  </si>
  <si>
    <t>虹桥</t>
    <phoneticPr fontId="1" type="noConversion"/>
  </si>
  <si>
    <t>上海市闵行区上虹中学</t>
    <phoneticPr fontId="49" type="noConversion"/>
  </si>
  <si>
    <t>吴泾</t>
    <phoneticPr fontId="1" type="noConversion"/>
  </si>
  <si>
    <t>华漕</t>
    <phoneticPr fontId="1" type="noConversion"/>
  </si>
  <si>
    <t xml:space="preserve">上海市闵行区华漕学校 </t>
    <phoneticPr fontId="49" type="noConversion"/>
  </si>
  <si>
    <t xml:space="preserve">上海市闵行区纪王学校  </t>
    <phoneticPr fontId="49" type="noConversion"/>
  </si>
  <si>
    <t>马桥</t>
    <phoneticPr fontId="1" type="noConversion"/>
  </si>
  <si>
    <t>上海市马桥强恕学校</t>
    <phoneticPr fontId="1" type="noConversion"/>
  </si>
  <si>
    <t>梅陇</t>
    <phoneticPr fontId="1" type="noConversion"/>
  </si>
  <si>
    <t>上海市罗阳中学</t>
    <phoneticPr fontId="49" type="noConversion"/>
  </si>
  <si>
    <t>七宝</t>
    <phoneticPr fontId="1" type="noConversion"/>
  </si>
  <si>
    <t>颛桥</t>
    <phoneticPr fontId="1" type="noConversion"/>
  </si>
  <si>
    <t>浦江</t>
    <phoneticPr fontId="1" type="noConversion"/>
  </si>
  <si>
    <t>学校全称</t>
  </si>
  <si>
    <t>地址</t>
  </si>
  <si>
    <t>维修类型</t>
  </si>
  <si>
    <t>建筑物名称</t>
  </si>
  <si>
    <t>校舍修缮内容</t>
  </si>
  <si>
    <t>工程量</t>
  </si>
  <si>
    <t>单价</t>
  </si>
  <si>
    <t>合价</t>
  </si>
  <si>
    <t>上海市闵行区康城幼儿园（新梅分园）</t>
  </si>
  <si>
    <t>报春路399弄58号</t>
  </si>
  <si>
    <t>校舍维修</t>
  </si>
  <si>
    <t>玻璃雨棚</t>
  </si>
  <si>
    <t>夹胶玻璃、钢结构(含拆除及外运)</t>
  </si>
  <si>
    <t>㎡</t>
  </si>
  <si>
    <t>1F门厅内墙、墙裙</t>
  </si>
  <si>
    <t>内墙涂料（墙面及顶面含铲除、外运、局部基础修粉）</t>
  </si>
  <si>
    <t>1F-4F楼梯间内墙、墙裙、栏杆扶手</t>
  </si>
  <si>
    <t>靠墙扶手（含原有栏杆拆除）</t>
  </si>
  <si>
    <t>m</t>
  </si>
  <si>
    <t>栏杆加高（含原有栏杆拆除）</t>
  </si>
  <si>
    <t>（一）建安费合计</t>
  </si>
  <si>
    <t>（二）工程建设其他费</t>
  </si>
  <si>
    <t>总投资（一）+（二）</t>
  </si>
  <si>
    <t>莘松路958弄大浪湾道64-65号</t>
  </si>
  <si>
    <t>室外洗手台</t>
  </si>
  <si>
    <t>钢结构人造石洗手台</t>
  </si>
  <si>
    <t>台盆（含龙头、明镜）</t>
  </si>
  <si>
    <t>套</t>
  </si>
  <si>
    <t>北楼幼儿卫生间(6间)</t>
  </si>
  <si>
    <t>矮墙墙砖(含铲除、外运、防水、基层)</t>
  </si>
  <si>
    <t>地砖(含铲除、外运、防水、基层)</t>
  </si>
  <si>
    <t>南楼幼儿卫生间(10间)</t>
  </si>
  <si>
    <t>东侧外楼梯</t>
  </si>
  <si>
    <t>外墙涂料(含铲除、腻子层、网格布、粉刷层)</t>
  </si>
  <si>
    <t>移动脚手架</t>
  </si>
  <si>
    <t>㎡/项</t>
  </si>
  <si>
    <t>上海市闵行区佳佳中心幼儿园（莘沥园）</t>
  </si>
  <si>
    <t>莘沥路294号</t>
  </si>
  <si>
    <t>校舍修缮</t>
  </si>
  <si>
    <t>活动室地板</t>
  </si>
  <si>
    <t>教室室内地板更换修缮（包括地板龙骨、踢脚线）</t>
  </si>
  <si>
    <t>空气检测费</t>
  </si>
  <si>
    <t>点</t>
  </si>
  <si>
    <t>上海市闵行区佳佳中心幼儿园（联东园）</t>
  </si>
  <si>
    <t>春申路2768弄56号</t>
  </si>
  <si>
    <t>教学楼大厅顶棚</t>
  </si>
  <si>
    <t>屋面采光顶整体铲除，新建屋面采光顶</t>
  </si>
  <si>
    <t xml:space="preserve"> 2024年七宝镇校舍维修审核明细表</t>
  </si>
  <si>
    <t>闵行区航南路350号</t>
  </si>
  <si>
    <t>教学楼、实验楼、体育馆卫生间（22间）</t>
  </si>
  <si>
    <t>卫生间防滑地砖拆除及新做</t>
  </si>
  <si>
    <t>卫生间内墙墙砖局部拆除及新做</t>
  </si>
  <si>
    <t>铝合金扣板吊顶拆除及新做</t>
  </si>
  <si>
    <t>给排水拆除及新做</t>
  </si>
  <si>
    <t>洁具：小便斗感应式（含拆除及安装）30套、蹲便器（感应式）75套、洗脸盆33套、拖把池18套</t>
  </si>
  <si>
    <t>项</t>
  </si>
  <si>
    <t>成套洗手柜（含台盆、镜子、灯）</t>
  </si>
  <si>
    <t>电气拆除及新做</t>
  </si>
  <si>
    <t>灯具：LED条形面板灯105米、换气扇42套</t>
  </si>
  <si>
    <t>不锈钢扶手（无障碍）</t>
  </si>
  <si>
    <t>厕所隔断</t>
  </si>
  <si>
    <t>m²</t>
  </si>
  <si>
    <t>套装门板（铝合金门套）</t>
  </si>
  <si>
    <t>樘</t>
  </si>
  <si>
    <t>钢构石材洗手台（含镜子拆除及安装）</t>
  </si>
  <si>
    <t>（二）工程建设其他费合计</t>
  </si>
  <si>
    <t>龙茗路2760号</t>
  </si>
  <si>
    <t>半圆活动场地</t>
  </si>
  <si>
    <t>原成品绿篱块毯地面铲除（含基础损坏处修补）</t>
  </si>
  <si>
    <t>面层新做15厚EPDM透气型塑胶（含划线）</t>
  </si>
  <si>
    <t>体育馆墙面、地板、吸音板、踢脚线、电器、窗户</t>
  </si>
  <si>
    <t>内墙新做腻子及涂料（含铲除修补）</t>
  </si>
  <si>
    <t>屋面钢结构打磨及新做油漆</t>
  </si>
  <si>
    <t>新做钢管满堂脚手架</t>
  </si>
  <si>
    <t>屋面及天沟新做防水卷材</t>
  </si>
  <si>
    <t>场地检测费</t>
  </si>
  <si>
    <t xml:space="preserve">上海市闵行区七宝幼儿园
</t>
  </si>
  <si>
    <t>中谊路361号</t>
  </si>
  <si>
    <t>场地维修</t>
  </si>
  <si>
    <t>活动场地</t>
  </si>
  <si>
    <t>原有活动场地面层拆除（含基层清理、找平，破损开裂处铲除并混凝土修复）</t>
  </si>
  <si>
    <t>面层新做15厚EPDM塑胶(含划线）</t>
  </si>
  <si>
    <t>闵行区航北路328号</t>
  </si>
  <si>
    <t>教学楼、办公楼、体育馆屋顶</t>
  </si>
  <si>
    <t>拆除原有屋面卷材及保护层</t>
  </si>
  <si>
    <t>新做最薄30厚LC5.0轻集料混凝土2%找坡找平层（原排水方向），20厚DS20水泥砂浆找平层，2厚高聚物改性沥青防水涂料，3厚APP改性沥青防水卷材（内天沟处、凸出屋面部分需加铺一道3厚防水卷材），女儿墙上翻至压顶，原有压条更换，反光涂料保护层。</t>
  </si>
  <si>
    <t>图书馆室外楼梯</t>
  </si>
  <si>
    <t>加装室外楼梯</t>
  </si>
  <si>
    <t>体育馆大门</t>
  </si>
  <si>
    <t>体育馆铝合金大门</t>
  </si>
  <si>
    <t xml:space="preserve">卫生间（18间）
</t>
  </si>
  <si>
    <t>洁具（小便斗感应式、蹲便器、洗脸盆等）、灯具、洗手台、洗手柜、门隔断</t>
  </si>
  <si>
    <t>校内沥青道路</t>
  </si>
  <si>
    <t>铲除沥青道路面层</t>
  </si>
  <si>
    <t>面层沥青铺设50厚细粒沥青混凝土面层AC-10</t>
  </si>
  <si>
    <t>局部路基修复</t>
  </si>
  <si>
    <t>建筑屋顶</t>
  </si>
  <si>
    <t>铲除原有吊顶涂料及腻子（水泥砂浆基础损坏处铲除并修补），面层耐水腻子二遍刮平，无机涂料一底二度</t>
  </si>
  <si>
    <t>项/㎡</t>
  </si>
  <si>
    <t>管路基座修补、管路包保温材料</t>
  </si>
  <si>
    <t>项/m</t>
  </si>
  <si>
    <t>审图费</t>
  </si>
  <si>
    <t>房屋检测费</t>
  </si>
  <si>
    <t>上海市闵行区星辰幼儿园（金太阳分园）</t>
  </si>
  <si>
    <t>漕宝路1467弄1区51号</t>
  </si>
  <si>
    <t xml:space="preserve">幼儿卫生间（9间）
</t>
  </si>
  <si>
    <t>洁具（小便斗感应式、蹲便器、洗脸盆等）、灯具、洗手台、洗手柜</t>
  </si>
  <si>
    <t>洁具：小便斗感应式（含拆除及安装）27套、坐便器36套</t>
  </si>
  <si>
    <t>教学楼屋顶</t>
  </si>
  <si>
    <t>新做最薄30厚LC5.0轻集料混凝土2%找坡找平层（原排水方向），20厚DS20水泥砂浆找平层，3厚APP改性沥青防水卷材2厚高聚物改性沥青防水涂料（内天沟处需加铺一道3厚防水卷材），女儿墙上翻400，原有压条更换，反光涂料保护层。</t>
  </si>
  <si>
    <t>屋面排水疏通、雨水管更换</t>
  </si>
  <si>
    <t>上海市闵行区黎明小学</t>
  </si>
  <si>
    <t>联明路180号</t>
  </si>
  <si>
    <t>教学楼室内及廊道</t>
  </si>
  <si>
    <t>铲除原有内墙涂料及内墙腻子（水泥砂浆基础损坏处铲除并修补）</t>
  </si>
  <si>
    <t>顶面基层修补批嵌、乳胶漆一底二面</t>
  </si>
  <si>
    <t>墙面基层修补批嵌、乳胶漆一底二面</t>
  </si>
  <si>
    <t>室外走廊顶面基层修补批嵌、乳胶漆一底二面</t>
  </si>
  <si>
    <t>室外墙面基层修补批嵌、乳胶漆一底二面</t>
  </si>
  <si>
    <t>教学楼墙裙</t>
  </si>
  <si>
    <t>铲除原墙裙墙砖至基础墙体</t>
  </si>
  <si>
    <t>墙裙20厚WP20防水砂浆找平，内墙装饰瓷砖饰面（专用粘结剂粘贴），阳角采用不锈钢或铝合金收边条</t>
  </si>
  <si>
    <t>教室内部及廊道地面</t>
  </si>
  <si>
    <t>教室内、走廊、廊道的PVC地板及下层地砖铲除至基层</t>
  </si>
  <si>
    <t>排水槽</t>
  </si>
  <si>
    <t>地面地砖</t>
  </si>
  <si>
    <t>教学楼楼梯及扶手</t>
  </si>
  <si>
    <t>原来楼梯踏步、平台PVC地板及下层玻化砖铲除至楼梯基层</t>
  </si>
  <si>
    <t>石材铺设</t>
  </si>
  <si>
    <t>楼梯石材</t>
  </si>
  <si>
    <t>楼梯踏步板石材安装</t>
  </si>
  <si>
    <t>步</t>
  </si>
  <si>
    <t>楼梯休息平台石材铺设</t>
  </si>
  <si>
    <t>扶手栏杆</t>
  </si>
  <si>
    <t>南北大楼所有办公室、教室门更换铝合金玻璃门（门规格高2600MM宽950MM特殊规格）</t>
  </si>
  <si>
    <t>廊道墙扶手改造</t>
  </si>
  <si>
    <t>过道扶手墙外挂花坛拆除</t>
  </si>
  <si>
    <t>个</t>
  </si>
  <si>
    <t>过道扶手墙压顶大理石</t>
  </si>
  <si>
    <t>过道墙扶手小瓷砖涂料</t>
  </si>
  <si>
    <t>图书馆周边</t>
  </si>
  <si>
    <t>图书楼门口地砖拆除</t>
  </si>
  <si>
    <t>图书楼东面海报区域地面原来石材拆除</t>
  </si>
  <si>
    <t>图书楼石材铺设</t>
  </si>
  <si>
    <t>图书楼台阶踏步板石材安装</t>
  </si>
  <si>
    <t>图书楼东面石材铺设</t>
  </si>
  <si>
    <t>拆除东北面倾斜度6.2%的围墙</t>
  </si>
  <si>
    <t>柔性耐水性腻子内嵌网格布，高级弹性防水外墙涂料一底二度。</t>
  </si>
  <si>
    <t>重新安装原来围墙上面的安全网</t>
  </si>
  <si>
    <t>围墙挖基础及夯实</t>
  </si>
  <si>
    <t>现浇混凝土基础</t>
  </si>
  <si>
    <t>新建围墙</t>
  </si>
  <si>
    <t>围墙上面电缆改地埋</t>
  </si>
  <si>
    <t>路牙、地面</t>
  </si>
  <si>
    <t>北楼教室前运动场地原来草坪铲除</t>
  </si>
  <si>
    <t>原来破损水泥路牙拆除</t>
  </si>
  <si>
    <t>原校园路面水泥地铲除至原沥青面层</t>
  </si>
  <si>
    <t>安装花岗岩圆弧型路牙</t>
  </si>
  <si>
    <t>运动场台阶石材安装</t>
  </si>
  <si>
    <t>校园路面局部路基修复</t>
  </si>
  <si>
    <t>校园路面铺设沥青</t>
  </si>
  <si>
    <t>北楼教室后地面地砖</t>
  </si>
  <si>
    <t>地面青石板</t>
  </si>
  <si>
    <t>安装花岗岩路牙</t>
  </si>
  <si>
    <t>排水系统</t>
  </si>
  <si>
    <t>上下水井、检修井重新安装</t>
  </si>
  <si>
    <t>排水系统改造</t>
  </si>
  <si>
    <t>可移动绿化箱</t>
  </si>
  <si>
    <t>只</t>
  </si>
  <si>
    <t>2024年颛桥镇校舍维修审核明细表</t>
  </si>
  <si>
    <t>上海市闵行区君莲学校(小学部）</t>
  </si>
  <si>
    <t>老沪闵路2700号</t>
  </si>
  <si>
    <t>塑胶场地</t>
  </si>
  <si>
    <t>原有EPDM面层铲除（含基层清理、找平，破损开裂处铲除并混凝土修复），新做40厚AC-05细沥青基础</t>
  </si>
  <si>
    <t>面层新做13厚EPDM塑胶(含划线）</t>
  </si>
  <si>
    <t>排水沟盖板更换及疏通</t>
  </si>
  <si>
    <t>上海市闵行区君莲学校(中学部）</t>
  </si>
  <si>
    <t>沪光路120号</t>
  </si>
  <si>
    <t xml:space="preserve">体育馆屋面、内墙、电器改造
</t>
  </si>
  <si>
    <t>屋面板及天沟拆除（含登高措施）</t>
  </si>
  <si>
    <t>屋面厚岩棉板（100mm厚）（含登高措施）</t>
  </si>
  <si>
    <t>防水卷材（自粘型）</t>
  </si>
  <si>
    <t>不锈钢天沟（含登高措施）</t>
  </si>
  <si>
    <t>新做排水管（含登高措施）</t>
  </si>
  <si>
    <t xml:space="preserve">上海市闵行区北桥中学
</t>
  </si>
  <si>
    <t>沪闵路1785号</t>
  </si>
  <si>
    <t>教学楼内墙、墙裙砖、外走廊</t>
  </si>
  <si>
    <t>内墙涂料（墙面及顶面，含铲除、外运、局部基础修粉）</t>
  </si>
  <si>
    <t>墙裙砖（含铲除、外运、基层）</t>
  </si>
  <si>
    <t>外走廊，外墙水性涂料（含铲除、外运、局部基础修粉）</t>
  </si>
  <si>
    <t>行政楼内墙、墙裙砖、外走廊、栏杆扶手</t>
  </si>
  <si>
    <t>内墙涂料（（墙面及顶面，含铲除、外运、局部基础修粉）</t>
  </si>
  <si>
    <t>不锈钢栏杆扶手（含原有栏杆拆除）</t>
  </si>
  <si>
    <t>实验楼内墙、墙裙砖、外走廊、栏杆扶手</t>
  </si>
  <si>
    <t>建筑外墙</t>
  </si>
  <si>
    <t>墙砖（含铲除、外运、防水、基层）</t>
  </si>
  <si>
    <t>室外升高车</t>
  </si>
  <si>
    <t>台班</t>
  </si>
  <si>
    <t>上海市闵行区君莲幼儿园（总园）</t>
  </si>
  <si>
    <t>闵行区老沪闵路2733号</t>
  </si>
  <si>
    <t>铲除原外墙涂料、GRC线条、保温至基层，及垃圾外运</t>
  </si>
  <si>
    <t>新做外墙粉刷找平基层（含防水层）</t>
  </si>
  <si>
    <t>新做气凝胶保温层</t>
  </si>
  <si>
    <t>外墙新做外墙腻子及涂料</t>
  </si>
  <si>
    <t>外墙钢管脚手架</t>
  </si>
  <si>
    <t>上海市闵行区君莲幼儿园（春都分园）</t>
  </si>
  <si>
    <t>春都路210号</t>
  </si>
  <si>
    <t xml:space="preserve">EPDM塑胶场地
</t>
  </si>
  <si>
    <t>铲除原有塑胶面层及垃圾外运(含基层损坏处修补）</t>
  </si>
  <si>
    <t>新做15厚EPDM塑胶（含图案及划线）</t>
  </si>
  <si>
    <t>田园第二外语实验小学</t>
  </si>
  <si>
    <t>伟都路45号</t>
  </si>
  <si>
    <t>足球天然草场地改人工草</t>
  </si>
  <si>
    <t>新做250厚碎石垫层、150厚混凝土基础</t>
  </si>
  <si>
    <t>原天然草坪铲除并下挖450厚、土方外运</t>
  </si>
  <si>
    <t>面层50厚人造草坪（含10厚减震垫）</t>
  </si>
  <si>
    <t>40厚细沥青基础</t>
  </si>
  <si>
    <t>面层新做15厚EPDM</t>
  </si>
  <si>
    <t>篮球场硅PU</t>
  </si>
  <si>
    <t>原硅PU拆除、垃圾外运及基层修补</t>
  </si>
  <si>
    <t>面层新做8厚硅PU</t>
  </si>
  <si>
    <t>都市路3000号</t>
  </si>
  <si>
    <t>户外水管</t>
  </si>
  <si>
    <t>污水管道改造（含开挖及回填）</t>
  </si>
  <si>
    <t>油水分离局部管线</t>
  </si>
  <si>
    <t>污水管及局部雨水疏通</t>
  </si>
  <si>
    <t>外接管道翻排</t>
  </si>
  <si>
    <t>检测井维修</t>
  </si>
  <si>
    <t>金阳路85弄18号</t>
  </si>
  <si>
    <t>教室木地板</t>
  </si>
  <si>
    <t>地面15厚实木复合地板（含铲除及外运、新做防潮层）</t>
  </si>
  <si>
    <t>地面15厚实木复合地板（含拆装、新做防潮层）利旧</t>
  </si>
  <si>
    <t>新做弱电桥架（油漆）(包含LED灯具及布线）</t>
  </si>
  <si>
    <t>㎡/m</t>
  </si>
  <si>
    <t>顶面涂料修缮（含铲除及外运、一底两面）</t>
  </si>
  <si>
    <t>单价（元）</t>
  </si>
  <si>
    <t>合价（元）</t>
  </si>
  <si>
    <t>上海市闵行区春申景城幼儿园（春城分园）</t>
  </si>
  <si>
    <t>春申路2859号（莲花路1188弄96号）</t>
  </si>
  <si>
    <t>教学楼操作间</t>
  </si>
  <si>
    <t>操作间整体拆除及新做（含水电、操作台盆、储藏柜等）</t>
  </si>
  <si>
    <t>平方米</t>
  </si>
  <si>
    <t>门卫</t>
  </si>
  <si>
    <t>内墙涂料（含拆除及新做）</t>
  </si>
  <si>
    <t>卫生间地砖（含铲除及外运、防水、基础）</t>
  </si>
  <si>
    <t>卫生间墙砖（含铲除及外运、基础）</t>
  </si>
  <si>
    <t>彩铝门窗</t>
  </si>
  <si>
    <t>给排水</t>
  </si>
  <si>
    <t>马桶及小便斗</t>
  </si>
  <si>
    <t>强弱电（含线路整理）</t>
  </si>
  <si>
    <t>增加大功率设备电气改造</t>
  </si>
  <si>
    <t>活动室、卧室增加空调等大功率设备线路及插座</t>
  </si>
  <si>
    <t>上海闵行区民办弘梅小学</t>
  </si>
  <si>
    <t>闵行区金都路325号</t>
  </si>
  <si>
    <t>户外</t>
  </si>
  <si>
    <t>局部损坏处沥青路面修缮（含铲除及新做粗细沥青）</t>
  </si>
  <si>
    <t>1号教学楼及3号综合楼</t>
  </si>
  <si>
    <t>环氧树脂地面铲除垃圾外运</t>
  </si>
  <si>
    <t>新做自流平及环氧地坪漆（含铝合金防滑条）</t>
  </si>
  <si>
    <t>卫生间整体修缮（含装饰、防水、水电、洁具等）</t>
  </si>
  <si>
    <t>楼梯间栏杆扶手</t>
  </si>
  <si>
    <t>修缮楼梯间栏杆扶手</t>
  </si>
  <si>
    <t>米</t>
  </si>
  <si>
    <t>空气检测费（如有）</t>
  </si>
  <si>
    <t>上海闵行区曹行小学</t>
  </si>
  <si>
    <t>老沪闵路2299弄56号</t>
  </si>
  <si>
    <t>体育馆</t>
  </si>
  <si>
    <t>原屋面防水层、保温层、找坡层等拆除至基础及垃圾外运</t>
  </si>
  <si>
    <t>新做防水层、保温层、找坡层等</t>
  </si>
  <si>
    <t>地面运动实木地板（含拆除）</t>
  </si>
  <si>
    <t>华东理工大学附属梅陇实验学校</t>
  </si>
  <si>
    <t>镇西路299号（藤花校区）</t>
  </si>
  <si>
    <t>塑胶跑道</t>
  </si>
  <si>
    <t>原塑胶跑道面层拆除及外运(含基层清理、找平、破损处修复）</t>
  </si>
  <si>
    <t>面层新做13厚塑胶含划线</t>
  </si>
  <si>
    <t>篮球场</t>
  </si>
  <si>
    <t>原硅PU拆除及外运(含基层清理、找平、破损处修复）</t>
  </si>
  <si>
    <t>面层新做8厚硅PU含划线</t>
  </si>
  <si>
    <t>场地检测费（如有）</t>
  </si>
  <si>
    <t>罗秀路1791号（罗秀校区）</t>
  </si>
  <si>
    <t>1#教学楼（扩班）</t>
  </si>
  <si>
    <t>教室、走道、办公室等整体修缮（含电气等）</t>
  </si>
  <si>
    <t>卫生间整体修缮（含装饰、防水、水电、洁具等）含2#3#楼槽式卫生间</t>
  </si>
  <si>
    <t>新做屋面防水层、保温层、找坡层等</t>
  </si>
  <si>
    <t>屋顶铝合金伸缩缝</t>
  </si>
  <si>
    <t>外墙空调架钢结构铝方通罩面层(含脚手架）</t>
  </si>
  <si>
    <t>电扩容</t>
  </si>
  <si>
    <t>电扩容（98千瓦扩容至450千瓦高压配电）含新增高压配电房土建改造、高压配电柜、后出线等内容）</t>
  </si>
  <si>
    <t>镇西路255号（镇西校区）</t>
  </si>
  <si>
    <t>排水沟盖板损坏处更换及疏通</t>
  </si>
  <si>
    <t>足球场</t>
  </si>
  <si>
    <t>原人造草坪铲除及垃圾外运(含基层清理、找平、破损处修复）</t>
  </si>
  <si>
    <t>新做50厚人造草坪（含10厚减震垫、橡胶颗粒及石英砂填充）</t>
  </si>
  <si>
    <t>不锈钢排水沟盖板更换(含局部基础维修）</t>
  </si>
  <si>
    <t>室外场地</t>
  </si>
  <si>
    <t>活动场地EPDM塑胶拆除及新做（含树根处理，沥青基层、基层清理、找平、破损处修复）</t>
  </si>
  <si>
    <t>教学楼</t>
  </si>
  <si>
    <t>卫生间整体修缮（含防水、洁具、水电等）</t>
  </si>
  <si>
    <t>三</t>
  </si>
  <si>
    <t>2024年华漕镇学校校舍维修项目估算表</t>
  </si>
  <si>
    <t>闵行区华漕镇纪王幼儿园（银杏分园）</t>
  </si>
  <si>
    <t>华漕镇纪翟路银杏新村29号</t>
  </si>
  <si>
    <t>围墙</t>
  </si>
  <si>
    <t>外墙弹性涂料</t>
  </si>
  <si>
    <t>m2</t>
  </si>
  <si>
    <t>运动室</t>
  </si>
  <si>
    <t>铺设6.0mm厚木纹pvc运动地板（含拆除、自流平）</t>
  </si>
  <si>
    <t>生态板墙裙含踢脚线</t>
  </si>
  <si>
    <t>墙面涂料</t>
  </si>
  <si>
    <t>石膏板造型吊顶</t>
  </si>
  <si>
    <t>灯具、电气工程</t>
  </si>
  <si>
    <t>上海闵行区华博小学</t>
  </si>
  <si>
    <t>闵行区北沈路265号</t>
  </si>
  <si>
    <t>铺设自粘式2mm厚高分子防水卷材（外漏型）</t>
  </si>
  <si>
    <t>彩钢夹芯板拆除后新做</t>
  </si>
  <si>
    <t>挡墙立面铺贴高分子卷材防水</t>
  </si>
  <si>
    <t>1.5厚304不锈钢天沟</t>
  </si>
  <si>
    <t>1.5厚304挡水板</t>
  </si>
  <si>
    <t>网架钢结构脱漆除锈，刷两道防锈漆</t>
  </si>
  <si>
    <t>网架钢结构做3mm厚防火涂料</t>
  </si>
  <si>
    <t>拆除运动木地板、毛地板、木龙骨</t>
  </si>
  <si>
    <t>运动枫桦木地板、毛地板、木龙骨</t>
  </si>
  <si>
    <t>涂料</t>
  </si>
  <si>
    <t>舞台实木复合地板</t>
  </si>
  <si>
    <t>工矿灯更换（φ450mm）</t>
  </si>
  <si>
    <t>盏</t>
  </si>
  <si>
    <t>管线重排</t>
  </si>
  <si>
    <t>塑胶面层铲除、基层清理、垃圾清运</t>
  </si>
  <si>
    <t>13mm厚透水性塑胶</t>
  </si>
  <si>
    <t>破损的预制混凝土明沟盖板更换（宽0.4m）</t>
  </si>
  <si>
    <t>硅PU面层铲除、基层清理、垃圾清运</t>
  </si>
  <si>
    <t>篮球场8mm厚硅PU</t>
  </si>
  <si>
    <t>26间卫生间</t>
  </si>
  <si>
    <t>卫生间</t>
  </si>
  <si>
    <t>透水性塑胶跑道</t>
  </si>
  <si>
    <t>篮球场硅PU检测费</t>
  </si>
  <si>
    <t>体育馆网架结构检测费</t>
  </si>
  <si>
    <t>一</t>
  </si>
  <si>
    <t>2024年虹桥镇暑期校舍维修项目估算表</t>
  </si>
  <si>
    <t>环镇南路110号</t>
  </si>
  <si>
    <t>塑胶跑道13厚EPDM面层（含20%细粒石沥青混凝基层修补，更换排水沟铸铁盖板）</t>
  </si>
  <si>
    <t>足球场更换人工草皮（含铲除）</t>
  </si>
  <si>
    <t>塑胶跑道检测费</t>
  </si>
  <si>
    <t>人工草检测费</t>
  </si>
  <si>
    <t>红松路81弄18号</t>
  </si>
  <si>
    <t>8号室内木地板</t>
  </si>
  <si>
    <t>拆除原地板地面（含垃圾清运）</t>
  </si>
  <si>
    <t>15厚松木毛底板</t>
  </si>
  <si>
    <t>强化复合地板 含踢脚线</t>
  </si>
  <si>
    <t>过门石及金属嵌条</t>
  </si>
  <si>
    <t>室外场地二</t>
  </si>
  <si>
    <t>拆除原地坪面层及基层（含垃圾清运）</t>
  </si>
  <si>
    <t>13厚透水塑胶面层（含划线）</t>
  </si>
  <si>
    <t>路缘石更换</t>
  </si>
  <si>
    <t>各类井拆砌加高更换井盖</t>
  </si>
  <si>
    <t>座</t>
  </si>
  <si>
    <t>室外场地三</t>
  </si>
  <si>
    <t>拆除原地坪混凝土面层及基层、局部瓷砖铲除、防腐木地面拆除（含垃圾清运）</t>
  </si>
  <si>
    <t>彩色透水沥青路面含基层</t>
  </si>
  <si>
    <t>混凝土路面划线、画LOGO标识等</t>
  </si>
  <si>
    <t>龙柏一幼分园</t>
  </si>
  <si>
    <t>闵行区龙柏三村90号</t>
  </si>
  <si>
    <t>活动场地15厚EPDM面层（含20%细粒石沥青混凝土基层修补）</t>
  </si>
  <si>
    <t xml:space="preserve">闵行区龙柏第二幼儿园分园
</t>
  </si>
  <si>
    <t>龙柏七村41号</t>
  </si>
  <si>
    <t>铲除原外墙涂料及外墙腻子（原水泥砂浆基础空鼓开裂处铲除并修补平整）</t>
  </si>
  <si>
    <t>外墙涂料</t>
  </si>
  <si>
    <t>厨房墙地顶面整体更新，安装灯具、插座、给排水等/仓库与点心间互换</t>
  </si>
  <si>
    <t>台</t>
  </si>
  <si>
    <t>柔性耐水性腻子内嵌网格布，高级弹性防水外墙涂料一底二度，含15%外墙粉刷修补</t>
  </si>
  <si>
    <t>(一）建安费小计</t>
  </si>
  <si>
    <t>闵行区民办华虹小学</t>
  </si>
  <si>
    <t>紫藤路125弄58号</t>
  </si>
  <si>
    <t>卫生间改造（墙砖、地砖、吊顶涂料、防水、台盆、洁具）</t>
  </si>
  <si>
    <t>8厚硅PU场地修缮工程（含排水沟修理,移树）</t>
  </si>
  <si>
    <t>（二）工程建设其它费</t>
  </si>
  <si>
    <t>80%预下达</t>
    <phoneticPr fontId="1" type="noConversion"/>
  </si>
  <si>
    <t>80%预下达</t>
    <phoneticPr fontId="1" type="noConversion"/>
  </si>
  <si>
    <t>2024年莘庄镇校舍维修审核明细表</t>
    <phoneticPr fontId="1" type="noConversion"/>
  </si>
  <si>
    <t>2024年梅陇镇学校校舍维修项目估算表</t>
    <phoneticPr fontId="1" type="noConversion"/>
  </si>
  <si>
    <t>场地13厚EPDM面层（含20%的30厚沥青层）</t>
  </si>
  <si>
    <t>场地8厚硅PU面层（含40%的30厚沥青层）</t>
  </si>
  <si>
    <t>场地地砖更换</t>
  </si>
  <si>
    <t>工程建设其它费</t>
  </si>
  <si>
    <t>场地15厚EPDM面层（含40厚沥青层）</t>
  </si>
  <si>
    <t>场地13厚EPDM面层（含30厚沥青层）</t>
  </si>
  <si>
    <t>足球场天然草皮(含250厚垫层、100厚中粗砂垫层，盲管，200厚种植土、天然草皮）</t>
  </si>
  <si>
    <t>瑞和城幼儿园(新开办）</t>
  </si>
  <si>
    <t>室内装修</t>
  </si>
  <si>
    <t>厨房</t>
  </si>
  <si>
    <t>墙地砖工程</t>
  </si>
  <si>
    <t>给排水支、立管及冷热水暗敷</t>
  </si>
  <si>
    <t>原墙面拆除</t>
  </si>
  <si>
    <t>新建墙体</t>
  </si>
  <si>
    <t>传递窗口(带纱窗）</t>
  </si>
  <si>
    <t>班级教室</t>
  </si>
  <si>
    <t>一层教室护墙板</t>
  </si>
  <si>
    <t>一层教室木地板更换</t>
  </si>
  <si>
    <t>入园门厅</t>
  </si>
  <si>
    <t>石膏板造形吊顶</t>
  </si>
  <si>
    <t>顶面乳胶漆</t>
  </si>
  <si>
    <t>软膜天花</t>
  </si>
  <si>
    <t>洗手池</t>
  </si>
  <si>
    <t>面盆龙头</t>
  </si>
  <si>
    <t>给排水改造</t>
  </si>
  <si>
    <t>公共区域</t>
  </si>
  <si>
    <t>走廊、楼梯间护墙板</t>
  </si>
  <si>
    <t>公区走廊地面铺装塑胶地板</t>
  </si>
  <si>
    <t>走廊通道门更换</t>
  </si>
  <si>
    <t>走廊乳胶漆</t>
  </si>
  <si>
    <t>多功能厅</t>
  </si>
  <si>
    <t xml:space="preserve"> 舞台石膏板造型吊顶</t>
  </si>
  <si>
    <t>舞台地台</t>
  </si>
  <si>
    <t>铝扣板吊顶工程</t>
  </si>
  <si>
    <t>保健室</t>
  </si>
  <si>
    <t>墙体拆除</t>
  </si>
  <si>
    <t>窗户</t>
  </si>
  <si>
    <t>强电改造工程</t>
  </si>
  <si>
    <t>室内强电路改造</t>
  </si>
  <si>
    <t>户外园区改造</t>
  </si>
  <si>
    <t>户外园区基础改造</t>
  </si>
  <si>
    <t>户外园林绿化带土建改造</t>
  </si>
  <si>
    <t>户外沙池、水池、泥池</t>
  </si>
  <si>
    <t>户外LED屏土建基础</t>
  </si>
  <si>
    <t>校门铭牌</t>
  </si>
  <si>
    <t>零星工程（包括道路、台阶、窨井盖损坏、入户门塑钢门窗等）</t>
  </si>
  <si>
    <t>（一）建安费合计         合计</t>
  </si>
  <si>
    <t>工程建设其他费   合计</t>
  </si>
  <si>
    <t>消防检测费</t>
  </si>
  <si>
    <t>浦航实验中学</t>
  </si>
  <si>
    <t>学校食堂</t>
  </si>
  <si>
    <t>厨房区域施工（约395㎡）</t>
  </si>
  <si>
    <t>墙体砌筑及抹灰</t>
  </si>
  <si>
    <t>地面地砖铺贴</t>
  </si>
  <si>
    <t>墙砖铺贴</t>
  </si>
  <si>
    <t>厨房铝扣板吊顶</t>
  </si>
  <si>
    <t>厨房电气施工（电箱、电线、插座、开关、灯具等）</t>
  </si>
  <si>
    <t>厨房给排水施工（上水、下水、阀门等）</t>
  </si>
  <si>
    <t>单开门</t>
  </si>
  <si>
    <t>双开门</t>
  </si>
  <si>
    <t>窗户工程</t>
  </si>
  <si>
    <t>不锈钢地沟盖板</t>
  </si>
  <si>
    <t>餐厅区域施工（约450㎡）</t>
  </si>
  <si>
    <t>墙体涂料粉刷</t>
  </si>
  <si>
    <t>餐厅局部吊顶</t>
  </si>
  <si>
    <t>室外门口过道</t>
  </si>
  <si>
    <t>600*600花岗岩地砖 CT-02</t>
  </si>
  <si>
    <t>台阶花岗岩地砖 CT-03</t>
  </si>
  <si>
    <t>不锈钢扶手</t>
  </si>
  <si>
    <t>零星工程</t>
  </si>
  <si>
    <t>外墙开洞及局部修补</t>
  </si>
  <si>
    <t>零星类施工（消防、弱电移位等）</t>
  </si>
  <si>
    <t>检测费</t>
  </si>
  <si>
    <t>浦航实验中学（北校区）</t>
  </si>
  <si>
    <t>拆建工程</t>
  </si>
  <si>
    <t>拆除建筑原200墙体</t>
  </si>
  <si>
    <t>拆除原墙面护墙板、地面及乳胶漆</t>
  </si>
  <si>
    <t>新建200砖墙</t>
  </si>
  <si>
    <t>建筑屋面防水</t>
  </si>
  <si>
    <t>防水处理</t>
  </si>
  <si>
    <t>建筑结构加固</t>
  </si>
  <si>
    <t>教室柱梁结构加固</t>
  </si>
  <si>
    <t>节能改造工程</t>
  </si>
  <si>
    <t>屋面节能措施</t>
  </si>
  <si>
    <t>建筑外墙节能措施</t>
  </si>
  <si>
    <t>太阳能热水</t>
  </si>
  <si>
    <t>热水器开水器的时间控制技术</t>
  </si>
  <si>
    <t>节能光源</t>
  </si>
  <si>
    <t>吊顶工程</t>
  </si>
  <si>
    <t>天花乳胶漆</t>
  </si>
  <si>
    <t>裸天花喷漆</t>
  </si>
  <si>
    <t>地面铺装</t>
  </si>
  <si>
    <t>教室地面木地板</t>
  </si>
  <si>
    <t>公区走廊地面瓷砖</t>
  </si>
  <si>
    <t>墙面装饰</t>
  </si>
  <si>
    <t>墙面白色乳胶漆</t>
  </si>
  <si>
    <t>安装走廊护墙板</t>
  </si>
  <si>
    <t>安装教室护墙板</t>
  </si>
  <si>
    <t>室内门更换</t>
  </si>
  <si>
    <t>更换单开门(1000*2100)</t>
  </si>
  <si>
    <t>更换单开门(1200*2100)</t>
  </si>
  <si>
    <t>强弱电改造</t>
  </si>
  <si>
    <t>室内强弱电路改造</t>
  </si>
  <si>
    <t>卫生间改造</t>
  </si>
  <si>
    <t>防水工程</t>
  </si>
  <si>
    <t>卫生间隔断</t>
  </si>
  <si>
    <t>蹲便</t>
  </si>
  <si>
    <t>小便池</t>
  </si>
  <si>
    <t>洗手台</t>
  </si>
  <si>
    <t>面盆（含龙头、镜子）</t>
  </si>
  <si>
    <t>拖把池</t>
  </si>
  <si>
    <t>其他工程</t>
  </si>
  <si>
    <t>灯具工程</t>
  </si>
  <si>
    <t>消防项目改造</t>
  </si>
  <si>
    <t>新加天花喷淋系统</t>
  </si>
  <si>
    <t>消防广播调整改造</t>
  </si>
  <si>
    <t>烟感探测器调整改造</t>
  </si>
  <si>
    <t>消防栓移改</t>
  </si>
  <si>
    <t>组</t>
  </si>
  <si>
    <t>消防灯更换</t>
  </si>
  <si>
    <t>增加消防门</t>
  </si>
  <si>
    <t>增加消防挡垂壁</t>
  </si>
  <si>
    <t>园区基础改造</t>
  </si>
  <si>
    <t>户外园林绿化(带土建改造)</t>
  </si>
  <si>
    <t>室外排水工程</t>
  </si>
  <si>
    <t>室外DN225污水管100米</t>
  </si>
  <si>
    <t>室外DN300污水管210米</t>
  </si>
  <si>
    <t>室外污水井40座</t>
  </si>
  <si>
    <t>室外DN200雨水管180米</t>
  </si>
  <si>
    <t>室外DN300雨水管230米、DN400雨水管40米</t>
  </si>
  <si>
    <t>室外雨水井30座、雨水口15个</t>
  </si>
  <si>
    <t>局部管道坍塌修复</t>
  </si>
  <si>
    <t>围墙修缮工程</t>
  </si>
  <si>
    <t>围墙上部拆除改成铁艺栏杆</t>
  </si>
  <si>
    <t>围墙涂料</t>
  </si>
  <si>
    <t>宝邸幼儿园（瑞和园）</t>
  </si>
  <si>
    <t>卫生间地砖</t>
  </si>
  <si>
    <t>卫生间吊顶</t>
  </si>
  <si>
    <t>卫生间小便槽、洁具</t>
  </si>
  <si>
    <t>食堂吊顶更换，部分墙面砖修补</t>
  </si>
  <si>
    <t>宝邸幼儿园（水语园）</t>
  </si>
  <si>
    <t>浦江镇合计</t>
  </si>
  <si>
    <t xml:space="preserve"> 2024年浦江镇校舍维修审核明细表</t>
    <phoneticPr fontId="1" type="noConversion"/>
  </si>
  <si>
    <t>学校教室及
卫生间门更换</t>
  </si>
  <si>
    <t>成品套装卫生间单开门</t>
  </si>
  <si>
    <t>成品套装普通教师双开门</t>
  </si>
  <si>
    <t>成品套装专业教室单开门</t>
  </si>
  <si>
    <t>成品套装专业教室双开门</t>
  </si>
  <si>
    <t>墙面乳胶漆</t>
  </si>
  <si>
    <t>墙面水泥砂浆抹灰</t>
  </si>
  <si>
    <t>墙面瓷砖铺贴</t>
  </si>
  <si>
    <t>（二）二类费用</t>
  </si>
  <si>
    <t>5楼教室改造</t>
  </si>
  <si>
    <t>PVC地胶</t>
  </si>
  <si>
    <t>不锈钢踢脚线</t>
  </si>
  <si>
    <t>配管、配线及开关插座</t>
  </si>
  <si>
    <t>LED平板灯</t>
  </si>
  <si>
    <t>铝格栅吊顶</t>
  </si>
  <si>
    <t>墙面墙砖修铺</t>
  </si>
  <si>
    <t>格栅长条灯</t>
  </si>
  <si>
    <t>室外篮球场改造</t>
  </si>
  <si>
    <t>原室外篮球场场地铲除</t>
  </si>
  <si>
    <t>沥青混凝土基层厚度(cm):4</t>
  </si>
  <si>
    <t>新做8MM硅PU</t>
  </si>
  <si>
    <t>室外塑胶跑道</t>
  </si>
  <si>
    <t>原塑胶跑道铲除</t>
  </si>
  <si>
    <t>新做13mm厚EPDM</t>
  </si>
  <si>
    <t>上海市闵行区马桥文来外国语小学富卓校区</t>
  </si>
  <si>
    <t>原排水盖板更换</t>
  </si>
  <si>
    <t xml:space="preserve"> 2024年马桥镇校舍维修审核明细表</t>
    <phoneticPr fontId="1" type="noConversion"/>
  </si>
  <si>
    <t>墙砖300*600</t>
  </si>
  <si>
    <t>防滑地砖600*600</t>
  </si>
  <si>
    <t>铝扣板吊顶600*600</t>
  </si>
  <si>
    <t>小便器</t>
  </si>
  <si>
    <t>马桶（含安装）</t>
  </si>
  <si>
    <t>蹲便器</t>
  </si>
  <si>
    <t>钢构人造石洗手台</t>
  </si>
  <si>
    <t>电气</t>
  </si>
  <si>
    <t>抗倍特隔板</t>
  </si>
  <si>
    <t>污水池</t>
  </si>
  <si>
    <t>拖把柜</t>
  </si>
  <si>
    <t>无障碍扶手</t>
  </si>
  <si>
    <t>给排支、立水管及冷热水管暗敷</t>
  </si>
  <si>
    <t>美术教室</t>
  </si>
  <si>
    <t>内墙乳胶漆</t>
  </si>
  <si>
    <t>地面600*600玻化砖</t>
  </si>
  <si>
    <t>陶瓷水斗（含龙头上下水）</t>
  </si>
  <si>
    <t>自然教室</t>
  </si>
  <si>
    <t>音乐教室</t>
  </si>
  <si>
    <t>内墙陶铝吸音板</t>
  </si>
  <si>
    <t>顶面轻钢龙骨穿孔铝板</t>
  </si>
  <si>
    <t xml:space="preserve"> 2024年吴泾镇校舍维修审核明细表</t>
    <phoneticPr fontId="1" type="noConversion"/>
  </si>
  <si>
    <t>合计</t>
    <phoneticPr fontId="1" type="noConversion"/>
  </si>
  <si>
    <t>补2023年经费</t>
    <phoneticPr fontId="1" type="noConversion"/>
  </si>
  <si>
    <t>2-6月课后延时</t>
    <phoneticPr fontId="1" type="noConversion"/>
  </si>
  <si>
    <t>9-12月课后延时</t>
    <phoneticPr fontId="1" type="noConversion"/>
  </si>
  <si>
    <t>2023年镇管学校制度外用工清算核定表（补充公用经费清算不含储备老师）</t>
    <phoneticPr fontId="49" type="noConversion"/>
  </si>
  <si>
    <t>小计课后延时</t>
    <phoneticPr fontId="1" type="noConversion"/>
  </si>
  <si>
    <t>2023年已下达课后延时金额</t>
    <phoneticPr fontId="1" type="noConversion"/>
  </si>
  <si>
    <t>清算课后延时金额</t>
    <phoneticPr fontId="1" type="noConversion"/>
  </si>
  <si>
    <t>镇属</t>
    <phoneticPr fontId="49" type="noConversion"/>
  </si>
  <si>
    <t>总投资（元）
（财政批复）</t>
    <phoneticPr fontId="49" type="noConversion"/>
  </si>
  <si>
    <t>建安费（元）
（财政批复）</t>
    <phoneticPr fontId="49" type="noConversion"/>
  </si>
  <si>
    <t>施工合同价
（元）</t>
    <phoneticPr fontId="49" type="noConversion"/>
  </si>
  <si>
    <t>工程审定价
（元）</t>
    <phoneticPr fontId="49" type="noConversion"/>
  </si>
  <si>
    <t>二类费用
（元）</t>
    <phoneticPr fontId="49" type="noConversion"/>
  </si>
  <si>
    <t>应执行金额费用
（元）</t>
    <phoneticPr fontId="49" type="noConversion"/>
  </si>
  <si>
    <t>已执行金额费用
（元）</t>
    <phoneticPr fontId="49" type="noConversion"/>
  </si>
  <si>
    <t>尾款清算金额费用
（元）</t>
    <phoneticPr fontId="49" type="noConversion"/>
  </si>
  <si>
    <t>梅陇</t>
    <phoneticPr fontId="49" type="noConversion"/>
  </si>
  <si>
    <t>闵行区曹行中心幼儿园（蔷薇园）</t>
    <phoneticPr fontId="49" type="noConversion"/>
  </si>
  <si>
    <t>上海市闵行区梅陇金都幼儿园（银泰园）</t>
    <phoneticPr fontId="49" type="noConversion"/>
  </si>
  <si>
    <t>上海市闵行区春申景城幼儿园（景城园）</t>
    <phoneticPr fontId="49" type="noConversion"/>
  </si>
  <si>
    <t>闵行区罗阳小学</t>
    <phoneticPr fontId="49" type="noConversion"/>
  </si>
  <si>
    <t>上海中医药大学附属闵行蔷薇小学</t>
    <phoneticPr fontId="49" type="noConversion"/>
  </si>
  <si>
    <t>华漕</t>
    <phoneticPr fontId="49" type="noConversion"/>
  </si>
  <si>
    <t>上海市闵行区诸翟中心幼儿园</t>
    <phoneticPr fontId="49" type="noConversion"/>
  </si>
  <si>
    <t>上海市闵行区华漕金色幼儿园</t>
    <phoneticPr fontId="49" type="noConversion"/>
  </si>
  <si>
    <t>吴泾</t>
    <phoneticPr fontId="49" type="noConversion"/>
  </si>
  <si>
    <t>马桥</t>
    <phoneticPr fontId="49" type="noConversion"/>
  </si>
  <si>
    <t>上海市闵行区马桥元祥幼儿园</t>
    <phoneticPr fontId="49" type="noConversion"/>
  </si>
  <si>
    <t>上海市马桥强恕学校</t>
    <phoneticPr fontId="49" type="noConversion"/>
  </si>
  <si>
    <t>上海市闵行区马桥文来外国语小学西校区</t>
    <phoneticPr fontId="49" type="noConversion"/>
  </si>
  <si>
    <t>上海市闵行区马桥复旦万科实验中学</t>
    <phoneticPr fontId="49" type="noConversion"/>
  </si>
  <si>
    <t>浦江</t>
    <phoneticPr fontId="49" type="noConversion"/>
  </si>
  <si>
    <t>上海市福山实验学校（原汇秀小学）</t>
    <phoneticPr fontId="49" type="noConversion"/>
  </si>
  <si>
    <t>上海市闵行区浦江第二中学</t>
    <phoneticPr fontId="49" type="noConversion"/>
  </si>
  <si>
    <t>颛桥</t>
    <phoneticPr fontId="49" type="noConversion"/>
  </si>
  <si>
    <t>上海市闵行区田园外语实验小学</t>
    <phoneticPr fontId="49" type="noConversion"/>
  </si>
  <si>
    <t>上海市闵行区田园第二外语实验小学</t>
    <phoneticPr fontId="49" type="noConversion"/>
  </si>
  <si>
    <t>七宝</t>
    <phoneticPr fontId="49" type="noConversion"/>
  </si>
  <si>
    <t>闵行区航华第二幼儿园（总园）</t>
    <phoneticPr fontId="49" type="noConversion"/>
  </si>
  <si>
    <t>闵行区黎明小学</t>
    <phoneticPr fontId="49" type="noConversion"/>
  </si>
  <si>
    <t>上海市闵行区七宝第三中学</t>
    <phoneticPr fontId="49" type="noConversion"/>
  </si>
  <si>
    <t>闵行区航华第二小学</t>
    <phoneticPr fontId="49" type="noConversion"/>
  </si>
  <si>
    <t>上海市七宝实验小学（大上海校区）</t>
    <phoneticPr fontId="49" type="noConversion"/>
  </si>
  <si>
    <t>上海市闵行区七宝明强第二小学</t>
    <phoneticPr fontId="49" type="noConversion"/>
  </si>
  <si>
    <t>闵行区七宝中心幼儿园（广海园）</t>
    <phoneticPr fontId="49" type="noConversion"/>
  </si>
  <si>
    <t>上海市闵行区七宝皇都幼儿园</t>
    <phoneticPr fontId="49" type="noConversion"/>
  </si>
  <si>
    <t>虹桥</t>
    <phoneticPr fontId="49" type="noConversion"/>
  </si>
  <si>
    <t>闵行区虹桥中心小学</t>
    <phoneticPr fontId="49" type="noConversion"/>
  </si>
  <si>
    <t>闵行区龙柏第一小学</t>
    <phoneticPr fontId="49" type="noConversion"/>
  </si>
  <si>
    <t>上海市龙柏中学</t>
    <phoneticPr fontId="49" type="noConversion"/>
  </si>
  <si>
    <t>上海市金汇实验学校</t>
    <phoneticPr fontId="49" type="noConversion"/>
  </si>
  <si>
    <t>闵行区龙柏第一幼儿园</t>
    <phoneticPr fontId="49" type="noConversion"/>
  </si>
  <si>
    <t>序号</t>
    <phoneticPr fontId="1" type="noConversion"/>
  </si>
  <si>
    <t>管理费
（2024年全年）</t>
    <phoneticPr fontId="1" type="noConversion"/>
  </si>
  <si>
    <t>施工合同价（元）</t>
  </si>
  <si>
    <t>工程审定价（元）</t>
  </si>
  <si>
    <t>二类费用（元）</t>
  </si>
  <si>
    <t>应执行金额费用（元）</t>
  </si>
  <si>
    <t>已执行金额费用（元）</t>
  </si>
  <si>
    <t>尾款清算金额费用（元）</t>
  </si>
  <si>
    <t>镇属</t>
    <phoneticPr fontId="1" type="noConversion"/>
  </si>
  <si>
    <t>单位</t>
    <phoneticPr fontId="1" type="noConversion"/>
  </si>
  <si>
    <t>公积金预算</t>
    <phoneticPr fontId="1" type="noConversion"/>
  </si>
  <si>
    <t>全年需求</t>
    <phoneticPr fontId="1" type="noConversion"/>
  </si>
  <si>
    <t>一次分配</t>
    <phoneticPr fontId="1" type="noConversion"/>
  </si>
  <si>
    <t>二次分配</t>
    <phoneticPr fontId="1" type="noConversion"/>
  </si>
  <si>
    <t>2024年残疾人就业保障预算调整表</t>
    <phoneticPr fontId="1" type="noConversion"/>
  </si>
  <si>
    <t>莘庄</t>
    <phoneticPr fontId="1" type="noConversion"/>
  </si>
  <si>
    <t>闵行区佳佳中心幼儿园</t>
    <phoneticPr fontId="2" type="noConversion"/>
  </si>
  <si>
    <t>上海市闵行区康城幼儿园</t>
    <phoneticPr fontId="2" type="noConversion"/>
  </si>
  <si>
    <t>上海市闵行区实验幼儿园</t>
    <phoneticPr fontId="2" type="noConversion"/>
  </si>
  <si>
    <t>佳佳幼儿园</t>
    <phoneticPr fontId="2" type="noConversion"/>
  </si>
  <si>
    <t>明星学校</t>
    <phoneticPr fontId="2" type="noConversion"/>
  </si>
  <si>
    <t>实验幼儿园</t>
    <phoneticPr fontId="2" type="noConversion"/>
  </si>
  <si>
    <t>康城幼儿园</t>
    <phoneticPr fontId="2" type="noConversion"/>
  </si>
  <si>
    <t>社区学校</t>
    <phoneticPr fontId="2" type="noConversion"/>
  </si>
  <si>
    <t>一次分配</t>
    <phoneticPr fontId="1" type="noConversion"/>
  </si>
  <si>
    <t>二次分配</t>
    <phoneticPr fontId="1" type="noConversion"/>
  </si>
  <si>
    <t>　　　　　　(1)上下班交通费补贴</t>
    <phoneticPr fontId="2" type="noConversion"/>
  </si>
  <si>
    <t>　　　　1、工伤保险费0.5%(0.16%-1.52%)</t>
    <phoneticPr fontId="2" type="noConversion"/>
  </si>
  <si>
    <t>根据社保口径按实编制</t>
    <phoneticPr fontId="2" type="noConversion"/>
  </si>
  <si>
    <t>　　　　2、失业保险0.5%</t>
    <phoneticPr fontId="2" type="noConversion"/>
  </si>
  <si>
    <t>根据人保科数字编制</t>
    <phoneticPr fontId="2" type="noConversion"/>
  </si>
  <si>
    <t>　　　　3、工作餐补贴</t>
    <phoneticPr fontId="2" type="noConversion"/>
  </si>
  <si>
    <t xml:space="preserve"> </t>
    <phoneticPr fontId="2" type="noConversion"/>
  </si>
  <si>
    <t>　　　　4、课后服务(在编人员）</t>
    <phoneticPr fontId="2" type="noConversion"/>
  </si>
  <si>
    <r>
      <t xml:space="preserve">        1、医疗保险费</t>
    </r>
    <r>
      <rPr>
        <sz val="9"/>
        <color indexed="8"/>
        <rFont val="宋体"/>
        <family val="3"/>
        <charset val="134"/>
      </rPr>
      <t>9%</t>
    </r>
    <phoneticPr fontId="2" type="noConversion"/>
  </si>
  <si>
    <r>
      <t xml:space="preserve">        2、其他医疗保险费4</t>
    </r>
    <r>
      <rPr>
        <sz val="9"/>
        <color indexed="8"/>
        <rFont val="宋体"/>
        <family val="3"/>
        <charset val="134"/>
      </rPr>
      <t>%</t>
    </r>
    <phoneticPr fontId="2" type="noConversion"/>
  </si>
  <si>
    <r>
      <t xml:space="preserve">       (1)其他保险2%(统筹)：</t>
    </r>
    <r>
      <rPr>
        <sz val="9"/>
        <color indexed="10"/>
        <rFont val="宋体"/>
        <family val="3"/>
        <charset val="134"/>
      </rPr>
      <t>住院、大病补助</t>
    </r>
    <phoneticPr fontId="2" type="noConversion"/>
  </si>
  <si>
    <t>根据相关口径按实编制</t>
    <phoneticPr fontId="2" type="noConversion"/>
  </si>
  <si>
    <r>
      <t xml:space="preserve">       (2)其他保险2%(单位)：</t>
    </r>
    <r>
      <rPr>
        <sz val="9"/>
        <color indexed="10"/>
        <rFont val="宋体"/>
        <family val="3"/>
        <charset val="134"/>
      </rPr>
      <t>购买职工保险</t>
    </r>
    <phoneticPr fontId="2" type="noConversion"/>
  </si>
  <si>
    <t>　　　　1、基本养老保险16%</t>
    <phoneticPr fontId="2" type="noConversion"/>
  </si>
  <si>
    <r>
      <t xml:space="preserve"> </t>
    </r>
    <r>
      <rPr>
        <sz val="9"/>
        <color indexed="8"/>
        <rFont val="宋体"/>
        <family val="3"/>
        <charset val="134"/>
      </rPr>
      <t xml:space="preserve">   </t>
    </r>
    <r>
      <rPr>
        <sz val="9"/>
        <color indexed="8"/>
        <rFont val="宋体"/>
        <family val="3"/>
        <charset val="134"/>
      </rPr>
      <t>公积金</t>
    </r>
    <r>
      <rPr>
        <sz val="9"/>
        <color indexed="8"/>
        <rFont val="宋体"/>
        <family val="3"/>
        <charset val="134"/>
      </rPr>
      <t>7%</t>
    </r>
    <phoneticPr fontId="2" type="noConversion"/>
  </si>
  <si>
    <t>根据人事口径按实编制</t>
    <phoneticPr fontId="2" type="noConversion"/>
  </si>
  <si>
    <t xml:space="preserve">    其他工资福利</t>
    <phoneticPr fontId="2" type="noConversion"/>
  </si>
  <si>
    <t>年初预算为0</t>
    <phoneticPr fontId="2" type="noConversion"/>
  </si>
  <si>
    <t xml:space="preserve">    退休费</t>
    <phoneticPr fontId="2" type="noConversion"/>
  </si>
  <si>
    <t>根据退休人员情况按实编制</t>
    <phoneticPr fontId="2" type="noConversion"/>
  </si>
  <si>
    <t xml:space="preserve">        1、退休人员生活补贴</t>
    <phoneticPr fontId="2" type="noConversion"/>
  </si>
  <si>
    <t>　　　　1、其他</t>
    <phoneticPr fontId="2" type="noConversion"/>
  </si>
  <si>
    <t xml:space="preserve">       其中：培训费</t>
    <phoneticPr fontId="2" type="noConversion"/>
  </si>
  <si>
    <t>主款项</t>
    <phoneticPr fontId="2" type="noConversion"/>
  </si>
  <si>
    <t>生均定额5%</t>
    <phoneticPr fontId="2" type="noConversion"/>
  </si>
  <si>
    <t>教职工人数*400元标准内按实填列</t>
    <phoneticPr fontId="2" type="noConversion"/>
  </si>
  <si>
    <t>房屋面积*15元标准内按实填列</t>
    <phoneticPr fontId="2" type="noConversion"/>
  </si>
  <si>
    <t>绿化面积*8元标准内按实填列</t>
    <phoneticPr fontId="2" type="noConversion"/>
  </si>
  <si>
    <t>　　(五)福利费</t>
    <phoneticPr fontId="2" type="noConversion"/>
  </si>
  <si>
    <t>　　　　1、在职福利费</t>
    <phoneticPr fontId="2" type="noConversion"/>
  </si>
  <si>
    <t>教职工人数*4320元</t>
    <phoneticPr fontId="2" type="noConversion"/>
  </si>
  <si>
    <t>　　　　2、离退休福利费</t>
    <phoneticPr fontId="2" type="noConversion"/>
  </si>
  <si>
    <t>离退休人数*4320元</t>
    <phoneticPr fontId="2" type="noConversion"/>
  </si>
  <si>
    <t>　　(六)工会经费</t>
    <phoneticPr fontId="2" type="noConversion"/>
  </si>
  <si>
    <t>根据工会口径按实编制</t>
    <phoneticPr fontId="2" type="noConversion"/>
  </si>
  <si>
    <t>　　(七)公务用车运行维护费★</t>
    <phoneticPr fontId="2" type="noConversion"/>
  </si>
  <si>
    <t>机关局有编制的车辆数*32000元/年标准内填列（分园及分校预算在其他交通费中编制）</t>
    <phoneticPr fontId="2" type="noConversion"/>
  </si>
  <si>
    <t>　　(八)其他商品和服务支出</t>
    <phoneticPr fontId="2" type="noConversion"/>
  </si>
  <si>
    <t>　　　　1、离退休公用支出</t>
    <phoneticPr fontId="2" type="noConversion"/>
  </si>
  <si>
    <t>离退休人数*400元/年标准内按实填列</t>
    <phoneticPr fontId="2" type="noConversion"/>
  </si>
  <si>
    <t>　　　　2、子女幼托费</t>
    <phoneticPr fontId="2" type="noConversion"/>
  </si>
  <si>
    <t>按人事口径实填列</t>
    <phoneticPr fontId="2" type="noConversion"/>
  </si>
  <si>
    <t>　　(九)其他交通费用</t>
    <phoneticPr fontId="2" type="noConversion"/>
  </si>
  <si>
    <t xml:space="preserve">
机关局无编制车辆的学校按32000元编制预算
机关局有编制的车辆，每分校增加10000元，每个分园增加5000元标准内填列</t>
    <phoneticPr fontId="2" type="noConversion"/>
  </si>
  <si>
    <r>
      <t>填写2024</t>
    </r>
    <r>
      <rPr>
        <sz val="9"/>
        <color indexed="8"/>
        <rFont val="宋体"/>
        <family val="3"/>
        <charset val="134"/>
      </rPr>
      <t>年秋季在编教职工人数</t>
    </r>
    <phoneticPr fontId="2" type="noConversion"/>
  </si>
  <si>
    <r>
      <t>填写202</t>
    </r>
    <r>
      <rPr>
        <sz val="9"/>
        <color indexed="8"/>
        <rFont val="宋体"/>
        <family val="3"/>
        <charset val="134"/>
      </rPr>
      <t>4</t>
    </r>
    <r>
      <rPr>
        <sz val="9"/>
        <color indexed="8"/>
        <rFont val="宋体"/>
        <family val="3"/>
        <charset val="134"/>
      </rPr>
      <t>年秋季学期学生人数，以招办人数为准</t>
    </r>
    <phoneticPr fontId="2" type="noConversion"/>
  </si>
  <si>
    <t>3、事业退休人员人数</t>
    <phoneticPr fontId="2" type="noConversion"/>
  </si>
  <si>
    <t>4、教育单位房屋（面积）</t>
    <phoneticPr fontId="2" type="noConversion"/>
  </si>
  <si>
    <t>佳佳资产系统</t>
    <phoneticPr fontId="2" type="noConversion"/>
  </si>
  <si>
    <t>5、教育单位绿化（面积）</t>
    <phoneticPr fontId="2" type="noConversion"/>
  </si>
  <si>
    <t>2024义务教育学生营养午餐补助调整表</t>
    <phoneticPr fontId="1" type="noConversion"/>
  </si>
  <si>
    <t>上半年金额</t>
  </si>
  <si>
    <t>二次分配</t>
    <phoneticPr fontId="1" type="noConversion"/>
  </si>
  <si>
    <t>一次分配</t>
    <phoneticPr fontId="1" type="noConversion"/>
  </si>
  <si>
    <t>2024年学前教育资助调整预算表</t>
    <phoneticPr fontId="1" type="noConversion"/>
  </si>
  <si>
    <t>2024年第一学期资助金额</t>
    <phoneticPr fontId="1" type="noConversion"/>
  </si>
  <si>
    <t>其中：中央专款</t>
    <phoneticPr fontId="1" type="noConversion"/>
  </si>
  <si>
    <t>其中：乡镇</t>
    <phoneticPr fontId="1" type="noConversion"/>
  </si>
  <si>
    <t>2023年第二学期资助金额</t>
    <phoneticPr fontId="1" type="noConversion"/>
  </si>
  <si>
    <t>第一次</t>
    <phoneticPr fontId="1" type="noConversion"/>
  </si>
  <si>
    <t>上海市闵行区康城幼儿园</t>
    <phoneticPr fontId="2" type="noConversion"/>
  </si>
  <si>
    <t>闵行区佳佳中心幼儿园</t>
    <phoneticPr fontId="2" type="noConversion"/>
  </si>
  <si>
    <t>莘庄小计</t>
    <phoneticPr fontId="1" type="noConversion"/>
  </si>
  <si>
    <t>上半年书费</t>
    <phoneticPr fontId="1" type="noConversion"/>
  </si>
  <si>
    <t>上半年薄册费</t>
    <phoneticPr fontId="1" type="noConversion"/>
  </si>
  <si>
    <t>2024年公办义务教育减免书薄费预算表（调整预算）</t>
    <phoneticPr fontId="2" type="noConversion"/>
  </si>
  <si>
    <t>上海市闵行区明星学校</t>
    <phoneticPr fontId="1" type="noConversion"/>
  </si>
  <si>
    <t>2023年第二学期各资助类型金额</t>
    <phoneticPr fontId="1" type="noConversion"/>
  </si>
  <si>
    <t>2024年第一学期各资助类型金额</t>
    <phoneticPr fontId="1" type="noConversion"/>
  </si>
  <si>
    <t>课外活动费</t>
  </si>
  <si>
    <t>校服费</t>
  </si>
  <si>
    <t>一次分配</t>
    <phoneticPr fontId="1" type="noConversion"/>
  </si>
  <si>
    <t>佳佳幼儿园（莘沥园）</t>
  </si>
  <si>
    <t>佳佳中心幼儿园2024年校舍维修项目</t>
  </si>
  <si>
    <t>佳佳幼儿园（联东园）</t>
  </si>
  <si>
    <t>康城幼儿园（总园）</t>
  </si>
  <si>
    <t>康城幼儿园2024年校舍维修项目</t>
  </si>
  <si>
    <t>康城幼儿园（新梅分园）</t>
  </si>
  <si>
    <t>镇属</t>
    <phoneticPr fontId="1" type="noConversion"/>
  </si>
  <si>
    <t>备注</t>
    <phoneticPr fontId="1" type="noConversion"/>
  </si>
  <si>
    <t>莘庄小计</t>
    <phoneticPr fontId="1" type="noConversion"/>
  </si>
  <si>
    <t>2024年校舍维修清算表</t>
    <phoneticPr fontId="1" type="noConversion"/>
  </si>
  <si>
    <t>总投资（元）
（财政批复）</t>
    <phoneticPr fontId="1" type="noConversion"/>
  </si>
  <si>
    <t>建安费（元）
（财政批复）</t>
    <phoneticPr fontId="1" type="noConversion"/>
  </si>
  <si>
    <t>2024年基本支出调整预算表（莘庄镇）</t>
    <phoneticPr fontId="2" type="noConversion"/>
  </si>
  <si>
    <t>残疾人就业保障金</t>
    <phoneticPr fontId="1" type="noConversion"/>
  </si>
  <si>
    <t>2024年教育统筹经费第二次分配明细表</t>
    <phoneticPr fontId="1" type="noConversion"/>
  </si>
  <si>
    <t>单位：元</t>
    <phoneticPr fontId="1" type="noConversion"/>
  </si>
  <si>
    <t>项目</t>
    <phoneticPr fontId="2" type="noConversion"/>
  </si>
  <si>
    <t>工资福利支出</t>
    <phoneticPr fontId="1" type="noConversion"/>
  </si>
  <si>
    <t>商品服务支出</t>
    <phoneticPr fontId="1" type="noConversion"/>
  </si>
  <si>
    <t>对个人和家庭的补助支出</t>
    <phoneticPr fontId="1" type="noConversion"/>
  </si>
  <si>
    <t>义务教育减免书簿费</t>
    <phoneticPr fontId="1" type="noConversion"/>
  </si>
  <si>
    <t>义务教育营养午餐</t>
    <phoneticPr fontId="1" type="noConversion"/>
  </si>
  <si>
    <t>义务教育学生资助</t>
    <phoneticPr fontId="1" type="noConversion"/>
  </si>
  <si>
    <t>公办学前教育资助</t>
    <phoneticPr fontId="1" type="noConversion"/>
  </si>
  <si>
    <t>校舍维修</t>
    <phoneticPr fontId="1" type="noConversion"/>
  </si>
  <si>
    <t>教育事业专项资金</t>
  </si>
  <si>
    <t>合计</t>
    <phoneticPr fontId="2" type="noConversion"/>
  </si>
  <si>
    <t>莘庄镇：</t>
    <phoneticPr fontId="2" type="noConversion"/>
  </si>
</sst>
</file>

<file path=xl/styles.xml><?xml version="1.0" encoding="utf-8"?>
<styleSheet xmlns="http://schemas.openxmlformats.org/spreadsheetml/2006/main">
  <numFmts count="10">
    <numFmt numFmtId="41" formatCode="_ * #,##0_ ;_ * \-#,##0_ ;_ * &quot;-&quot;_ ;_ @_ "/>
    <numFmt numFmtId="43" formatCode="_ * #,##0.00_ ;_ * \-#,##0.00_ ;_ * &quot;-&quot;??_ ;_ @_ "/>
    <numFmt numFmtId="176" formatCode="0.00_ "/>
    <numFmt numFmtId="177" formatCode="0.00_ ;\-0.00;;"/>
    <numFmt numFmtId="178" formatCode="0.00_);[Red]\(0.00\)"/>
    <numFmt numFmtId="179" formatCode="0.0000_ ;\-0.000000;;"/>
    <numFmt numFmtId="180" formatCode="[$-F800]dddd\,\ mmmm\ dd\,\ yyyy"/>
    <numFmt numFmtId="181" formatCode="0_ "/>
    <numFmt numFmtId="182" formatCode="0_);[Red]\(0\)"/>
    <numFmt numFmtId="183" formatCode="0.0_ "/>
  </numFmts>
  <fonts count="96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9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0"/>
      <name val="宋体"/>
      <family val="3"/>
      <charset val="134"/>
    </font>
    <font>
      <sz val="11"/>
      <color indexed="8"/>
      <name val="宋体"/>
      <family val="3"/>
      <charset val="134"/>
    </font>
    <font>
      <b/>
      <sz val="12"/>
      <name val="宋体"/>
      <family val="3"/>
      <charset val="134"/>
    </font>
    <font>
      <sz val="12"/>
      <name val="宋体"/>
      <family val="3"/>
      <charset val="134"/>
    </font>
    <font>
      <sz val="10"/>
      <color indexed="8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0"/>
      <name val="宋体"/>
      <family val="3"/>
      <charset val="134"/>
    </font>
    <font>
      <sz val="12"/>
      <name val="Times New Roman"/>
      <family val="1"/>
    </font>
    <font>
      <sz val="11"/>
      <color indexed="8"/>
      <name val="宋体"/>
      <family val="3"/>
      <charset val="134"/>
    </font>
    <font>
      <sz val="11"/>
      <color indexed="9"/>
      <name val="宋体"/>
      <family val="3"/>
      <charset val="134"/>
    </font>
    <font>
      <b/>
      <sz val="13"/>
      <color indexed="56"/>
      <name val="宋体"/>
      <family val="3"/>
      <charset val="134"/>
    </font>
    <font>
      <sz val="11"/>
      <color indexed="60"/>
      <name val="宋体"/>
      <family val="3"/>
      <charset val="134"/>
    </font>
    <font>
      <i/>
      <sz val="11"/>
      <color indexed="23"/>
      <name val="宋体"/>
      <family val="3"/>
      <charset val="134"/>
    </font>
    <font>
      <b/>
      <sz val="11"/>
      <color indexed="9"/>
      <name val="宋体"/>
      <family val="3"/>
      <charset val="134"/>
    </font>
    <font>
      <sz val="11"/>
      <color indexed="10"/>
      <name val="宋体"/>
      <family val="3"/>
      <charset val="134"/>
    </font>
    <font>
      <sz val="11"/>
      <color indexed="17"/>
      <name val="宋体"/>
      <family val="3"/>
      <charset val="134"/>
    </font>
    <font>
      <b/>
      <sz val="11"/>
      <color indexed="56"/>
      <name val="宋体"/>
      <family val="3"/>
      <charset val="134"/>
    </font>
    <font>
      <b/>
      <sz val="18"/>
      <color indexed="56"/>
      <name val="宋体"/>
      <family val="3"/>
      <charset val="134"/>
    </font>
    <font>
      <sz val="11"/>
      <color indexed="62"/>
      <name val="宋体"/>
      <family val="3"/>
      <charset val="134"/>
    </font>
    <font>
      <b/>
      <sz val="15"/>
      <color indexed="56"/>
      <name val="宋体"/>
      <family val="3"/>
      <charset val="134"/>
    </font>
    <font>
      <b/>
      <sz val="11"/>
      <color indexed="63"/>
      <name val="宋体"/>
      <family val="3"/>
      <charset val="134"/>
    </font>
    <font>
      <sz val="11"/>
      <color indexed="20"/>
      <name val="宋体"/>
      <family val="3"/>
      <charset val="134"/>
    </font>
    <font>
      <b/>
      <sz val="11"/>
      <color indexed="52"/>
      <name val="宋体"/>
      <family val="3"/>
      <charset val="134"/>
    </font>
    <font>
      <sz val="11"/>
      <color indexed="52"/>
      <name val="宋体"/>
      <family val="3"/>
      <charset val="134"/>
    </font>
    <font>
      <sz val="12"/>
      <color indexed="17"/>
      <name val="宋体"/>
      <family val="3"/>
      <charset val="134"/>
    </font>
    <font>
      <sz val="12"/>
      <color indexed="14"/>
      <name val="宋体"/>
      <family val="3"/>
      <charset val="134"/>
    </font>
    <font>
      <sz val="12"/>
      <color indexed="8"/>
      <name val="宋体"/>
      <family val="3"/>
      <charset val="134"/>
    </font>
    <font>
      <sz val="10"/>
      <name val="Arial"/>
      <family val="2"/>
    </font>
    <font>
      <sz val="11"/>
      <color indexed="14"/>
      <name val="宋体"/>
      <family val="3"/>
      <charset val="134"/>
    </font>
    <font>
      <u/>
      <sz val="14.4"/>
      <color indexed="12"/>
      <name val="宋体"/>
      <family val="3"/>
      <charset val="134"/>
    </font>
    <font>
      <sz val="11"/>
      <color indexed="8"/>
      <name val="等线"/>
      <family val="3"/>
      <charset val="134"/>
    </font>
    <font>
      <sz val="11"/>
      <color theme="1"/>
      <name val="等线"/>
      <family val="3"/>
      <charset val="134"/>
    </font>
    <font>
      <sz val="11"/>
      <color rgb="FF006100"/>
      <name val="宋体"/>
      <family val="3"/>
      <charset val="134"/>
      <scheme val="minor"/>
    </font>
    <font>
      <b/>
      <sz val="20"/>
      <color indexed="8"/>
      <name val="宋体"/>
      <family val="3"/>
      <charset val="134"/>
    </font>
    <font>
      <b/>
      <sz val="20"/>
      <name val="宋体"/>
      <family val="3"/>
      <charset val="134"/>
    </font>
    <font>
      <b/>
      <sz val="9"/>
      <color indexed="8"/>
      <name val="宋体"/>
      <family val="3"/>
      <charset val="134"/>
    </font>
    <font>
      <sz val="9"/>
      <color indexed="8"/>
      <name val="宋体"/>
      <family val="3"/>
      <charset val="134"/>
    </font>
    <font>
      <sz val="9"/>
      <color indexed="12"/>
      <name val="宋体"/>
      <family val="3"/>
      <charset val="134"/>
    </font>
    <font>
      <sz val="11"/>
      <name val="宋体"/>
      <family val="3"/>
      <charset val="134"/>
    </font>
    <font>
      <b/>
      <sz val="10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sz val="16"/>
      <color theme="1"/>
      <name val="宋体"/>
      <family val="3"/>
      <charset val="134"/>
      <scheme val="minor"/>
    </font>
    <font>
      <sz val="9"/>
      <color theme="1"/>
      <name val="宋体"/>
      <family val="3"/>
      <charset val="134"/>
      <scheme val="minor"/>
    </font>
    <font>
      <b/>
      <sz val="9"/>
      <color theme="1"/>
      <name val="宋体"/>
      <family val="3"/>
      <charset val="134"/>
      <scheme val="minor"/>
    </font>
    <font>
      <sz val="14"/>
      <name val="宋体"/>
      <family val="2"/>
      <charset val="134"/>
    </font>
    <font>
      <sz val="9"/>
      <name val="宋体"/>
      <family val="3"/>
      <charset val="134"/>
      <scheme val="minor"/>
    </font>
    <font>
      <b/>
      <sz val="14"/>
      <color indexed="8"/>
      <name val="微软雅黑"/>
      <family val="2"/>
      <charset val="134"/>
    </font>
    <font>
      <sz val="11"/>
      <color indexed="8"/>
      <name val="Arial"/>
      <family val="2"/>
    </font>
    <font>
      <sz val="10"/>
      <color indexed="8"/>
      <name val="Arial"/>
      <family val="2"/>
    </font>
    <font>
      <sz val="11"/>
      <name val="Arial"/>
      <family val="2"/>
    </font>
    <font>
      <sz val="10"/>
      <name val="微软雅黑"/>
      <family val="2"/>
      <charset val="134"/>
    </font>
    <font>
      <sz val="10"/>
      <color indexed="8"/>
      <name val="微软雅黑"/>
      <family val="2"/>
      <charset val="134"/>
    </font>
    <font>
      <sz val="11"/>
      <color theme="1"/>
      <name val="宋体"/>
      <family val="2"/>
      <charset val="134"/>
      <scheme val="minor"/>
    </font>
    <font>
      <sz val="14"/>
      <name val="宋体"/>
      <family val="3"/>
      <charset val="134"/>
    </font>
    <font>
      <b/>
      <sz val="14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1"/>
      <name val="宋体"/>
      <family val="2"/>
      <charset val="134"/>
      <scheme val="minor"/>
    </font>
    <font>
      <sz val="11"/>
      <name val="楷体_GB2312"/>
      <family val="3"/>
      <charset val="134"/>
    </font>
    <font>
      <sz val="10"/>
      <color theme="1"/>
      <name val="宋体"/>
      <family val="3"/>
      <charset val="134"/>
    </font>
    <font>
      <b/>
      <sz val="10"/>
      <name val="宋体"/>
      <family val="3"/>
      <charset val="134"/>
    </font>
    <font>
      <sz val="10.5"/>
      <color theme="1"/>
      <name val="宋体"/>
      <family val="3"/>
      <charset val="134"/>
    </font>
    <font>
      <sz val="9"/>
      <color theme="1"/>
      <name val="宋体"/>
      <family val="3"/>
      <charset val="134"/>
      <scheme val="major"/>
    </font>
    <font>
      <u/>
      <sz val="11"/>
      <color theme="10"/>
      <name val="宋体"/>
      <family val="3"/>
      <charset val="134"/>
    </font>
    <font>
      <sz val="16"/>
      <name val="宋体"/>
      <family val="2"/>
      <charset val="134"/>
      <scheme val="minor"/>
    </font>
    <font>
      <sz val="16"/>
      <name val="宋体"/>
      <family val="3"/>
      <charset val="134"/>
      <scheme val="minor"/>
    </font>
    <font>
      <sz val="9"/>
      <name val="黑体"/>
      <family val="3"/>
      <charset val="134"/>
    </font>
    <font>
      <sz val="9"/>
      <color theme="1"/>
      <name val="宋体"/>
      <family val="2"/>
      <charset val="134"/>
      <scheme val="minor"/>
    </font>
    <font>
      <sz val="9"/>
      <name val="宋体"/>
      <family val="2"/>
      <charset val="134"/>
    </font>
    <font>
      <sz val="14"/>
      <color indexed="8"/>
      <name val="宋体"/>
      <family val="3"/>
      <charset val="134"/>
      <scheme val="minor"/>
    </font>
    <font>
      <sz val="14"/>
      <color theme="1"/>
      <name val="宋体"/>
      <family val="3"/>
      <charset val="134"/>
      <scheme val="minor"/>
    </font>
    <font>
      <sz val="9"/>
      <color theme="1"/>
      <name val="宋体"/>
      <family val="3"/>
      <charset val="134"/>
    </font>
    <font>
      <sz val="9"/>
      <color theme="1"/>
      <name val="SimSun"/>
      <charset val="134"/>
    </font>
    <font>
      <b/>
      <sz val="9"/>
      <color theme="1"/>
      <name val="宋体"/>
      <family val="2"/>
      <charset val="134"/>
      <scheme val="minor"/>
    </font>
    <font>
      <b/>
      <sz val="16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b/>
      <sz val="14"/>
      <color indexed="8"/>
      <name val="宋体"/>
      <family val="3"/>
      <charset val="134"/>
    </font>
    <font>
      <b/>
      <sz val="14"/>
      <name val="宋体"/>
      <family val="3"/>
      <charset val="134"/>
    </font>
    <font>
      <b/>
      <sz val="14"/>
      <color theme="1"/>
      <name val="宋体"/>
      <family val="3"/>
      <charset val="134"/>
      <scheme val="minor"/>
    </font>
    <font>
      <sz val="20"/>
      <color theme="1"/>
      <name val="宋体"/>
      <family val="3"/>
      <charset val="134"/>
      <scheme val="minor"/>
    </font>
    <font>
      <sz val="10"/>
      <color rgb="FF000000"/>
      <name val="宋体"/>
      <family val="3"/>
      <charset val="134"/>
    </font>
    <font>
      <b/>
      <sz val="16"/>
      <name val="宋体"/>
      <family val="3"/>
      <charset val="134"/>
    </font>
    <font>
      <sz val="11"/>
      <color rgb="FF000000"/>
      <name val="宋体"/>
      <family val="3"/>
      <charset val="134"/>
    </font>
    <font>
      <b/>
      <sz val="10"/>
      <name val="宋体"/>
      <family val="2"/>
      <charset val="134"/>
    </font>
    <font>
      <sz val="9"/>
      <color indexed="10"/>
      <name val="宋体"/>
      <family val="3"/>
      <charset val="134"/>
    </font>
    <font>
      <sz val="9"/>
      <name val="楷体_GB2312"/>
      <family val="3"/>
      <charset val="134"/>
    </font>
    <font>
      <sz val="22"/>
      <color theme="1"/>
      <name val="宋体"/>
      <family val="3"/>
      <charset val="134"/>
      <scheme val="minor"/>
    </font>
    <font>
      <b/>
      <sz val="16"/>
      <name val="宋体"/>
      <family val="3"/>
      <charset val="134"/>
      <scheme val="major"/>
    </font>
    <font>
      <sz val="14"/>
      <name val="仿宋"/>
      <family val="3"/>
      <charset val="134"/>
    </font>
    <font>
      <sz val="14"/>
      <color theme="1"/>
      <name val="仿宋"/>
      <family val="3"/>
      <charset val="134"/>
    </font>
    <font>
      <sz val="12"/>
      <name val="仿宋"/>
      <family val="3"/>
      <charset val="134"/>
    </font>
    <font>
      <sz val="12"/>
      <color theme="1"/>
      <name val="仿宋"/>
      <family val="3"/>
      <charset val="134"/>
    </font>
  </fonts>
  <fills count="3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20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1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FF"/>
        <bgColor auto="1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auto="1"/>
      </top>
      <bottom/>
      <diagonal/>
    </border>
  </borders>
  <cellStyleXfs count="2014">
    <xf numFmtId="180" fontId="0" fillId="0" borderId="0">
      <alignment vertical="center"/>
    </xf>
    <xf numFmtId="180" fontId="4" fillId="0" borderId="0"/>
    <xf numFmtId="180" fontId="12" fillId="3" borderId="0" applyNumberFormat="0" applyBorder="0" applyAlignment="0" applyProtection="0">
      <alignment vertical="center"/>
    </xf>
    <xf numFmtId="180" fontId="12" fillId="3" borderId="0" applyNumberFormat="0" applyBorder="0" applyAlignment="0" applyProtection="0">
      <alignment vertical="center"/>
    </xf>
    <xf numFmtId="180" fontId="12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12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12" fillId="3" borderId="0">
      <alignment vertical="center"/>
    </xf>
    <xf numFmtId="180" fontId="12" fillId="3" borderId="0">
      <alignment vertical="center"/>
    </xf>
    <xf numFmtId="180" fontId="12" fillId="3" borderId="0">
      <alignment vertical="center"/>
    </xf>
    <xf numFmtId="180" fontId="5" fillId="3" borderId="0">
      <alignment vertical="center"/>
    </xf>
    <xf numFmtId="180" fontId="5" fillId="3" borderId="0">
      <alignment vertical="center"/>
    </xf>
    <xf numFmtId="180" fontId="12" fillId="3" borderId="0">
      <alignment vertical="center"/>
    </xf>
    <xf numFmtId="180" fontId="5" fillId="3" borderId="0">
      <alignment vertical="center"/>
    </xf>
    <xf numFmtId="180" fontId="5" fillId="3" borderId="0">
      <alignment vertical="center"/>
    </xf>
    <xf numFmtId="180" fontId="12" fillId="3" borderId="0" applyNumberFormat="0" applyBorder="0" applyAlignment="0" applyProtection="0">
      <alignment vertical="center"/>
    </xf>
    <xf numFmtId="180" fontId="12" fillId="3" borderId="0" applyNumberFormat="0" applyBorder="0" applyAlignment="0" applyProtection="0">
      <alignment vertical="center"/>
    </xf>
    <xf numFmtId="180" fontId="12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12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12" fillId="3" borderId="0" applyNumberFormat="0" applyBorder="0" applyAlignment="0" applyProtection="0">
      <alignment vertical="center"/>
    </xf>
    <xf numFmtId="180" fontId="12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12" fillId="3" borderId="0" applyNumberFormat="0" applyBorder="0" applyAlignment="0" applyProtection="0">
      <alignment vertical="center"/>
    </xf>
    <xf numFmtId="180" fontId="12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12" fillId="3" borderId="0" applyNumberFormat="0" applyBorder="0" applyAlignment="0" applyProtection="0">
      <alignment vertical="center"/>
    </xf>
    <xf numFmtId="180" fontId="12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12" fillId="4" borderId="0" applyNumberFormat="0" applyBorder="0" applyAlignment="0" applyProtection="0">
      <alignment vertical="center"/>
    </xf>
    <xf numFmtId="180" fontId="12" fillId="4" borderId="0" applyNumberFormat="0" applyBorder="0" applyAlignment="0" applyProtection="0">
      <alignment vertical="center"/>
    </xf>
    <xf numFmtId="180" fontId="12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12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12" fillId="4" borderId="0">
      <alignment vertical="center"/>
    </xf>
    <xf numFmtId="180" fontId="12" fillId="4" borderId="0">
      <alignment vertical="center"/>
    </xf>
    <xf numFmtId="180" fontId="12" fillId="4" borderId="0">
      <alignment vertical="center"/>
    </xf>
    <xf numFmtId="180" fontId="5" fillId="4" borderId="0">
      <alignment vertical="center"/>
    </xf>
    <xf numFmtId="180" fontId="5" fillId="4" borderId="0">
      <alignment vertical="center"/>
    </xf>
    <xf numFmtId="180" fontId="12" fillId="4" borderId="0">
      <alignment vertical="center"/>
    </xf>
    <xf numFmtId="180" fontId="5" fillId="4" borderId="0">
      <alignment vertical="center"/>
    </xf>
    <xf numFmtId="180" fontId="5" fillId="4" borderId="0">
      <alignment vertical="center"/>
    </xf>
    <xf numFmtId="180" fontId="12" fillId="4" borderId="0" applyNumberFormat="0" applyBorder="0" applyAlignment="0" applyProtection="0">
      <alignment vertical="center"/>
    </xf>
    <xf numFmtId="180" fontId="12" fillId="4" borderId="0" applyNumberFormat="0" applyBorder="0" applyAlignment="0" applyProtection="0">
      <alignment vertical="center"/>
    </xf>
    <xf numFmtId="180" fontId="12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12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12" fillId="4" borderId="0" applyNumberFormat="0" applyBorder="0" applyAlignment="0" applyProtection="0">
      <alignment vertical="center"/>
    </xf>
    <xf numFmtId="180" fontId="12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12" fillId="4" borderId="0" applyNumberFormat="0" applyBorder="0" applyAlignment="0" applyProtection="0">
      <alignment vertical="center"/>
    </xf>
    <xf numFmtId="180" fontId="12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12" fillId="4" borderId="0" applyNumberFormat="0" applyBorder="0" applyAlignment="0" applyProtection="0">
      <alignment vertical="center"/>
    </xf>
    <xf numFmtId="180" fontId="12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12" fillId="5" borderId="0" applyNumberFormat="0" applyBorder="0" applyAlignment="0" applyProtection="0">
      <alignment vertical="center"/>
    </xf>
    <xf numFmtId="180" fontId="12" fillId="5" borderId="0" applyNumberFormat="0" applyBorder="0" applyAlignment="0" applyProtection="0">
      <alignment vertical="center"/>
    </xf>
    <xf numFmtId="180" fontId="12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12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12" fillId="5" borderId="0">
      <alignment vertical="center"/>
    </xf>
    <xf numFmtId="180" fontId="12" fillId="5" borderId="0">
      <alignment vertical="center"/>
    </xf>
    <xf numFmtId="180" fontId="12" fillId="5" borderId="0">
      <alignment vertical="center"/>
    </xf>
    <xf numFmtId="180" fontId="5" fillId="5" borderId="0">
      <alignment vertical="center"/>
    </xf>
    <xf numFmtId="180" fontId="5" fillId="5" borderId="0">
      <alignment vertical="center"/>
    </xf>
    <xf numFmtId="180" fontId="12" fillId="5" borderId="0">
      <alignment vertical="center"/>
    </xf>
    <xf numFmtId="180" fontId="5" fillId="5" borderId="0">
      <alignment vertical="center"/>
    </xf>
    <xf numFmtId="180" fontId="5" fillId="5" borderId="0">
      <alignment vertical="center"/>
    </xf>
    <xf numFmtId="180" fontId="12" fillId="5" borderId="0" applyNumberFormat="0" applyBorder="0" applyAlignment="0" applyProtection="0">
      <alignment vertical="center"/>
    </xf>
    <xf numFmtId="180" fontId="12" fillId="5" borderId="0" applyNumberFormat="0" applyBorder="0" applyAlignment="0" applyProtection="0">
      <alignment vertical="center"/>
    </xf>
    <xf numFmtId="180" fontId="12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12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12" fillId="5" borderId="0" applyNumberFormat="0" applyBorder="0" applyAlignment="0" applyProtection="0">
      <alignment vertical="center"/>
    </xf>
    <xf numFmtId="180" fontId="12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12" fillId="5" borderId="0" applyNumberFormat="0" applyBorder="0" applyAlignment="0" applyProtection="0">
      <alignment vertical="center"/>
    </xf>
    <xf numFmtId="180" fontId="12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12" fillId="5" borderId="0" applyNumberFormat="0" applyBorder="0" applyAlignment="0" applyProtection="0">
      <alignment vertical="center"/>
    </xf>
    <xf numFmtId="180" fontId="12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6" borderId="0">
      <alignment vertical="center"/>
    </xf>
    <xf numFmtId="180" fontId="12" fillId="6" borderId="0">
      <alignment vertical="center"/>
    </xf>
    <xf numFmtId="180" fontId="12" fillId="6" borderId="0">
      <alignment vertical="center"/>
    </xf>
    <xf numFmtId="180" fontId="5" fillId="6" borderId="0">
      <alignment vertical="center"/>
    </xf>
    <xf numFmtId="180" fontId="5" fillId="6" borderId="0">
      <alignment vertical="center"/>
    </xf>
    <xf numFmtId="180" fontId="12" fillId="6" borderId="0">
      <alignment vertical="center"/>
    </xf>
    <xf numFmtId="180" fontId="5" fillId="6" borderId="0">
      <alignment vertical="center"/>
    </xf>
    <xf numFmtId="180" fontId="5" fillId="6" borderId="0">
      <alignment vertical="center"/>
    </xf>
    <xf numFmtId="180" fontId="12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7" borderId="0" applyNumberFormat="0" applyBorder="0" applyAlignment="0" applyProtection="0">
      <alignment vertical="center"/>
    </xf>
    <xf numFmtId="180" fontId="12" fillId="7" borderId="0" applyNumberFormat="0" applyBorder="0" applyAlignment="0" applyProtection="0">
      <alignment vertical="center"/>
    </xf>
    <xf numFmtId="180" fontId="12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12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12" fillId="7" borderId="0">
      <alignment vertical="center"/>
    </xf>
    <xf numFmtId="180" fontId="12" fillId="7" borderId="0">
      <alignment vertical="center"/>
    </xf>
    <xf numFmtId="180" fontId="12" fillId="7" borderId="0">
      <alignment vertical="center"/>
    </xf>
    <xf numFmtId="180" fontId="5" fillId="7" borderId="0">
      <alignment vertical="center"/>
    </xf>
    <xf numFmtId="180" fontId="5" fillId="7" borderId="0">
      <alignment vertical="center"/>
    </xf>
    <xf numFmtId="180" fontId="12" fillId="7" borderId="0">
      <alignment vertical="center"/>
    </xf>
    <xf numFmtId="180" fontId="5" fillId="7" borderId="0">
      <alignment vertical="center"/>
    </xf>
    <xf numFmtId="180" fontId="5" fillId="7" borderId="0">
      <alignment vertical="center"/>
    </xf>
    <xf numFmtId="180" fontId="12" fillId="7" borderId="0" applyNumberFormat="0" applyBorder="0" applyAlignment="0" applyProtection="0">
      <alignment vertical="center"/>
    </xf>
    <xf numFmtId="180" fontId="12" fillId="7" borderId="0" applyNumberFormat="0" applyBorder="0" applyAlignment="0" applyProtection="0">
      <alignment vertical="center"/>
    </xf>
    <xf numFmtId="180" fontId="12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12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12" fillId="7" borderId="0" applyNumberFormat="0" applyBorder="0" applyAlignment="0" applyProtection="0">
      <alignment vertical="center"/>
    </xf>
    <xf numFmtId="180" fontId="12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12" fillId="7" borderId="0" applyNumberFormat="0" applyBorder="0" applyAlignment="0" applyProtection="0">
      <alignment vertical="center"/>
    </xf>
    <xf numFmtId="180" fontId="12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12" fillId="7" borderId="0" applyNumberFormat="0" applyBorder="0" applyAlignment="0" applyProtection="0">
      <alignment vertical="center"/>
    </xf>
    <xf numFmtId="180" fontId="12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12" fillId="8" borderId="0" applyNumberFormat="0" applyBorder="0" applyAlignment="0" applyProtection="0">
      <alignment vertical="center"/>
    </xf>
    <xf numFmtId="180" fontId="12" fillId="8" borderId="0" applyNumberFormat="0" applyBorder="0" applyAlignment="0" applyProtection="0">
      <alignment vertical="center"/>
    </xf>
    <xf numFmtId="180" fontId="12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12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12" fillId="8" borderId="0">
      <alignment vertical="center"/>
    </xf>
    <xf numFmtId="180" fontId="12" fillId="8" borderId="0">
      <alignment vertical="center"/>
    </xf>
    <xf numFmtId="180" fontId="12" fillId="8" borderId="0">
      <alignment vertical="center"/>
    </xf>
    <xf numFmtId="180" fontId="5" fillId="8" borderId="0">
      <alignment vertical="center"/>
    </xf>
    <xf numFmtId="180" fontId="5" fillId="8" borderId="0">
      <alignment vertical="center"/>
    </xf>
    <xf numFmtId="180" fontId="12" fillId="8" borderId="0">
      <alignment vertical="center"/>
    </xf>
    <xf numFmtId="180" fontId="5" fillId="8" borderId="0">
      <alignment vertical="center"/>
    </xf>
    <xf numFmtId="180" fontId="5" fillId="8" borderId="0">
      <alignment vertical="center"/>
    </xf>
    <xf numFmtId="180" fontId="12" fillId="8" borderId="0" applyNumberFormat="0" applyBorder="0" applyAlignment="0" applyProtection="0">
      <alignment vertical="center"/>
    </xf>
    <xf numFmtId="180" fontId="12" fillId="8" borderId="0" applyNumberFormat="0" applyBorder="0" applyAlignment="0" applyProtection="0">
      <alignment vertical="center"/>
    </xf>
    <xf numFmtId="180" fontId="12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12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12" fillId="8" borderId="0" applyNumberFormat="0" applyBorder="0" applyAlignment="0" applyProtection="0">
      <alignment vertical="center"/>
    </xf>
    <xf numFmtId="180" fontId="12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12" fillId="8" borderId="0" applyNumberFormat="0" applyBorder="0" applyAlignment="0" applyProtection="0">
      <alignment vertical="center"/>
    </xf>
    <xf numFmtId="180" fontId="12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12" fillId="8" borderId="0" applyNumberFormat="0" applyBorder="0" applyAlignment="0" applyProtection="0">
      <alignment vertical="center"/>
    </xf>
    <xf numFmtId="180" fontId="12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12" fillId="3" borderId="0" applyNumberFormat="0" applyBorder="0" applyAlignment="0" applyProtection="0">
      <alignment vertical="center"/>
    </xf>
    <xf numFmtId="180" fontId="12" fillId="3" borderId="0" applyNumberFormat="0" applyBorder="0" applyAlignment="0" applyProtection="0">
      <alignment vertical="center"/>
    </xf>
    <xf numFmtId="180" fontId="12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12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12" fillId="3" borderId="0" applyNumberFormat="0" applyBorder="0" applyAlignment="0" applyProtection="0">
      <alignment vertical="center"/>
    </xf>
    <xf numFmtId="180" fontId="12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12" fillId="3" borderId="0" applyNumberFormat="0" applyBorder="0" applyAlignment="0" applyProtection="0">
      <alignment vertical="center"/>
    </xf>
    <xf numFmtId="180" fontId="12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12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12" fillId="4" borderId="0" applyNumberFormat="0" applyBorder="0" applyAlignment="0" applyProtection="0">
      <alignment vertical="center"/>
    </xf>
    <xf numFmtId="180" fontId="12" fillId="4" borderId="0" applyNumberFormat="0" applyBorder="0" applyAlignment="0" applyProtection="0">
      <alignment vertical="center"/>
    </xf>
    <xf numFmtId="180" fontId="12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12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12" fillId="4" borderId="0" applyNumberFormat="0" applyBorder="0" applyAlignment="0" applyProtection="0">
      <alignment vertical="center"/>
    </xf>
    <xf numFmtId="180" fontId="12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12" fillId="4" borderId="0" applyNumberFormat="0" applyBorder="0" applyAlignment="0" applyProtection="0">
      <alignment vertical="center"/>
    </xf>
    <xf numFmtId="180" fontId="12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12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12" fillId="5" borderId="0" applyNumberFormat="0" applyBorder="0" applyAlignment="0" applyProtection="0">
      <alignment vertical="center"/>
    </xf>
    <xf numFmtId="180" fontId="12" fillId="5" borderId="0" applyNumberFormat="0" applyBorder="0" applyAlignment="0" applyProtection="0">
      <alignment vertical="center"/>
    </xf>
    <xf numFmtId="180" fontId="12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12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12" fillId="5" borderId="0" applyNumberFormat="0" applyBorder="0" applyAlignment="0" applyProtection="0">
      <alignment vertical="center"/>
    </xf>
    <xf numFmtId="180" fontId="12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12" fillId="5" borderId="0" applyNumberFormat="0" applyBorder="0" applyAlignment="0" applyProtection="0">
      <alignment vertical="center"/>
    </xf>
    <xf numFmtId="180" fontId="12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12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7" borderId="0" applyNumberFormat="0" applyBorder="0" applyAlignment="0" applyProtection="0">
      <alignment vertical="center"/>
    </xf>
    <xf numFmtId="180" fontId="12" fillId="7" borderId="0" applyNumberFormat="0" applyBorder="0" applyAlignment="0" applyProtection="0">
      <alignment vertical="center"/>
    </xf>
    <xf numFmtId="180" fontId="12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12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12" fillId="7" borderId="0" applyNumberFormat="0" applyBorder="0" applyAlignment="0" applyProtection="0">
      <alignment vertical="center"/>
    </xf>
    <xf numFmtId="180" fontId="12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12" fillId="7" borderId="0" applyNumberFormat="0" applyBorder="0" applyAlignment="0" applyProtection="0">
      <alignment vertical="center"/>
    </xf>
    <xf numFmtId="180" fontId="12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12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12" fillId="8" borderId="0" applyNumberFormat="0" applyBorder="0" applyAlignment="0" applyProtection="0">
      <alignment vertical="center"/>
    </xf>
    <xf numFmtId="180" fontId="12" fillId="8" borderId="0" applyNumberFormat="0" applyBorder="0" applyAlignment="0" applyProtection="0">
      <alignment vertical="center"/>
    </xf>
    <xf numFmtId="180" fontId="12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12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12" fillId="8" borderId="0" applyNumberFormat="0" applyBorder="0" applyAlignment="0" applyProtection="0">
      <alignment vertical="center"/>
    </xf>
    <xf numFmtId="180" fontId="12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12" fillId="8" borderId="0" applyNumberFormat="0" applyBorder="0" applyAlignment="0" applyProtection="0">
      <alignment vertical="center"/>
    </xf>
    <xf numFmtId="180" fontId="12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12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9" borderId="0">
      <alignment vertical="center"/>
    </xf>
    <xf numFmtId="180" fontId="12" fillId="9" borderId="0">
      <alignment vertical="center"/>
    </xf>
    <xf numFmtId="180" fontId="12" fillId="9" borderId="0">
      <alignment vertical="center"/>
    </xf>
    <xf numFmtId="180" fontId="5" fillId="9" borderId="0">
      <alignment vertical="center"/>
    </xf>
    <xf numFmtId="180" fontId="5" fillId="9" borderId="0">
      <alignment vertical="center"/>
    </xf>
    <xf numFmtId="180" fontId="12" fillId="9" borderId="0">
      <alignment vertical="center"/>
    </xf>
    <xf numFmtId="180" fontId="5" fillId="9" borderId="0">
      <alignment vertical="center"/>
    </xf>
    <xf numFmtId="180" fontId="5" fillId="9" borderId="0">
      <alignment vertical="center"/>
    </xf>
    <xf numFmtId="180" fontId="12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10" borderId="0" applyNumberFormat="0" applyBorder="0" applyAlignment="0" applyProtection="0">
      <alignment vertical="center"/>
    </xf>
    <xf numFmtId="180" fontId="12" fillId="10" borderId="0" applyNumberFormat="0" applyBorder="0" applyAlignment="0" applyProtection="0">
      <alignment vertical="center"/>
    </xf>
    <xf numFmtId="180" fontId="12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12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12" fillId="10" borderId="0">
      <alignment vertical="center"/>
    </xf>
    <xf numFmtId="180" fontId="12" fillId="10" borderId="0">
      <alignment vertical="center"/>
    </xf>
    <xf numFmtId="180" fontId="12" fillId="10" borderId="0">
      <alignment vertical="center"/>
    </xf>
    <xf numFmtId="180" fontId="5" fillId="10" borderId="0">
      <alignment vertical="center"/>
    </xf>
    <xf numFmtId="180" fontId="5" fillId="10" borderId="0">
      <alignment vertical="center"/>
    </xf>
    <xf numFmtId="180" fontId="12" fillId="10" borderId="0">
      <alignment vertical="center"/>
    </xf>
    <xf numFmtId="180" fontId="5" fillId="10" borderId="0">
      <alignment vertical="center"/>
    </xf>
    <xf numFmtId="180" fontId="5" fillId="10" borderId="0">
      <alignment vertical="center"/>
    </xf>
    <xf numFmtId="180" fontId="12" fillId="10" borderId="0" applyNumberFormat="0" applyBorder="0" applyAlignment="0" applyProtection="0">
      <alignment vertical="center"/>
    </xf>
    <xf numFmtId="180" fontId="12" fillId="10" borderId="0" applyNumberFormat="0" applyBorder="0" applyAlignment="0" applyProtection="0">
      <alignment vertical="center"/>
    </xf>
    <xf numFmtId="180" fontId="12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12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12" fillId="10" borderId="0" applyNumberFormat="0" applyBorder="0" applyAlignment="0" applyProtection="0">
      <alignment vertical="center"/>
    </xf>
    <xf numFmtId="180" fontId="12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12" fillId="10" borderId="0" applyNumberFormat="0" applyBorder="0" applyAlignment="0" applyProtection="0">
      <alignment vertical="center"/>
    </xf>
    <xf numFmtId="180" fontId="12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12" fillId="10" borderId="0" applyNumberFormat="0" applyBorder="0" applyAlignment="0" applyProtection="0">
      <alignment vertical="center"/>
    </xf>
    <xf numFmtId="180" fontId="12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12" fillId="11" borderId="0" applyNumberFormat="0" applyBorder="0" applyAlignment="0" applyProtection="0">
      <alignment vertical="center"/>
    </xf>
    <xf numFmtId="180" fontId="12" fillId="11" borderId="0" applyNumberFormat="0" applyBorder="0" applyAlignment="0" applyProtection="0">
      <alignment vertical="center"/>
    </xf>
    <xf numFmtId="180" fontId="12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12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12" fillId="11" borderId="0">
      <alignment vertical="center"/>
    </xf>
    <xf numFmtId="180" fontId="12" fillId="11" borderId="0">
      <alignment vertical="center"/>
    </xf>
    <xf numFmtId="180" fontId="12" fillId="11" borderId="0">
      <alignment vertical="center"/>
    </xf>
    <xf numFmtId="180" fontId="5" fillId="11" borderId="0">
      <alignment vertical="center"/>
    </xf>
    <xf numFmtId="180" fontId="5" fillId="11" borderId="0">
      <alignment vertical="center"/>
    </xf>
    <xf numFmtId="180" fontId="12" fillId="11" borderId="0">
      <alignment vertical="center"/>
    </xf>
    <xf numFmtId="180" fontId="5" fillId="11" borderId="0">
      <alignment vertical="center"/>
    </xf>
    <xf numFmtId="180" fontId="5" fillId="11" borderId="0">
      <alignment vertical="center"/>
    </xf>
    <xf numFmtId="180" fontId="12" fillId="11" borderId="0" applyNumberFormat="0" applyBorder="0" applyAlignment="0" applyProtection="0">
      <alignment vertical="center"/>
    </xf>
    <xf numFmtId="180" fontId="12" fillId="11" borderId="0" applyNumberFormat="0" applyBorder="0" applyAlignment="0" applyProtection="0">
      <alignment vertical="center"/>
    </xf>
    <xf numFmtId="180" fontId="12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12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12" fillId="11" borderId="0" applyNumberFormat="0" applyBorder="0" applyAlignment="0" applyProtection="0">
      <alignment vertical="center"/>
    </xf>
    <xf numFmtId="180" fontId="12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12" fillId="11" borderId="0" applyNumberFormat="0" applyBorder="0" applyAlignment="0" applyProtection="0">
      <alignment vertical="center"/>
    </xf>
    <xf numFmtId="180" fontId="12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12" fillId="11" borderId="0" applyNumberFormat="0" applyBorder="0" applyAlignment="0" applyProtection="0">
      <alignment vertical="center"/>
    </xf>
    <xf numFmtId="180" fontId="12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6" borderId="0">
      <alignment vertical="center"/>
    </xf>
    <xf numFmtId="180" fontId="12" fillId="6" borderId="0">
      <alignment vertical="center"/>
    </xf>
    <xf numFmtId="180" fontId="12" fillId="6" borderId="0">
      <alignment vertical="center"/>
    </xf>
    <xf numFmtId="180" fontId="5" fillId="6" borderId="0">
      <alignment vertical="center"/>
    </xf>
    <xf numFmtId="180" fontId="5" fillId="6" borderId="0">
      <alignment vertical="center"/>
    </xf>
    <xf numFmtId="180" fontId="12" fillId="6" borderId="0">
      <alignment vertical="center"/>
    </xf>
    <xf numFmtId="180" fontId="5" fillId="6" borderId="0">
      <alignment vertical="center"/>
    </xf>
    <xf numFmtId="180" fontId="5" fillId="6" borderId="0">
      <alignment vertical="center"/>
    </xf>
    <xf numFmtId="180" fontId="12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9" borderId="0">
      <alignment vertical="center"/>
    </xf>
    <xf numFmtId="180" fontId="12" fillId="9" borderId="0">
      <alignment vertical="center"/>
    </xf>
    <xf numFmtId="180" fontId="12" fillId="9" borderId="0">
      <alignment vertical="center"/>
    </xf>
    <xf numFmtId="180" fontId="5" fillId="9" borderId="0">
      <alignment vertical="center"/>
    </xf>
    <xf numFmtId="180" fontId="5" fillId="9" borderId="0">
      <alignment vertical="center"/>
    </xf>
    <xf numFmtId="180" fontId="12" fillId="9" borderId="0">
      <alignment vertical="center"/>
    </xf>
    <xf numFmtId="180" fontId="5" fillId="9" borderId="0">
      <alignment vertical="center"/>
    </xf>
    <xf numFmtId="180" fontId="5" fillId="9" borderId="0">
      <alignment vertical="center"/>
    </xf>
    <xf numFmtId="180" fontId="12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12" borderId="0" applyNumberFormat="0" applyBorder="0" applyAlignment="0" applyProtection="0">
      <alignment vertical="center"/>
    </xf>
    <xf numFmtId="180" fontId="12" fillId="12" borderId="0" applyNumberFormat="0" applyBorder="0" applyAlignment="0" applyProtection="0">
      <alignment vertical="center"/>
    </xf>
    <xf numFmtId="180" fontId="12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12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12" fillId="12" borderId="0">
      <alignment vertical="center"/>
    </xf>
    <xf numFmtId="180" fontId="12" fillId="12" borderId="0">
      <alignment vertical="center"/>
    </xf>
    <xf numFmtId="180" fontId="12" fillId="12" borderId="0">
      <alignment vertical="center"/>
    </xf>
    <xf numFmtId="180" fontId="5" fillId="12" borderId="0">
      <alignment vertical="center"/>
    </xf>
    <xf numFmtId="180" fontId="5" fillId="12" borderId="0">
      <alignment vertical="center"/>
    </xf>
    <xf numFmtId="180" fontId="12" fillId="12" borderId="0">
      <alignment vertical="center"/>
    </xf>
    <xf numFmtId="180" fontId="5" fillId="12" borderId="0">
      <alignment vertical="center"/>
    </xf>
    <xf numFmtId="180" fontId="5" fillId="12" borderId="0">
      <alignment vertical="center"/>
    </xf>
    <xf numFmtId="180" fontId="12" fillId="12" borderId="0" applyNumberFormat="0" applyBorder="0" applyAlignment="0" applyProtection="0">
      <alignment vertical="center"/>
    </xf>
    <xf numFmtId="180" fontId="12" fillId="12" borderId="0" applyNumberFormat="0" applyBorder="0" applyAlignment="0" applyProtection="0">
      <alignment vertical="center"/>
    </xf>
    <xf numFmtId="180" fontId="12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12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12" fillId="12" borderId="0" applyNumberFormat="0" applyBorder="0" applyAlignment="0" applyProtection="0">
      <alignment vertical="center"/>
    </xf>
    <xf numFmtId="180" fontId="12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12" fillId="12" borderId="0" applyNumberFormat="0" applyBorder="0" applyAlignment="0" applyProtection="0">
      <alignment vertical="center"/>
    </xf>
    <xf numFmtId="180" fontId="12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12" fillId="12" borderId="0" applyNumberFormat="0" applyBorder="0" applyAlignment="0" applyProtection="0">
      <alignment vertical="center"/>
    </xf>
    <xf numFmtId="180" fontId="12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10" borderId="0" applyNumberFormat="0" applyBorder="0" applyAlignment="0" applyProtection="0">
      <alignment vertical="center"/>
    </xf>
    <xf numFmtId="180" fontId="12" fillId="10" borderId="0" applyNumberFormat="0" applyBorder="0" applyAlignment="0" applyProtection="0">
      <alignment vertical="center"/>
    </xf>
    <xf numFmtId="180" fontId="12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12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12" fillId="10" borderId="0" applyNumberFormat="0" applyBorder="0" applyAlignment="0" applyProtection="0">
      <alignment vertical="center"/>
    </xf>
    <xf numFmtId="180" fontId="12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12" fillId="10" borderId="0" applyNumberFormat="0" applyBorder="0" applyAlignment="0" applyProtection="0">
      <alignment vertical="center"/>
    </xf>
    <xf numFmtId="180" fontId="12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12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12" fillId="11" borderId="0" applyNumberFormat="0" applyBorder="0" applyAlignment="0" applyProtection="0">
      <alignment vertical="center"/>
    </xf>
    <xf numFmtId="180" fontId="12" fillId="11" borderId="0" applyNumberFormat="0" applyBorder="0" applyAlignment="0" applyProtection="0">
      <alignment vertical="center"/>
    </xf>
    <xf numFmtId="180" fontId="12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12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12" fillId="11" borderId="0" applyNumberFormat="0" applyBorder="0" applyAlignment="0" applyProtection="0">
      <alignment vertical="center"/>
    </xf>
    <xf numFmtId="180" fontId="12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12" fillId="11" borderId="0" applyNumberFormat="0" applyBorder="0" applyAlignment="0" applyProtection="0">
      <alignment vertical="center"/>
    </xf>
    <xf numFmtId="180" fontId="12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12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12" borderId="0" applyNumberFormat="0" applyBorder="0" applyAlignment="0" applyProtection="0">
      <alignment vertical="center"/>
    </xf>
    <xf numFmtId="180" fontId="12" fillId="12" borderId="0" applyNumberFormat="0" applyBorder="0" applyAlignment="0" applyProtection="0">
      <alignment vertical="center"/>
    </xf>
    <xf numFmtId="180" fontId="12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12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12" fillId="12" borderId="0" applyNumberFormat="0" applyBorder="0" applyAlignment="0" applyProtection="0">
      <alignment vertical="center"/>
    </xf>
    <xf numFmtId="180" fontId="12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12" fillId="12" borderId="0" applyNumberFormat="0" applyBorder="0" applyAlignment="0" applyProtection="0">
      <alignment vertical="center"/>
    </xf>
    <xf numFmtId="180" fontId="12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12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3" borderId="0">
      <alignment vertical="center"/>
    </xf>
    <xf numFmtId="180" fontId="13" fillId="13" borderId="0">
      <alignment vertical="center"/>
    </xf>
    <xf numFmtId="180" fontId="13" fillId="13" borderId="0">
      <alignment vertical="center"/>
    </xf>
    <xf numFmtId="180" fontId="13" fillId="13" borderId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0" borderId="0">
      <alignment vertical="center"/>
    </xf>
    <xf numFmtId="180" fontId="13" fillId="10" borderId="0">
      <alignment vertical="center"/>
    </xf>
    <xf numFmtId="180" fontId="13" fillId="10" borderId="0">
      <alignment vertical="center"/>
    </xf>
    <xf numFmtId="180" fontId="13" fillId="10" borderId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1" borderId="0">
      <alignment vertical="center"/>
    </xf>
    <xf numFmtId="180" fontId="13" fillId="11" borderId="0">
      <alignment vertical="center"/>
    </xf>
    <xf numFmtId="180" fontId="13" fillId="11" borderId="0">
      <alignment vertical="center"/>
    </xf>
    <xf numFmtId="180" fontId="13" fillId="11" borderId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5" borderId="0">
      <alignment vertical="center"/>
    </xf>
    <xf numFmtId="180" fontId="13" fillId="15" borderId="0">
      <alignment vertical="center"/>
    </xf>
    <xf numFmtId="180" fontId="13" fillId="15" borderId="0">
      <alignment vertical="center"/>
    </xf>
    <xf numFmtId="180" fontId="13" fillId="15" borderId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5" borderId="0">
      <alignment vertical="center"/>
    </xf>
    <xf numFmtId="180" fontId="13" fillId="5" borderId="0">
      <alignment vertical="center"/>
    </xf>
    <xf numFmtId="180" fontId="13" fillId="5" borderId="0">
      <alignment vertical="center"/>
    </xf>
    <xf numFmtId="180" fontId="13" fillId="5" borderId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7" borderId="0" applyNumberFormat="0" applyBorder="0" applyAlignment="0" applyProtection="0">
      <alignment vertical="center"/>
    </xf>
    <xf numFmtId="180" fontId="13" fillId="17" borderId="0" applyNumberFormat="0" applyBorder="0" applyAlignment="0" applyProtection="0">
      <alignment vertical="center"/>
    </xf>
    <xf numFmtId="180" fontId="13" fillId="17" borderId="0" applyNumberFormat="0" applyBorder="0" applyAlignment="0" applyProtection="0">
      <alignment vertical="center"/>
    </xf>
    <xf numFmtId="180" fontId="13" fillId="17" borderId="0" applyNumberFormat="0" applyBorder="0" applyAlignment="0" applyProtection="0">
      <alignment vertical="center"/>
    </xf>
    <xf numFmtId="180" fontId="13" fillId="17" borderId="0">
      <alignment vertical="center"/>
    </xf>
    <xf numFmtId="180" fontId="13" fillId="17" borderId="0">
      <alignment vertical="center"/>
    </xf>
    <xf numFmtId="180" fontId="13" fillId="17" borderId="0">
      <alignment vertical="center"/>
    </xf>
    <xf numFmtId="180" fontId="13" fillId="17" borderId="0">
      <alignment vertical="center"/>
    </xf>
    <xf numFmtId="180" fontId="13" fillId="17" borderId="0" applyNumberFormat="0" applyBorder="0" applyAlignment="0" applyProtection="0">
      <alignment vertical="center"/>
    </xf>
    <xf numFmtId="180" fontId="13" fillId="17" borderId="0" applyNumberFormat="0" applyBorder="0" applyAlignment="0" applyProtection="0">
      <alignment vertical="center"/>
    </xf>
    <xf numFmtId="180" fontId="13" fillId="17" borderId="0" applyNumberFormat="0" applyBorder="0" applyAlignment="0" applyProtection="0">
      <alignment vertical="center"/>
    </xf>
    <xf numFmtId="180" fontId="13" fillId="17" borderId="0" applyNumberFormat="0" applyBorder="0" applyAlignment="0" applyProtection="0">
      <alignment vertical="center"/>
    </xf>
    <xf numFmtId="180" fontId="13" fillId="17" borderId="0" applyNumberFormat="0" applyBorder="0" applyAlignment="0" applyProtection="0">
      <alignment vertical="center"/>
    </xf>
    <xf numFmtId="180" fontId="13" fillId="17" borderId="0" applyNumberFormat="0" applyBorder="0" applyAlignment="0" applyProtection="0">
      <alignment vertical="center"/>
    </xf>
    <xf numFmtId="180" fontId="13" fillId="17" borderId="0" applyNumberFormat="0" applyBorder="0" applyAlignment="0" applyProtection="0">
      <alignment vertical="center"/>
    </xf>
    <xf numFmtId="180" fontId="13" fillId="17" borderId="0" applyNumberFormat="0" applyBorder="0" applyAlignment="0" applyProtection="0">
      <alignment vertical="center"/>
    </xf>
    <xf numFmtId="180" fontId="13" fillId="17" borderId="0" applyNumberFormat="0" applyBorder="0" applyAlignment="0" applyProtection="0">
      <alignment vertical="center"/>
    </xf>
    <xf numFmtId="180" fontId="13" fillId="17" borderId="0" applyNumberFormat="0" applyBorder="0" applyAlignment="0" applyProtection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7" borderId="0" applyNumberFormat="0" applyBorder="0" applyAlignment="0" applyProtection="0">
      <alignment vertical="center"/>
    </xf>
    <xf numFmtId="180" fontId="13" fillId="17" borderId="0" applyNumberFormat="0" applyBorder="0" applyAlignment="0" applyProtection="0">
      <alignment vertical="center"/>
    </xf>
    <xf numFmtId="180" fontId="13" fillId="17" borderId="0" applyNumberFormat="0" applyBorder="0" applyAlignment="0" applyProtection="0">
      <alignment vertical="center"/>
    </xf>
    <xf numFmtId="180" fontId="13" fillId="17" borderId="0" applyNumberFormat="0" applyBorder="0" applyAlignment="0" applyProtection="0">
      <alignment vertical="center"/>
    </xf>
    <xf numFmtId="180" fontId="13" fillId="17" borderId="0" applyNumberFormat="0" applyBorder="0" applyAlignment="0" applyProtection="0">
      <alignment vertical="center"/>
    </xf>
    <xf numFmtId="180" fontId="13" fillId="17" borderId="0" applyNumberFormat="0" applyBorder="0" applyAlignment="0" applyProtection="0">
      <alignment vertical="center"/>
    </xf>
    <xf numFmtId="180" fontId="13" fillId="17" borderId="0" applyNumberFormat="0" applyBorder="0" applyAlignment="0" applyProtection="0">
      <alignment vertical="center"/>
    </xf>
    <xf numFmtId="180" fontId="13" fillId="17" borderId="0" applyNumberFormat="0" applyBorder="0" applyAlignment="0" applyProtection="0">
      <alignment vertical="center"/>
    </xf>
    <xf numFmtId="180" fontId="13" fillId="17" borderId="0" applyNumberFormat="0" applyBorder="0" applyAlignment="0" applyProtection="0">
      <alignment vertical="center"/>
    </xf>
    <xf numFmtId="180" fontId="6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12" fillId="0" borderId="0" applyFon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12" fillId="0" borderId="0" applyFon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180" fontId="23" fillId="0" borderId="2" applyNumberFormat="0" applyFill="0" applyAlignment="0" applyProtection="0">
      <alignment vertical="center"/>
    </xf>
    <xf numFmtId="180" fontId="23" fillId="0" borderId="2" applyNumberFormat="0" applyFill="0" applyAlignment="0" applyProtection="0">
      <alignment vertical="center"/>
    </xf>
    <xf numFmtId="180" fontId="23" fillId="0" borderId="2" applyNumberFormat="0" applyFill="0" applyAlignment="0" applyProtection="0">
      <alignment vertical="center"/>
    </xf>
    <xf numFmtId="180" fontId="23" fillId="0" borderId="2" applyNumberFormat="0" applyFill="0" applyAlignment="0" applyProtection="0">
      <alignment vertical="center"/>
    </xf>
    <xf numFmtId="180" fontId="23" fillId="0" borderId="2">
      <alignment vertical="center"/>
    </xf>
    <xf numFmtId="180" fontId="23" fillId="0" borderId="2">
      <alignment vertical="center"/>
    </xf>
    <xf numFmtId="180" fontId="23" fillId="0" borderId="2">
      <alignment vertical="center"/>
    </xf>
    <xf numFmtId="180" fontId="23" fillId="0" borderId="2">
      <alignment vertical="center"/>
    </xf>
    <xf numFmtId="180" fontId="23" fillId="0" borderId="2" applyNumberFormat="0" applyFill="0" applyAlignment="0" applyProtection="0">
      <alignment vertical="center"/>
    </xf>
    <xf numFmtId="180" fontId="23" fillId="0" borderId="2" applyNumberFormat="0" applyFill="0" applyAlignment="0" applyProtection="0">
      <alignment vertical="center"/>
    </xf>
    <xf numFmtId="180" fontId="23" fillId="0" borderId="2" applyNumberFormat="0" applyFill="0" applyAlignment="0" applyProtection="0">
      <alignment vertical="center"/>
    </xf>
    <xf numFmtId="180" fontId="23" fillId="0" borderId="2" applyNumberFormat="0" applyFill="0" applyAlignment="0" applyProtection="0">
      <alignment vertical="center"/>
    </xf>
    <xf numFmtId="180" fontId="23" fillId="0" borderId="2" applyNumberFormat="0" applyFill="0" applyAlignment="0" applyProtection="0">
      <alignment vertical="center"/>
    </xf>
    <xf numFmtId="180" fontId="23" fillId="0" borderId="2" applyNumberFormat="0" applyFill="0" applyAlignment="0" applyProtection="0">
      <alignment vertical="center"/>
    </xf>
    <xf numFmtId="180" fontId="23" fillId="0" borderId="2" applyNumberFormat="0" applyFill="0" applyAlignment="0" applyProtection="0">
      <alignment vertical="center"/>
    </xf>
    <xf numFmtId="180" fontId="23" fillId="0" borderId="2" applyNumberFormat="0" applyFill="0" applyAlignment="0" applyProtection="0">
      <alignment vertical="center"/>
    </xf>
    <xf numFmtId="180" fontId="14" fillId="0" borderId="3" applyNumberFormat="0" applyFill="0" applyAlignment="0" applyProtection="0">
      <alignment vertical="center"/>
    </xf>
    <xf numFmtId="180" fontId="14" fillId="0" borderId="3" applyNumberFormat="0" applyFill="0" applyAlignment="0" applyProtection="0">
      <alignment vertical="center"/>
    </xf>
    <xf numFmtId="180" fontId="14" fillId="0" borderId="3" applyNumberFormat="0" applyFill="0" applyAlignment="0" applyProtection="0">
      <alignment vertical="center"/>
    </xf>
    <xf numFmtId="180" fontId="14" fillId="0" borderId="3" applyNumberFormat="0" applyFill="0" applyAlignment="0" applyProtection="0">
      <alignment vertical="center"/>
    </xf>
    <xf numFmtId="180" fontId="14" fillId="0" borderId="3">
      <alignment vertical="center"/>
    </xf>
    <xf numFmtId="180" fontId="14" fillId="0" borderId="3">
      <alignment vertical="center"/>
    </xf>
    <xf numFmtId="180" fontId="14" fillId="0" borderId="3">
      <alignment vertical="center"/>
    </xf>
    <xf numFmtId="180" fontId="14" fillId="0" borderId="3">
      <alignment vertical="center"/>
    </xf>
    <xf numFmtId="180" fontId="14" fillId="0" borderId="3" applyNumberFormat="0" applyFill="0" applyAlignment="0" applyProtection="0">
      <alignment vertical="center"/>
    </xf>
    <xf numFmtId="180" fontId="14" fillId="0" borderId="3" applyNumberFormat="0" applyFill="0" applyAlignment="0" applyProtection="0">
      <alignment vertical="center"/>
    </xf>
    <xf numFmtId="180" fontId="14" fillId="0" borderId="3" applyNumberFormat="0" applyFill="0" applyAlignment="0" applyProtection="0">
      <alignment vertical="center"/>
    </xf>
    <xf numFmtId="180" fontId="14" fillId="0" borderId="3" applyNumberFormat="0" applyFill="0" applyAlignment="0" applyProtection="0">
      <alignment vertical="center"/>
    </xf>
    <xf numFmtId="180" fontId="14" fillId="0" borderId="3" applyNumberFormat="0" applyFill="0" applyAlignment="0" applyProtection="0">
      <alignment vertical="center"/>
    </xf>
    <xf numFmtId="180" fontId="14" fillId="0" borderId="3" applyNumberFormat="0" applyFill="0" applyAlignment="0" applyProtection="0">
      <alignment vertical="center"/>
    </xf>
    <xf numFmtId="180" fontId="14" fillId="0" borderId="3" applyNumberFormat="0" applyFill="0" applyAlignment="0" applyProtection="0">
      <alignment vertical="center"/>
    </xf>
    <xf numFmtId="180" fontId="14" fillId="0" borderId="3" applyNumberFormat="0" applyFill="0" applyAlignment="0" applyProtection="0">
      <alignment vertical="center"/>
    </xf>
    <xf numFmtId="180" fontId="20" fillId="0" borderId="4" applyNumberFormat="0" applyFill="0" applyAlignment="0" applyProtection="0">
      <alignment vertical="center"/>
    </xf>
    <xf numFmtId="180" fontId="20" fillId="0" borderId="4" applyNumberFormat="0" applyFill="0" applyAlignment="0" applyProtection="0">
      <alignment vertical="center"/>
    </xf>
    <xf numFmtId="180" fontId="20" fillId="0" borderId="4" applyNumberFormat="0" applyFill="0" applyAlignment="0" applyProtection="0">
      <alignment vertical="center"/>
    </xf>
    <xf numFmtId="180" fontId="20" fillId="0" borderId="4" applyNumberFormat="0" applyFill="0" applyAlignment="0" applyProtection="0">
      <alignment vertical="center"/>
    </xf>
    <xf numFmtId="180" fontId="20" fillId="0" borderId="4">
      <alignment vertical="center"/>
    </xf>
    <xf numFmtId="180" fontId="20" fillId="0" borderId="4">
      <alignment vertical="center"/>
    </xf>
    <xf numFmtId="180" fontId="20" fillId="0" borderId="4">
      <alignment vertical="center"/>
    </xf>
    <xf numFmtId="180" fontId="20" fillId="0" borderId="4">
      <alignment vertical="center"/>
    </xf>
    <xf numFmtId="180" fontId="20" fillId="0" borderId="4" applyNumberFormat="0" applyFill="0" applyAlignment="0" applyProtection="0">
      <alignment vertical="center"/>
    </xf>
    <xf numFmtId="180" fontId="20" fillId="0" borderId="4" applyNumberFormat="0" applyFill="0" applyAlignment="0" applyProtection="0">
      <alignment vertical="center"/>
    </xf>
    <xf numFmtId="180" fontId="20" fillId="0" borderId="4" applyNumberFormat="0" applyFill="0" applyAlignment="0" applyProtection="0">
      <alignment vertical="center"/>
    </xf>
    <xf numFmtId="180" fontId="20" fillId="0" borderId="4" applyNumberFormat="0" applyFill="0" applyAlignment="0" applyProtection="0">
      <alignment vertical="center"/>
    </xf>
    <xf numFmtId="180" fontId="20" fillId="0" borderId="4" applyNumberFormat="0" applyFill="0" applyAlignment="0" applyProtection="0">
      <alignment vertical="center"/>
    </xf>
    <xf numFmtId="180" fontId="20" fillId="0" borderId="4" applyNumberFormat="0" applyFill="0" applyAlignment="0" applyProtection="0">
      <alignment vertical="center"/>
    </xf>
    <xf numFmtId="180" fontId="20" fillId="0" borderId="4" applyNumberFormat="0" applyFill="0" applyAlignment="0" applyProtection="0">
      <alignment vertical="center"/>
    </xf>
    <xf numFmtId="180" fontId="20" fillId="0" borderId="4" applyNumberFormat="0" applyFill="0" applyAlignment="0" applyProtection="0">
      <alignment vertical="center"/>
    </xf>
    <xf numFmtId="180" fontId="20" fillId="0" borderId="0" applyNumberFormat="0" applyFill="0" applyBorder="0" applyAlignment="0" applyProtection="0">
      <alignment vertical="center"/>
    </xf>
    <xf numFmtId="180" fontId="20" fillId="0" borderId="0" applyNumberFormat="0" applyFill="0" applyBorder="0" applyAlignment="0" applyProtection="0">
      <alignment vertical="center"/>
    </xf>
    <xf numFmtId="180" fontId="20" fillId="0" borderId="0" applyNumberFormat="0" applyFill="0" applyBorder="0" applyAlignment="0" applyProtection="0">
      <alignment vertical="center"/>
    </xf>
    <xf numFmtId="180" fontId="20" fillId="0" borderId="0" applyNumberFormat="0" applyFill="0" applyBorder="0" applyAlignment="0" applyProtection="0">
      <alignment vertical="center"/>
    </xf>
    <xf numFmtId="180" fontId="20" fillId="0" borderId="0">
      <alignment vertical="center"/>
    </xf>
    <xf numFmtId="180" fontId="20" fillId="0" borderId="0">
      <alignment vertical="center"/>
    </xf>
    <xf numFmtId="180" fontId="20" fillId="0" borderId="0">
      <alignment vertical="center"/>
    </xf>
    <xf numFmtId="180" fontId="20" fillId="0" borderId="0">
      <alignment vertical="center"/>
    </xf>
    <xf numFmtId="180" fontId="20" fillId="0" borderId="0" applyNumberFormat="0" applyFill="0" applyBorder="0" applyAlignment="0" applyProtection="0">
      <alignment vertical="center"/>
    </xf>
    <xf numFmtId="180" fontId="20" fillId="0" borderId="0" applyNumberFormat="0" applyFill="0" applyBorder="0" applyAlignment="0" applyProtection="0">
      <alignment vertical="center"/>
    </xf>
    <xf numFmtId="180" fontId="20" fillId="0" borderId="0" applyNumberFormat="0" applyFill="0" applyBorder="0" applyAlignment="0" applyProtection="0">
      <alignment vertical="center"/>
    </xf>
    <xf numFmtId="180" fontId="20" fillId="0" borderId="0" applyNumberFormat="0" applyFill="0" applyBorder="0" applyAlignment="0" applyProtection="0">
      <alignment vertical="center"/>
    </xf>
    <xf numFmtId="180" fontId="20" fillId="0" borderId="0" applyNumberFormat="0" applyFill="0" applyBorder="0" applyAlignment="0" applyProtection="0">
      <alignment vertical="center"/>
    </xf>
    <xf numFmtId="180" fontId="20" fillId="0" borderId="0" applyNumberFormat="0" applyFill="0" applyBorder="0" applyAlignment="0" applyProtection="0">
      <alignment vertical="center"/>
    </xf>
    <xf numFmtId="180" fontId="20" fillId="0" borderId="0" applyNumberFormat="0" applyFill="0" applyBorder="0" applyAlignment="0" applyProtection="0">
      <alignment vertical="center"/>
    </xf>
    <xf numFmtId="180" fontId="20" fillId="0" borderId="0" applyNumberFormat="0" applyFill="0" applyBorder="0" applyAlignment="0" applyProtection="0">
      <alignment vertical="center"/>
    </xf>
    <xf numFmtId="180" fontId="21" fillId="0" borderId="0" applyNumberFormat="0" applyFill="0" applyBorder="0" applyAlignment="0" applyProtection="0">
      <alignment vertical="center"/>
    </xf>
    <xf numFmtId="180" fontId="21" fillId="0" borderId="0" applyNumberFormat="0" applyFill="0" applyBorder="0" applyAlignment="0" applyProtection="0">
      <alignment vertical="center"/>
    </xf>
    <xf numFmtId="180" fontId="21" fillId="0" borderId="0" applyNumberFormat="0" applyFill="0" applyBorder="0" applyAlignment="0" applyProtection="0">
      <alignment vertical="center"/>
    </xf>
    <xf numFmtId="180" fontId="21" fillId="0" borderId="0" applyNumberFormat="0" applyFill="0" applyBorder="0" applyAlignment="0" applyProtection="0">
      <alignment vertical="center"/>
    </xf>
    <xf numFmtId="180" fontId="21" fillId="0" borderId="0">
      <alignment vertical="center"/>
    </xf>
    <xf numFmtId="180" fontId="21" fillId="0" borderId="0">
      <alignment vertical="center"/>
    </xf>
    <xf numFmtId="180" fontId="21" fillId="0" borderId="0">
      <alignment vertical="center"/>
    </xf>
    <xf numFmtId="180" fontId="21" fillId="0" borderId="0">
      <alignment vertical="center"/>
    </xf>
    <xf numFmtId="180" fontId="21" fillId="0" borderId="0" applyNumberFormat="0" applyFill="0" applyBorder="0" applyAlignment="0" applyProtection="0">
      <alignment vertical="center"/>
    </xf>
    <xf numFmtId="180" fontId="21" fillId="0" borderId="0" applyNumberFormat="0" applyFill="0" applyBorder="0" applyAlignment="0" applyProtection="0">
      <alignment vertical="center"/>
    </xf>
    <xf numFmtId="180" fontId="21" fillId="0" borderId="0" applyNumberFormat="0" applyFill="0" applyBorder="0" applyAlignment="0" applyProtection="0">
      <alignment vertical="center"/>
    </xf>
    <xf numFmtId="180" fontId="21" fillId="0" borderId="0" applyNumberFormat="0" applyFill="0" applyBorder="0" applyAlignment="0" applyProtection="0">
      <alignment vertical="center"/>
    </xf>
    <xf numFmtId="180" fontId="21" fillId="0" borderId="0" applyNumberFormat="0" applyFill="0" applyBorder="0" applyAlignment="0" applyProtection="0">
      <alignment vertical="center"/>
    </xf>
    <xf numFmtId="180" fontId="21" fillId="0" borderId="0" applyNumberFormat="0" applyFill="0" applyBorder="0" applyAlignment="0" applyProtection="0">
      <alignment vertical="center"/>
    </xf>
    <xf numFmtId="180" fontId="21" fillId="0" borderId="0" applyNumberFormat="0" applyFill="0" applyBorder="0" applyAlignment="0" applyProtection="0">
      <alignment vertical="center"/>
    </xf>
    <xf numFmtId="180" fontId="21" fillId="0" borderId="0" applyNumberFormat="0" applyFill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>
      <alignment vertical="center"/>
    </xf>
    <xf numFmtId="180" fontId="25" fillId="4" borderId="0">
      <alignment vertical="center"/>
    </xf>
    <xf numFmtId="180" fontId="25" fillId="4" borderId="0">
      <alignment vertical="center"/>
    </xf>
    <xf numFmtId="180" fontId="25" fillId="4" borderId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9" fillId="4" borderId="0" applyNumberFormat="0" applyBorder="0" applyAlignment="0" applyProtection="0"/>
    <xf numFmtId="180" fontId="29" fillId="4" borderId="0" applyNumberFormat="0" applyBorder="0" applyAlignment="0" applyProtection="0"/>
    <xf numFmtId="180" fontId="29" fillId="4" borderId="0" applyNumberFormat="0" applyBorder="0" applyAlignment="0" applyProtection="0"/>
    <xf numFmtId="180" fontId="29" fillId="4" borderId="0" applyNumberFormat="0" applyBorder="0" applyAlignment="0" applyProtection="0"/>
    <xf numFmtId="180" fontId="29" fillId="4" borderId="0" applyNumberFormat="0" applyBorder="0" applyAlignment="0" applyProtection="0"/>
    <xf numFmtId="180" fontId="29" fillId="4" borderId="0" applyNumberFormat="0" applyBorder="0" applyAlignment="0" applyProtection="0"/>
    <xf numFmtId="180" fontId="29" fillId="4" borderId="0" applyNumberFormat="0" applyBorder="0" applyAlignment="0" applyProtection="0"/>
    <xf numFmtId="180" fontId="29" fillId="4" borderId="0" applyNumberFormat="0" applyBorder="0" applyAlignment="0" applyProtection="0"/>
    <xf numFmtId="180" fontId="29" fillId="4" borderId="0" applyNumberFormat="0" applyBorder="0" applyAlignment="0" applyProtection="0"/>
    <xf numFmtId="180" fontId="29" fillId="4" borderId="0" applyNumberFormat="0" applyBorder="0" applyAlignment="0" applyProtection="0"/>
    <xf numFmtId="180" fontId="29" fillId="4" borderId="0" applyNumberFormat="0" applyBorder="0" applyAlignment="0" applyProtection="0"/>
    <xf numFmtId="180" fontId="29" fillId="4" borderId="0" applyNumberFormat="0" applyBorder="0" applyAlignment="0" applyProtection="0"/>
    <xf numFmtId="180" fontId="29" fillId="4" borderId="0" applyNumberFormat="0" applyBorder="0" applyAlignment="0" applyProtection="0"/>
    <xf numFmtId="180" fontId="29" fillId="4" borderId="0" applyNumberFormat="0" applyBorder="0" applyAlignment="0" applyProtection="0"/>
    <xf numFmtId="180" fontId="29" fillId="4" borderId="0" applyNumberFormat="0" applyBorder="0" applyAlignment="0" applyProtection="0"/>
    <xf numFmtId="180" fontId="29" fillId="4" borderId="0" applyNumberFormat="0" applyBorder="0" applyAlignment="0" applyProtection="0"/>
    <xf numFmtId="180" fontId="29" fillId="4" borderId="0" applyNumberFormat="0" applyBorder="0" applyAlignment="0" applyProtection="0"/>
    <xf numFmtId="180" fontId="29" fillId="4" borderId="0" applyNumberFormat="0" applyBorder="0" applyAlignment="0" applyProtection="0"/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32" fillId="4" borderId="0" applyNumberFormat="0" applyBorder="0" applyAlignment="0" applyProtection="0">
      <alignment vertical="center"/>
    </xf>
    <xf numFmtId="180" fontId="32" fillId="4" borderId="0" applyNumberFormat="0" applyBorder="0" applyAlignment="0" applyProtection="0">
      <alignment vertical="center"/>
    </xf>
    <xf numFmtId="180" fontId="32" fillId="4" borderId="0" applyNumberFormat="0" applyBorder="0" applyAlignment="0" applyProtection="0">
      <alignment vertical="center"/>
    </xf>
    <xf numFmtId="180" fontId="32" fillId="4" borderId="0" applyNumberFormat="0" applyBorder="0" applyAlignment="0" applyProtection="0">
      <alignment vertical="center"/>
    </xf>
    <xf numFmtId="180" fontId="32" fillId="4" borderId="0" applyNumberFormat="0" applyBorder="0" applyAlignment="0" applyProtection="0">
      <alignment vertical="center"/>
    </xf>
    <xf numFmtId="180" fontId="32" fillId="4" borderId="0" applyNumberFormat="0" applyBorder="0" applyAlignment="0" applyProtection="0">
      <alignment vertical="center"/>
    </xf>
    <xf numFmtId="180" fontId="32" fillId="4" borderId="0" applyNumberFormat="0" applyBorder="0" applyAlignment="0" applyProtection="0">
      <alignment vertical="center"/>
    </xf>
    <xf numFmtId="180" fontId="32" fillId="4" borderId="0" applyNumberFormat="0" applyBorder="0" applyAlignment="0" applyProtection="0">
      <alignment vertical="center"/>
    </xf>
    <xf numFmtId="180" fontId="32" fillId="4" borderId="0" applyNumberFormat="0" applyBorder="0" applyAlignment="0" applyProtection="0">
      <alignment vertical="center"/>
    </xf>
    <xf numFmtId="180" fontId="32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7" fillId="0" borderId="0">
      <alignment vertical="center"/>
    </xf>
    <xf numFmtId="180" fontId="10" fillId="0" borderId="0"/>
    <xf numFmtId="180" fontId="10" fillId="0" borderId="0"/>
    <xf numFmtId="180" fontId="10" fillId="0" borderId="0"/>
    <xf numFmtId="180" fontId="10" fillId="0" borderId="0"/>
    <xf numFmtId="180" fontId="10" fillId="0" borderId="0"/>
    <xf numFmtId="180" fontId="8" fillId="0" borderId="0"/>
    <xf numFmtId="180" fontId="8" fillId="0" borderId="0"/>
    <xf numFmtId="180" fontId="8" fillId="0" borderId="0"/>
    <xf numFmtId="180" fontId="8" fillId="0" borderId="0"/>
    <xf numFmtId="180" fontId="7" fillId="0" borderId="0">
      <alignment vertical="center"/>
    </xf>
    <xf numFmtId="180" fontId="10" fillId="0" borderId="0"/>
    <xf numFmtId="180" fontId="10" fillId="0" borderId="0"/>
    <xf numFmtId="180" fontId="10" fillId="0" borderId="0"/>
    <xf numFmtId="180" fontId="10" fillId="0" borderId="0"/>
    <xf numFmtId="180" fontId="10" fillId="0" borderId="0"/>
    <xf numFmtId="180" fontId="10" fillId="0" borderId="0"/>
    <xf numFmtId="180" fontId="7" fillId="0" borderId="0">
      <alignment vertical="center"/>
    </xf>
    <xf numFmtId="180" fontId="7" fillId="0" borderId="0">
      <alignment vertical="center"/>
    </xf>
    <xf numFmtId="180" fontId="7" fillId="0" borderId="0"/>
    <xf numFmtId="180" fontId="7" fillId="0" borderId="0"/>
    <xf numFmtId="180" fontId="7" fillId="0" borderId="0">
      <alignment vertical="center"/>
    </xf>
    <xf numFmtId="180" fontId="7" fillId="0" borderId="0">
      <alignment vertical="center"/>
    </xf>
    <xf numFmtId="180" fontId="7" fillId="0" borderId="0"/>
    <xf numFmtId="180" fontId="7" fillId="0" borderId="0"/>
    <xf numFmtId="180" fontId="7" fillId="0" borderId="0"/>
    <xf numFmtId="180" fontId="7" fillId="0" borderId="0"/>
    <xf numFmtId="180" fontId="3" fillId="0" borderId="0">
      <alignment vertical="center"/>
    </xf>
    <xf numFmtId="180" fontId="3" fillId="0" borderId="0">
      <alignment vertical="center"/>
    </xf>
    <xf numFmtId="180" fontId="12" fillId="0" borderId="0">
      <alignment vertical="center"/>
    </xf>
    <xf numFmtId="180" fontId="12" fillId="0" borderId="0">
      <alignment vertical="center"/>
    </xf>
    <xf numFmtId="180" fontId="5" fillId="0" borderId="0">
      <alignment vertical="center"/>
    </xf>
    <xf numFmtId="180" fontId="12" fillId="0" borderId="0">
      <alignment vertical="center"/>
    </xf>
    <xf numFmtId="180" fontId="5" fillId="0" borderId="0">
      <alignment vertical="center"/>
    </xf>
    <xf numFmtId="180" fontId="5" fillId="0" borderId="0">
      <alignment vertical="center"/>
    </xf>
    <xf numFmtId="180" fontId="12" fillId="0" borderId="0"/>
    <xf numFmtId="180" fontId="12" fillId="0" borderId="0"/>
    <xf numFmtId="180" fontId="12" fillId="0" borderId="0"/>
    <xf numFmtId="180" fontId="12" fillId="0" borderId="0"/>
    <xf numFmtId="180" fontId="5" fillId="0" borderId="0"/>
    <xf numFmtId="180" fontId="5" fillId="0" borderId="0"/>
    <xf numFmtId="180" fontId="12" fillId="0" borderId="0"/>
    <xf numFmtId="180" fontId="5" fillId="0" borderId="0"/>
    <xf numFmtId="180" fontId="5" fillId="0" borderId="0"/>
    <xf numFmtId="180" fontId="12" fillId="0" borderId="0"/>
    <xf numFmtId="180" fontId="12" fillId="0" borderId="0"/>
    <xf numFmtId="180" fontId="5" fillId="0" borderId="0"/>
    <xf numFmtId="180" fontId="5" fillId="0" borderId="0"/>
    <xf numFmtId="180" fontId="12" fillId="0" borderId="0"/>
    <xf numFmtId="180" fontId="12" fillId="0" borderId="0"/>
    <xf numFmtId="180" fontId="5" fillId="0" borderId="0"/>
    <xf numFmtId="180" fontId="5" fillId="0" borderId="0"/>
    <xf numFmtId="180" fontId="12" fillId="0" borderId="0"/>
    <xf numFmtId="180" fontId="5" fillId="0" borderId="0"/>
    <xf numFmtId="180" fontId="5" fillId="0" borderId="0"/>
    <xf numFmtId="180" fontId="7" fillId="0" borderId="0">
      <alignment vertical="center"/>
    </xf>
    <xf numFmtId="180" fontId="12" fillId="0" borderId="0">
      <alignment vertical="center"/>
    </xf>
    <xf numFmtId="180" fontId="12" fillId="0" borderId="0">
      <alignment vertical="center"/>
    </xf>
    <xf numFmtId="180" fontId="5" fillId="0" borderId="0">
      <alignment vertical="center"/>
    </xf>
    <xf numFmtId="180" fontId="5" fillId="0" borderId="0">
      <alignment vertical="center"/>
    </xf>
    <xf numFmtId="180" fontId="12" fillId="0" borderId="0">
      <alignment vertical="center"/>
    </xf>
    <xf numFmtId="180" fontId="5" fillId="0" borderId="0">
      <alignment vertical="center"/>
    </xf>
    <xf numFmtId="180" fontId="12" fillId="0" borderId="0">
      <alignment vertical="center"/>
    </xf>
    <xf numFmtId="180" fontId="5" fillId="0" borderId="0">
      <alignment vertical="center"/>
    </xf>
    <xf numFmtId="180" fontId="12" fillId="0" borderId="0">
      <alignment vertical="center"/>
    </xf>
    <xf numFmtId="180" fontId="12" fillId="0" borderId="0">
      <alignment vertical="center"/>
    </xf>
    <xf numFmtId="180" fontId="12" fillId="0" borderId="0">
      <alignment vertical="center"/>
    </xf>
    <xf numFmtId="180" fontId="5" fillId="0" borderId="0">
      <alignment vertical="center"/>
    </xf>
    <xf numFmtId="180" fontId="5" fillId="0" borderId="0">
      <alignment vertical="center"/>
    </xf>
    <xf numFmtId="180" fontId="12" fillId="0" borderId="0">
      <alignment vertical="center"/>
    </xf>
    <xf numFmtId="180" fontId="5" fillId="0" borderId="0">
      <alignment vertical="center"/>
    </xf>
    <xf numFmtId="180" fontId="5" fillId="0" borderId="0">
      <alignment vertical="center"/>
    </xf>
    <xf numFmtId="180" fontId="12" fillId="0" borderId="0">
      <alignment vertical="center"/>
    </xf>
    <xf numFmtId="180" fontId="12" fillId="0" borderId="0">
      <alignment vertical="center"/>
    </xf>
    <xf numFmtId="180" fontId="5" fillId="0" borderId="0">
      <alignment vertical="center"/>
    </xf>
    <xf numFmtId="180" fontId="5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31" fillId="0" borderId="0"/>
    <xf numFmtId="180" fontId="12" fillId="0" borderId="0">
      <alignment vertical="center"/>
    </xf>
    <xf numFmtId="180" fontId="12" fillId="0" borderId="0">
      <alignment vertical="center"/>
    </xf>
    <xf numFmtId="180" fontId="5" fillId="0" borderId="0">
      <alignment vertical="center"/>
    </xf>
    <xf numFmtId="180" fontId="5" fillId="0" borderId="0">
      <alignment vertical="center"/>
    </xf>
    <xf numFmtId="180" fontId="12" fillId="0" borderId="0">
      <alignment vertical="center"/>
    </xf>
    <xf numFmtId="180" fontId="12" fillId="0" borderId="0">
      <alignment vertical="center"/>
    </xf>
    <xf numFmtId="180" fontId="5" fillId="0" borderId="0">
      <alignment vertical="center"/>
    </xf>
    <xf numFmtId="180" fontId="5" fillId="0" borderId="0">
      <alignment vertical="center"/>
    </xf>
    <xf numFmtId="180" fontId="7" fillId="0" borderId="0">
      <alignment vertical="center"/>
    </xf>
    <xf numFmtId="180" fontId="35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35" fillId="0" borderId="0">
      <alignment vertical="center"/>
    </xf>
    <xf numFmtId="180" fontId="10" fillId="0" borderId="0"/>
    <xf numFmtId="180" fontId="10" fillId="0" borderId="0"/>
    <xf numFmtId="180" fontId="35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12" fillId="0" borderId="0">
      <alignment vertical="center"/>
    </xf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3" fillId="0" borderId="0">
      <alignment vertical="center"/>
    </xf>
    <xf numFmtId="180" fontId="12" fillId="0" borderId="0">
      <alignment vertical="center"/>
    </xf>
    <xf numFmtId="180" fontId="12" fillId="0" borderId="0">
      <alignment vertical="center"/>
    </xf>
    <xf numFmtId="180" fontId="5" fillId="0" borderId="0">
      <alignment vertical="center"/>
    </xf>
    <xf numFmtId="180" fontId="5" fillId="0" borderId="0">
      <alignment vertical="center"/>
    </xf>
    <xf numFmtId="180" fontId="12" fillId="0" borderId="0">
      <alignment vertical="center"/>
    </xf>
    <xf numFmtId="180" fontId="5" fillId="0" borderId="0">
      <alignment vertical="center"/>
    </xf>
    <xf numFmtId="180" fontId="12" fillId="0" borderId="0">
      <alignment vertical="center"/>
    </xf>
    <xf numFmtId="180" fontId="5" fillId="0" borderId="0">
      <alignment vertical="center"/>
    </xf>
    <xf numFmtId="180" fontId="12" fillId="0" borderId="0">
      <alignment vertical="center"/>
    </xf>
    <xf numFmtId="180" fontId="12" fillId="0" borderId="0">
      <alignment vertical="center"/>
    </xf>
    <xf numFmtId="180" fontId="5" fillId="0" borderId="0">
      <alignment vertical="center"/>
    </xf>
    <xf numFmtId="180" fontId="5" fillId="0" borderId="0">
      <alignment vertical="center"/>
    </xf>
    <xf numFmtId="180" fontId="3" fillId="0" borderId="0">
      <alignment vertical="center"/>
    </xf>
    <xf numFmtId="180" fontId="12" fillId="0" borderId="0">
      <alignment vertical="center"/>
    </xf>
    <xf numFmtId="180" fontId="12" fillId="0" borderId="0">
      <alignment vertical="center"/>
    </xf>
    <xf numFmtId="180" fontId="5" fillId="0" borderId="0">
      <alignment vertical="center"/>
    </xf>
    <xf numFmtId="180" fontId="5" fillId="0" borderId="0">
      <alignment vertical="center"/>
    </xf>
    <xf numFmtId="180" fontId="12" fillId="0" borderId="0">
      <alignment vertical="center"/>
    </xf>
    <xf numFmtId="180" fontId="5" fillId="0" borderId="0">
      <alignment vertical="center"/>
    </xf>
    <xf numFmtId="180" fontId="5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3" fillId="0" borderId="0"/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12" fillId="0" borderId="0"/>
    <xf numFmtId="180" fontId="12" fillId="0" borderId="0"/>
    <xf numFmtId="180" fontId="12" fillId="0" borderId="0"/>
    <xf numFmtId="180" fontId="12" fillId="0" borderId="0"/>
    <xf numFmtId="180" fontId="5" fillId="0" borderId="0"/>
    <xf numFmtId="180" fontId="5" fillId="0" borderId="0"/>
    <xf numFmtId="180" fontId="12" fillId="0" borderId="0"/>
    <xf numFmtId="180" fontId="5" fillId="0" borderId="0"/>
    <xf numFmtId="180" fontId="5" fillId="0" borderId="0"/>
    <xf numFmtId="180" fontId="12" fillId="0" borderId="0"/>
    <xf numFmtId="180" fontId="12" fillId="0" borderId="0"/>
    <xf numFmtId="180" fontId="5" fillId="0" borderId="0"/>
    <xf numFmtId="180" fontId="5" fillId="0" borderId="0"/>
    <xf numFmtId="180" fontId="12" fillId="0" borderId="0"/>
    <xf numFmtId="180" fontId="12" fillId="0" borderId="0"/>
    <xf numFmtId="180" fontId="5" fillId="0" borderId="0"/>
    <xf numFmtId="180" fontId="5" fillId="0" borderId="0"/>
    <xf numFmtId="180" fontId="12" fillId="0" borderId="0"/>
    <xf numFmtId="180" fontId="5" fillId="0" borderId="0"/>
    <xf numFmtId="180" fontId="5" fillId="0" borderId="0"/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3" fillId="0" borderId="0" applyNumberFormat="0" applyFill="0" applyBorder="0" applyAlignment="0" applyProtection="0">
      <alignment vertical="top"/>
      <protection locked="0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>
      <alignment vertical="center"/>
    </xf>
    <xf numFmtId="180" fontId="19" fillId="5" borderId="0">
      <alignment vertical="center"/>
    </xf>
    <xf numFmtId="180" fontId="19" fillId="5" borderId="0">
      <alignment vertical="center"/>
    </xf>
    <xf numFmtId="180" fontId="19" fillId="5" borderId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36" fillId="27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28" fillId="5" borderId="0" applyNumberFormat="0" applyBorder="0" applyAlignment="0" applyProtection="0"/>
    <xf numFmtId="180" fontId="28" fillId="5" borderId="0" applyNumberFormat="0" applyBorder="0" applyAlignment="0" applyProtection="0"/>
    <xf numFmtId="180" fontId="28" fillId="5" borderId="0" applyNumberFormat="0" applyBorder="0" applyAlignment="0" applyProtection="0"/>
    <xf numFmtId="180" fontId="28" fillId="5" borderId="0" applyNumberFormat="0" applyBorder="0" applyAlignment="0" applyProtection="0"/>
    <xf numFmtId="180" fontId="28" fillId="5" borderId="0" applyNumberFormat="0" applyBorder="0" applyAlignment="0" applyProtection="0"/>
    <xf numFmtId="180" fontId="28" fillId="5" borderId="0" applyNumberFormat="0" applyBorder="0" applyAlignment="0" applyProtection="0"/>
    <xf numFmtId="180" fontId="28" fillId="5" borderId="0" applyNumberFormat="0" applyBorder="0" applyAlignment="0" applyProtection="0"/>
    <xf numFmtId="180" fontId="28" fillId="5" borderId="0" applyNumberFormat="0" applyBorder="0" applyAlignment="0" applyProtection="0"/>
    <xf numFmtId="180" fontId="28" fillId="5" borderId="0" applyNumberFormat="0" applyBorder="0" applyAlignment="0" applyProtection="0"/>
    <xf numFmtId="180" fontId="28" fillId="5" borderId="0" applyNumberFormat="0" applyBorder="0" applyAlignment="0" applyProtection="0"/>
    <xf numFmtId="180" fontId="28" fillId="5" borderId="0" applyNumberFormat="0" applyBorder="0" applyAlignment="0" applyProtection="0"/>
    <xf numFmtId="180" fontId="28" fillId="5" borderId="0" applyNumberFormat="0" applyBorder="0" applyAlignment="0" applyProtection="0"/>
    <xf numFmtId="180" fontId="28" fillId="5" borderId="0" applyNumberFormat="0" applyBorder="0" applyAlignment="0" applyProtection="0"/>
    <xf numFmtId="180" fontId="28" fillId="5" borderId="0" applyNumberFormat="0" applyBorder="0" applyAlignment="0" applyProtection="0"/>
    <xf numFmtId="180" fontId="28" fillId="5" borderId="0" applyNumberFormat="0" applyBorder="0" applyAlignment="0" applyProtection="0"/>
    <xf numFmtId="180" fontId="28" fillId="5" borderId="0" applyNumberFormat="0" applyBorder="0" applyAlignment="0" applyProtection="0"/>
    <xf numFmtId="180" fontId="28" fillId="5" borderId="0" applyNumberFormat="0" applyBorder="0" applyAlignment="0" applyProtection="0"/>
    <xf numFmtId="180" fontId="28" fillId="5" borderId="0" applyNumberFormat="0" applyBorder="0" applyAlignment="0" applyProtection="0"/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9" fillId="0" borderId="5" applyNumberFormat="0" applyFill="0" applyAlignment="0" applyProtection="0">
      <alignment vertical="center"/>
    </xf>
    <xf numFmtId="180" fontId="9" fillId="0" borderId="5" applyNumberFormat="0" applyFill="0" applyAlignment="0" applyProtection="0">
      <alignment vertical="center"/>
    </xf>
    <xf numFmtId="180" fontId="9" fillId="0" borderId="5" applyNumberFormat="0" applyFill="0" applyAlignment="0" applyProtection="0">
      <alignment vertical="center"/>
    </xf>
    <xf numFmtId="180" fontId="9" fillId="0" borderId="5" applyNumberFormat="0" applyFill="0" applyAlignment="0" applyProtection="0">
      <alignment vertical="center"/>
    </xf>
    <xf numFmtId="180" fontId="9" fillId="0" borderId="5">
      <alignment vertical="center"/>
    </xf>
    <xf numFmtId="180" fontId="9" fillId="0" borderId="5">
      <alignment vertical="center"/>
    </xf>
    <xf numFmtId="180" fontId="9" fillId="0" borderId="5">
      <alignment vertical="center"/>
    </xf>
    <xf numFmtId="180" fontId="9" fillId="0" borderId="5">
      <alignment vertical="center"/>
    </xf>
    <xf numFmtId="180" fontId="9" fillId="0" borderId="5" applyNumberFormat="0" applyFill="0" applyAlignment="0" applyProtection="0">
      <alignment vertical="center"/>
    </xf>
    <xf numFmtId="180" fontId="9" fillId="0" borderId="5" applyNumberFormat="0" applyFill="0" applyAlignment="0" applyProtection="0">
      <alignment vertical="center"/>
    </xf>
    <xf numFmtId="180" fontId="9" fillId="0" borderId="5" applyNumberFormat="0" applyFill="0" applyAlignment="0" applyProtection="0">
      <alignment vertical="center"/>
    </xf>
    <xf numFmtId="180" fontId="9" fillId="0" borderId="5" applyNumberFormat="0" applyFill="0" applyAlignment="0" applyProtection="0">
      <alignment vertical="center"/>
    </xf>
    <xf numFmtId="180" fontId="9" fillId="0" borderId="5" applyNumberFormat="0" applyFill="0" applyAlignment="0" applyProtection="0">
      <alignment vertical="center"/>
    </xf>
    <xf numFmtId="180" fontId="9" fillId="0" borderId="5" applyNumberFormat="0" applyFill="0" applyAlignment="0" applyProtection="0">
      <alignment vertical="center"/>
    </xf>
    <xf numFmtId="180" fontId="9" fillId="0" borderId="5" applyNumberFormat="0" applyFill="0" applyAlignment="0" applyProtection="0">
      <alignment vertical="center"/>
    </xf>
    <xf numFmtId="180" fontId="9" fillId="0" borderId="5" applyNumberFormat="0" applyFill="0" applyAlignment="0" applyProtection="0">
      <alignment vertical="center"/>
    </xf>
    <xf numFmtId="180" fontId="26" fillId="18" borderId="6" applyNumberFormat="0" applyAlignment="0" applyProtection="0">
      <alignment vertical="center"/>
    </xf>
    <xf numFmtId="180" fontId="26" fillId="18" borderId="6" applyNumberFormat="0" applyAlignment="0" applyProtection="0">
      <alignment vertical="center"/>
    </xf>
    <xf numFmtId="180" fontId="26" fillId="18" borderId="6" applyNumberFormat="0" applyAlignment="0" applyProtection="0">
      <alignment vertical="center"/>
    </xf>
    <xf numFmtId="180" fontId="26" fillId="18" borderId="6" applyNumberFormat="0" applyAlignment="0" applyProtection="0">
      <alignment vertical="center"/>
    </xf>
    <xf numFmtId="180" fontId="26" fillId="18" borderId="6">
      <alignment vertical="center"/>
    </xf>
    <xf numFmtId="180" fontId="26" fillId="18" borderId="6">
      <alignment vertical="center"/>
    </xf>
    <xf numFmtId="180" fontId="26" fillId="18" borderId="6">
      <alignment vertical="center"/>
    </xf>
    <xf numFmtId="180" fontId="26" fillId="18" borderId="6">
      <alignment vertical="center"/>
    </xf>
    <xf numFmtId="180" fontId="26" fillId="18" borderId="6" applyNumberFormat="0" applyAlignment="0" applyProtection="0">
      <alignment vertical="center"/>
    </xf>
    <xf numFmtId="180" fontId="26" fillId="18" borderId="6" applyNumberFormat="0" applyAlignment="0" applyProtection="0">
      <alignment vertical="center"/>
    </xf>
    <xf numFmtId="180" fontId="26" fillId="18" borderId="6" applyNumberFormat="0" applyAlignment="0" applyProtection="0">
      <alignment vertical="center"/>
    </xf>
    <xf numFmtId="180" fontId="26" fillId="18" borderId="6" applyNumberFormat="0" applyAlignment="0" applyProtection="0">
      <alignment vertical="center"/>
    </xf>
    <xf numFmtId="180" fontId="26" fillId="18" borderId="6" applyNumberFormat="0" applyAlignment="0" applyProtection="0">
      <alignment vertical="center"/>
    </xf>
    <xf numFmtId="180" fontId="26" fillId="18" borderId="6" applyNumberFormat="0" applyAlignment="0" applyProtection="0">
      <alignment vertical="center"/>
    </xf>
    <xf numFmtId="180" fontId="26" fillId="18" borderId="6" applyNumberFormat="0" applyAlignment="0" applyProtection="0">
      <alignment vertical="center"/>
    </xf>
    <xf numFmtId="180" fontId="26" fillId="18" borderId="6" applyNumberFormat="0" applyAlignment="0" applyProtection="0">
      <alignment vertical="center"/>
    </xf>
    <xf numFmtId="180" fontId="26" fillId="18" borderId="6" applyNumberFormat="0" applyAlignment="0" applyProtection="0">
      <alignment vertical="center"/>
    </xf>
    <xf numFmtId="180" fontId="26" fillId="18" borderId="6" applyNumberFormat="0" applyAlignment="0" applyProtection="0">
      <alignment vertical="center"/>
    </xf>
    <xf numFmtId="180" fontId="17" fillId="19" borderId="7" applyNumberFormat="0" applyAlignment="0" applyProtection="0">
      <alignment vertical="center"/>
    </xf>
    <xf numFmtId="180" fontId="17" fillId="19" borderId="7" applyNumberFormat="0" applyAlignment="0" applyProtection="0">
      <alignment vertical="center"/>
    </xf>
    <xf numFmtId="180" fontId="17" fillId="19" borderId="7" applyNumberFormat="0" applyAlignment="0" applyProtection="0">
      <alignment vertical="center"/>
    </xf>
    <xf numFmtId="180" fontId="17" fillId="19" borderId="7" applyNumberFormat="0" applyAlignment="0" applyProtection="0">
      <alignment vertical="center"/>
    </xf>
    <xf numFmtId="180" fontId="17" fillId="19" borderId="7">
      <alignment vertical="center"/>
    </xf>
    <xf numFmtId="180" fontId="17" fillId="19" borderId="7">
      <alignment vertical="center"/>
    </xf>
    <xf numFmtId="180" fontId="17" fillId="19" borderId="7">
      <alignment vertical="center"/>
    </xf>
    <xf numFmtId="180" fontId="17" fillId="19" borderId="7">
      <alignment vertical="center"/>
    </xf>
    <xf numFmtId="180" fontId="17" fillId="19" borderId="7" applyNumberFormat="0" applyAlignment="0" applyProtection="0">
      <alignment vertical="center"/>
    </xf>
    <xf numFmtId="180" fontId="17" fillId="19" borderId="7" applyNumberFormat="0" applyAlignment="0" applyProtection="0">
      <alignment vertical="center"/>
    </xf>
    <xf numFmtId="180" fontId="17" fillId="19" borderId="7" applyNumberFormat="0" applyAlignment="0" applyProtection="0">
      <alignment vertical="center"/>
    </xf>
    <xf numFmtId="180" fontId="17" fillId="19" borderId="7" applyNumberFormat="0" applyAlignment="0" applyProtection="0">
      <alignment vertical="center"/>
    </xf>
    <xf numFmtId="180" fontId="17" fillId="19" borderId="7" applyNumberFormat="0" applyAlignment="0" applyProtection="0">
      <alignment vertical="center"/>
    </xf>
    <xf numFmtId="180" fontId="17" fillId="19" borderId="7" applyNumberFormat="0" applyAlignment="0" applyProtection="0">
      <alignment vertical="center"/>
    </xf>
    <xf numFmtId="180" fontId="17" fillId="19" borderId="7" applyNumberFormat="0" applyAlignment="0" applyProtection="0">
      <alignment vertical="center"/>
    </xf>
    <xf numFmtId="180" fontId="17" fillId="19" borderId="7" applyNumberFormat="0" applyAlignment="0" applyProtection="0">
      <alignment vertical="center"/>
    </xf>
    <xf numFmtId="180" fontId="17" fillId="19" borderId="7" applyNumberFormat="0" applyAlignment="0" applyProtection="0">
      <alignment vertical="center"/>
    </xf>
    <xf numFmtId="180" fontId="17" fillId="19" borderId="7" applyNumberFormat="0" applyAlignment="0" applyProtection="0">
      <alignment vertical="center"/>
    </xf>
    <xf numFmtId="180" fontId="16" fillId="0" borderId="0" applyNumberFormat="0" applyFill="0" applyBorder="0" applyAlignment="0" applyProtection="0">
      <alignment vertical="center"/>
    </xf>
    <xf numFmtId="180" fontId="16" fillId="0" borderId="0" applyNumberFormat="0" applyFill="0" applyBorder="0" applyAlignment="0" applyProtection="0">
      <alignment vertical="center"/>
    </xf>
    <xf numFmtId="180" fontId="16" fillId="0" borderId="0" applyNumberFormat="0" applyFill="0" applyBorder="0" applyAlignment="0" applyProtection="0">
      <alignment vertical="center"/>
    </xf>
    <xf numFmtId="180" fontId="16" fillId="0" borderId="0" applyNumberFormat="0" applyFill="0" applyBorder="0" applyAlignment="0" applyProtection="0">
      <alignment vertical="center"/>
    </xf>
    <xf numFmtId="180" fontId="16" fillId="0" borderId="0">
      <alignment vertical="center"/>
    </xf>
    <xf numFmtId="180" fontId="16" fillId="0" borderId="0">
      <alignment vertical="center"/>
    </xf>
    <xf numFmtId="180" fontId="16" fillId="0" borderId="0">
      <alignment vertical="center"/>
    </xf>
    <xf numFmtId="180" fontId="16" fillId="0" borderId="0">
      <alignment vertical="center"/>
    </xf>
    <xf numFmtId="180" fontId="16" fillId="0" borderId="0" applyNumberFormat="0" applyFill="0" applyBorder="0" applyAlignment="0" applyProtection="0">
      <alignment vertical="center"/>
    </xf>
    <xf numFmtId="180" fontId="16" fillId="0" borderId="0" applyNumberFormat="0" applyFill="0" applyBorder="0" applyAlignment="0" applyProtection="0">
      <alignment vertical="center"/>
    </xf>
    <xf numFmtId="180" fontId="16" fillId="0" borderId="0" applyNumberFormat="0" applyFill="0" applyBorder="0" applyAlignment="0" applyProtection="0">
      <alignment vertical="center"/>
    </xf>
    <xf numFmtId="180" fontId="16" fillId="0" borderId="0" applyNumberFormat="0" applyFill="0" applyBorder="0" applyAlignment="0" applyProtection="0">
      <alignment vertical="center"/>
    </xf>
    <xf numFmtId="180" fontId="16" fillId="0" borderId="0" applyNumberFormat="0" applyFill="0" applyBorder="0" applyAlignment="0" applyProtection="0">
      <alignment vertical="center"/>
    </xf>
    <xf numFmtId="180" fontId="16" fillId="0" borderId="0" applyNumberFormat="0" applyFill="0" applyBorder="0" applyAlignment="0" applyProtection="0">
      <alignment vertical="center"/>
    </xf>
    <xf numFmtId="180" fontId="16" fillId="0" borderId="0" applyNumberFormat="0" applyFill="0" applyBorder="0" applyAlignment="0" applyProtection="0">
      <alignment vertical="center"/>
    </xf>
    <xf numFmtId="180" fontId="16" fillId="0" borderId="0" applyNumberFormat="0" applyFill="0" applyBorder="0" applyAlignment="0" applyProtection="0">
      <alignment vertical="center"/>
    </xf>
    <xf numFmtId="180" fontId="18" fillId="0" borderId="0" applyNumberFormat="0" applyFill="0" applyBorder="0" applyAlignment="0" applyProtection="0">
      <alignment vertical="center"/>
    </xf>
    <xf numFmtId="180" fontId="18" fillId="0" borderId="0" applyNumberFormat="0" applyFill="0" applyBorder="0" applyAlignment="0" applyProtection="0">
      <alignment vertical="center"/>
    </xf>
    <xf numFmtId="180" fontId="18" fillId="0" borderId="0" applyNumberFormat="0" applyFill="0" applyBorder="0" applyAlignment="0" applyProtection="0">
      <alignment vertical="center"/>
    </xf>
    <xf numFmtId="180" fontId="18" fillId="0" borderId="0" applyNumberFormat="0" applyFill="0" applyBorder="0" applyAlignment="0" applyProtection="0">
      <alignment vertical="center"/>
    </xf>
    <xf numFmtId="180" fontId="18" fillId="0" borderId="0">
      <alignment vertical="center"/>
    </xf>
    <xf numFmtId="180" fontId="18" fillId="0" borderId="0">
      <alignment vertical="center"/>
    </xf>
    <xf numFmtId="180" fontId="18" fillId="0" borderId="0">
      <alignment vertical="center"/>
    </xf>
    <xf numFmtId="180" fontId="18" fillId="0" borderId="0">
      <alignment vertical="center"/>
    </xf>
    <xf numFmtId="180" fontId="18" fillId="0" borderId="0" applyNumberFormat="0" applyFill="0" applyBorder="0" applyAlignment="0" applyProtection="0">
      <alignment vertical="center"/>
    </xf>
    <xf numFmtId="180" fontId="18" fillId="0" borderId="0" applyNumberFormat="0" applyFill="0" applyBorder="0" applyAlignment="0" applyProtection="0">
      <alignment vertical="center"/>
    </xf>
    <xf numFmtId="180" fontId="18" fillId="0" borderId="0" applyNumberFormat="0" applyFill="0" applyBorder="0" applyAlignment="0" applyProtection="0">
      <alignment vertical="center"/>
    </xf>
    <xf numFmtId="180" fontId="18" fillId="0" borderId="0" applyNumberFormat="0" applyFill="0" applyBorder="0" applyAlignment="0" applyProtection="0">
      <alignment vertical="center"/>
    </xf>
    <xf numFmtId="180" fontId="18" fillId="0" borderId="0" applyNumberFormat="0" applyFill="0" applyBorder="0" applyAlignment="0" applyProtection="0">
      <alignment vertical="center"/>
    </xf>
    <xf numFmtId="180" fontId="18" fillId="0" borderId="0" applyNumberFormat="0" applyFill="0" applyBorder="0" applyAlignment="0" applyProtection="0">
      <alignment vertical="center"/>
    </xf>
    <xf numFmtId="180" fontId="18" fillId="0" borderId="0" applyNumberFormat="0" applyFill="0" applyBorder="0" applyAlignment="0" applyProtection="0">
      <alignment vertical="center"/>
    </xf>
    <xf numFmtId="180" fontId="18" fillId="0" borderId="0" applyNumberFormat="0" applyFill="0" applyBorder="0" applyAlignment="0" applyProtection="0">
      <alignment vertical="center"/>
    </xf>
    <xf numFmtId="180" fontId="27" fillId="0" borderId="8" applyNumberFormat="0" applyFill="0" applyAlignment="0" applyProtection="0">
      <alignment vertical="center"/>
    </xf>
    <xf numFmtId="180" fontId="27" fillId="0" borderId="8" applyNumberFormat="0" applyFill="0" applyAlignment="0" applyProtection="0">
      <alignment vertical="center"/>
    </xf>
    <xf numFmtId="180" fontId="27" fillId="0" borderId="8" applyNumberFormat="0" applyFill="0" applyAlignment="0" applyProtection="0">
      <alignment vertical="center"/>
    </xf>
    <xf numFmtId="180" fontId="27" fillId="0" borderId="8" applyNumberFormat="0" applyFill="0" applyAlignment="0" applyProtection="0">
      <alignment vertical="center"/>
    </xf>
    <xf numFmtId="180" fontId="27" fillId="0" borderId="8">
      <alignment vertical="center"/>
    </xf>
    <xf numFmtId="180" fontId="27" fillId="0" borderId="8">
      <alignment vertical="center"/>
    </xf>
    <xf numFmtId="180" fontId="27" fillId="0" borderId="8">
      <alignment vertical="center"/>
    </xf>
    <xf numFmtId="180" fontId="27" fillId="0" borderId="8">
      <alignment vertical="center"/>
    </xf>
    <xf numFmtId="180" fontId="27" fillId="0" borderId="8" applyNumberFormat="0" applyFill="0" applyAlignment="0" applyProtection="0">
      <alignment vertical="center"/>
    </xf>
    <xf numFmtId="180" fontId="27" fillId="0" borderId="8" applyNumberFormat="0" applyFill="0" applyAlignment="0" applyProtection="0">
      <alignment vertical="center"/>
    </xf>
    <xf numFmtId="180" fontId="27" fillId="0" borderId="8" applyNumberFormat="0" applyFill="0" applyAlignment="0" applyProtection="0">
      <alignment vertical="center"/>
    </xf>
    <xf numFmtId="180" fontId="27" fillId="0" borderId="8" applyNumberFormat="0" applyFill="0" applyAlignment="0" applyProtection="0">
      <alignment vertical="center"/>
    </xf>
    <xf numFmtId="180" fontId="27" fillId="0" borderId="8" applyNumberFormat="0" applyFill="0" applyAlignment="0" applyProtection="0">
      <alignment vertical="center"/>
    </xf>
    <xf numFmtId="180" fontId="27" fillId="0" borderId="8" applyNumberFormat="0" applyFill="0" applyAlignment="0" applyProtection="0">
      <alignment vertical="center"/>
    </xf>
    <xf numFmtId="180" fontId="27" fillId="0" borderId="8" applyNumberFormat="0" applyFill="0" applyAlignment="0" applyProtection="0">
      <alignment vertical="center"/>
    </xf>
    <xf numFmtId="180" fontId="27" fillId="0" borderId="8" applyNumberFormat="0" applyFill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34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30" fillId="0" borderId="0"/>
    <xf numFmtId="43" fontId="30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30" fillId="0" borderId="0"/>
    <xf numFmtId="43" fontId="30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2" fillId="0" borderId="0" applyFont="0" applyFill="0" applyBorder="0" applyAlignment="0" applyProtection="0">
      <alignment vertical="center"/>
    </xf>
    <xf numFmtId="43" fontId="12" fillId="0" borderId="0" applyFont="0" applyFill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34" fillId="0" borderId="0" applyFont="0" applyFill="0" applyBorder="0" applyAlignment="0" applyProtection="0">
      <alignment vertical="center"/>
    </xf>
    <xf numFmtId="180" fontId="13" fillId="20" borderId="0" applyNumberFormat="0" applyBorder="0" applyAlignment="0" applyProtection="0">
      <alignment vertical="center"/>
    </xf>
    <xf numFmtId="180" fontId="13" fillId="20" borderId="0" applyNumberFormat="0" applyBorder="0" applyAlignment="0" applyProtection="0">
      <alignment vertical="center"/>
    </xf>
    <xf numFmtId="180" fontId="13" fillId="20" borderId="0" applyNumberFormat="0" applyBorder="0" applyAlignment="0" applyProtection="0">
      <alignment vertical="center"/>
    </xf>
    <xf numFmtId="180" fontId="13" fillId="20" borderId="0" applyNumberFormat="0" applyBorder="0" applyAlignment="0" applyProtection="0">
      <alignment vertical="center"/>
    </xf>
    <xf numFmtId="180" fontId="13" fillId="20" borderId="0">
      <alignment vertical="center"/>
    </xf>
    <xf numFmtId="180" fontId="13" fillId="20" borderId="0">
      <alignment vertical="center"/>
    </xf>
    <xf numFmtId="180" fontId="13" fillId="20" borderId="0">
      <alignment vertical="center"/>
    </xf>
    <xf numFmtId="180" fontId="13" fillId="20" borderId="0">
      <alignment vertical="center"/>
    </xf>
    <xf numFmtId="180" fontId="13" fillId="20" borderId="0" applyNumberFormat="0" applyBorder="0" applyAlignment="0" applyProtection="0">
      <alignment vertical="center"/>
    </xf>
    <xf numFmtId="180" fontId="13" fillId="20" borderId="0" applyNumberFormat="0" applyBorder="0" applyAlignment="0" applyProtection="0">
      <alignment vertical="center"/>
    </xf>
    <xf numFmtId="180" fontId="13" fillId="20" borderId="0" applyNumberFormat="0" applyBorder="0" applyAlignment="0" applyProtection="0">
      <alignment vertical="center"/>
    </xf>
    <xf numFmtId="180" fontId="13" fillId="20" borderId="0" applyNumberFormat="0" applyBorder="0" applyAlignment="0" applyProtection="0">
      <alignment vertical="center"/>
    </xf>
    <xf numFmtId="180" fontId="13" fillId="20" borderId="0" applyNumberFormat="0" applyBorder="0" applyAlignment="0" applyProtection="0">
      <alignment vertical="center"/>
    </xf>
    <xf numFmtId="180" fontId="13" fillId="20" borderId="0" applyNumberFormat="0" applyBorder="0" applyAlignment="0" applyProtection="0">
      <alignment vertical="center"/>
    </xf>
    <xf numFmtId="180" fontId="13" fillId="20" borderId="0" applyNumberFormat="0" applyBorder="0" applyAlignment="0" applyProtection="0">
      <alignment vertical="center"/>
    </xf>
    <xf numFmtId="180" fontId="13" fillId="20" borderId="0" applyNumberFormat="0" applyBorder="0" applyAlignment="0" applyProtection="0">
      <alignment vertical="center"/>
    </xf>
    <xf numFmtId="180" fontId="13" fillId="20" borderId="0" applyNumberFormat="0" applyBorder="0" applyAlignment="0" applyProtection="0">
      <alignment vertical="center"/>
    </xf>
    <xf numFmtId="180" fontId="13" fillId="20" borderId="0" applyNumberFormat="0" applyBorder="0" applyAlignment="0" applyProtection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1" borderId="0">
      <alignment vertical="center"/>
    </xf>
    <xf numFmtId="180" fontId="13" fillId="21" borderId="0">
      <alignment vertical="center"/>
    </xf>
    <xf numFmtId="180" fontId="13" fillId="21" borderId="0">
      <alignment vertical="center"/>
    </xf>
    <xf numFmtId="180" fontId="13" fillId="21" borderId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23" borderId="0">
      <alignment vertical="center"/>
    </xf>
    <xf numFmtId="180" fontId="13" fillId="23" borderId="0">
      <alignment vertical="center"/>
    </xf>
    <xf numFmtId="180" fontId="13" fillId="23" borderId="0">
      <alignment vertical="center"/>
    </xf>
    <xf numFmtId="180" fontId="13" fillId="23" borderId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5" borderId="0">
      <alignment vertical="center"/>
    </xf>
    <xf numFmtId="180" fontId="13" fillId="15" borderId="0">
      <alignment vertical="center"/>
    </xf>
    <xf numFmtId="180" fontId="13" fillId="15" borderId="0">
      <alignment vertical="center"/>
    </xf>
    <xf numFmtId="180" fontId="13" fillId="15" borderId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5" borderId="0">
      <alignment vertical="center"/>
    </xf>
    <xf numFmtId="180" fontId="13" fillId="5" borderId="0">
      <alignment vertical="center"/>
    </xf>
    <xf numFmtId="180" fontId="13" fillId="5" borderId="0">
      <alignment vertical="center"/>
    </xf>
    <xf numFmtId="180" fontId="13" fillId="5" borderId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24" borderId="0" applyNumberFormat="0" applyBorder="0" applyAlignment="0" applyProtection="0">
      <alignment vertical="center"/>
    </xf>
    <xf numFmtId="180" fontId="13" fillId="24" borderId="0" applyNumberFormat="0" applyBorder="0" applyAlignment="0" applyProtection="0">
      <alignment vertical="center"/>
    </xf>
    <xf numFmtId="180" fontId="13" fillId="24" borderId="0" applyNumberFormat="0" applyBorder="0" applyAlignment="0" applyProtection="0">
      <alignment vertical="center"/>
    </xf>
    <xf numFmtId="180" fontId="13" fillId="24" borderId="0" applyNumberFormat="0" applyBorder="0" applyAlignment="0" applyProtection="0">
      <alignment vertical="center"/>
    </xf>
    <xf numFmtId="180" fontId="13" fillId="24" borderId="0">
      <alignment vertical="center"/>
    </xf>
    <xf numFmtId="180" fontId="13" fillId="24" borderId="0">
      <alignment vertical="center"/>
    </xf>
    <xf numFmtId="180" fontId="13" fillId="24" borderId="0">
      <alignment vertical="center"/>
    </xf>
    <xf numFmtId="180" fontId="13" fillId="24" borderId="0">
      <alignment vertical="center"/>
    </xf>
    <xf numFmtId="180" fontId="13" fillId="24" borderId="0" applyNumberFormat="0" applyBorder="0" applyAlignment="0" applyProtection="0">
      <alignment vertical="center"/>
    </xf>
    <xf numFmtId="180" fontId="13" fillId="24" borderId="0" applyNumberFormat="0" applyBorder="0" applyAlignment="0" applyProtection="0">
      <alignment vertical="center"/>
    </xf>
    <xf numFmtId="180" fontId="13" fillId="24" borderId="0" applyNumberFormat="0" applyBorder="0" applyAlignment="0" applyProtection="0">
      <alignment vertical="center"/>
    </xf>
    <xf numFmtId="180" fontId="13" fillId="24" borderId="0" applyNumberFormat="0" applyBorder="0" applyAlignment="0" applyProtection="0">
      <alignment vertical="center"/>
    </xf>
    <xf numFmtId="180" fontId="13" fillId="24" borderId="0" applyNumberFormat="0" applyBorder="0" applyAlignment="0" applyProtection="0">
      <alignment vertical="center"/>
    </xf>
    <xf numFmtId="180" fontId="13" fillId="24" borderId="0" applyNumberFormat="0" applyBorder="0" applyAlignment="0" applyProtection="0">
      <alignment vertical="center"/>
    </xf>
    <xf numFmtId="180" fontId="13" fillId="24" borderId="0" applyNumberFormat="0" applyBorder="0" applyAlignment="0" applyProtection="0">
      <alignment vertical="center"/>
    </xf>
    <xf numFmtId="180" fontId="13" fillId="24" borderId="0" applyNumberFormat="0" applyBorder="0" applyAlignment="0" applyProtection="0">
      <alignment vertical="center"/>
    </xf>
    <xf numFmtId="180" fontId="13" fillId="24" borderId="0" applyNumberFormat="0" applyBorder="0" applyAlignment="0" applyProtection="0">
      <alignment vertical="center"/>
    </xf>
    <xf numFmtId="180" fontId="13" fillId="24" borderId="0" applyNumberFormat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15" fillId="25" borderId="0">
      <alignment vertical="center"/>
    </xf>
    <xf numFmtId="180" fontId="15" fillId="25" borderId="0">
      <alignment vertical="center"/>
    </xf>
    <xf numFmtId="180" fontId="15" fillId="25" borderId="0">
      <alignment vertical="center"/>
    </xf>
    <xf numFmtId="180" fontId="15" fillId="25" borderId="0">
      <alignment vertical="center"/>
    </xf>
    <xf numFmtId="180" fontId="15" fillId="25" borderId="0" applyNumberFormat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24" fillId="18" borderId="9" applyNumberFormat="0" applyAlignment="0" applyProtection="0">
      <alignment vertical="center"/>
    </xf>
    <xf numFmtId="180" fontId="24" fillId="18" borderId="9" applyNumberFormat="0" applyAlignment="0" applyProtection="0">
      <alignment vertical="center"/>
    </xf>
    <xf numFmtId="180" fontId="24" fillId="18" borderId="9" applyNumberFormat="0" applyAlignment="0" applyProtection="0">
      <alignment vertical="center"/>
    </xf>
    <xf numFmtId="180" fontId="24" fillId="18" borderId="9" applyNumberFormat="0" applyAlignment="0" applyProtection="0">
      <alignment vertical="center"/>
    </xf>
    <xf numFmtId="180" fontId="24" fillId="18" borderId="9">
      <alignment vertical="center"/>
    </xf>
    <xf numFmtId="180" fontId="24" fillId="18" borderId="9">
      <alignment vertical="center"/>
    </xf>
    <xf numFmtId="180" fontId="24" fillId="18" borderId="9">
      <alignment vertical="center"/>
    </xf>
    <xf numFmtId="180" fontId="24" fillId="18" borderId="9">
      <alignment vertical="center"/>
    </xf>
    <xf numFmtId="180" fontId="24" fillId="18" borderId="9" applyNumberFormat="0" applyAlignment="0" applyProtection="0">
      <alignment vertical="center"/>
    </xf>
    <xf numFmtId="180" fontId="24" fillId="18" borderId="9" applyNumberFormat="0" applyAlignment="0" applyProtection="0">
      <alignment vertical="center"/>
    </xf>
    <xf numFmtId="180" fontId="24" fillId="18" borderId="9" applyNumberFormat="0" applyAlignment="0" applyProtection="0">
      <alignment vertical="center"/>
    </xf>
    <xf numFmtId="180" fontId="24" fillId="18" borderId="9" applyNumberFormat="0" applyAlignment="0" applyProtection="0">
      <alignment vertical="center"/>
    </xf>
    <xf numFmtId="180" fontId="24" fillId="18" borderId="9" applyNumberFormat="0" applyAlignment="0" applyProtection="0">
      <alignment vertical="center"/>
    </xf>
    <xf numFmtId="180" fontId="24" fillId="18" borderId="9" applyNumberFormat="0" applyAlignment="0" applyProtection="0">
      <alignment vertical="center"/>
    </xf>
    <xf numFmtId="180" fontId="24" fillId="18" borderId="9" applyNumberFormat="0" applyAlignment="0" applyProtection="0">
      <alignment vertical="center"/>
    </xf>
    <xf numFmtId="180" fontId="24" fillId="18" borderId="9" applyNumberFormat="0" applyAlignment="0" applyProtection="0">
      <alignment vertical="center"/>
    </xf>
    <xf numFmtId="180" fontId="24" fillId="18" borderId="9" applyNumberFormat="0" applyAlignment="0" applyProtection="0">
      <alignment vertical="center"/>
    </xf>
    <xf numFmtId="180" fontId="24" fillId="18" borderId="9" applyNumberFormat="0" applyAlignment="0" applyProtection="0">
      <alignment vertical="center"/>
    </xf>
    <xf numFmtId="180" fontId="22" fillId="8" borderId="6" applyNumberFormat="0" applyAlignment="0" applyProtection="0">
      <alignment vertical="center"/>
    </xf>
    <xf numFmtId="180" fontId="22" fillId="8" borderId="6" applyNumberFormat="0" applyAlignment="0" applyProtection="0">
      <alignment vertical="center"/>
    </xf>
    <xf numFmtId="180" fontId="22" fillId="8" borderId="6" applyNumberFormat="0" applyAlignment="0" applyProtection="0">
      <alignment vertical="center"/>
    </xf>
    <xf numFmtId="180" fontId="22" fillId="8" borderId="6" applyNumberFormat="0" applyAlignment="0" applyProtection="0">
      <alignment vertical="center"/>
    </xf>
    <xf numFmtId="180" fontId="22" fillId="8" borderId="6">
      <alignment vertical="center"/>
    </xf>
    <xf numFmtId="180" fontId="22" fillId="8" borderId="6">
      <alignment vertical="center"/>
    </xf>
    <xf numFmtId="180" fontId="22" fillId="8" borderId="6">
      <alignment vertical="center"/>
    </xf>
    <xf numFmtId="180" fontId="22" fillId="8" borderId="6">
      <alignment vertical="center"/>
    </xf>
    <xf numFmtId="180" fontId="22" fillId="8" borderId="6" applyNumberFormat="0" applyAlignment="0" applyProtection="0">
      <alignment vertical="center"/>
    </xf>
    <xf numFmtId="180" fontId="22" fillId="8" borderId="6" applyNumberFormat="0" applyAlignment="0" applyProtection="0">
      <alignment vertical="center"/>
    </xf>
    <xf numFmtId="180" fontId="22" fillId="8" borderId="6" applyNumberFormat="0" applyAlignment="0" applyProtection="0">
      <alignment vertical="center"/>
    </xf>
    <xf numFmtId="180" fontId="22" fillId="8" borderId="6" applyNumberFormat="0" applyAlignment="0" applyProtection="0">
      <alignment vertical="center"/>
    </xf>
    <xf numFmtId="180" fontId="22" fillId="8" borderId="6" applyNumberFormat="0" applyAlignment="0" applyProtection="0">
      <alignment vertical="center"/>
    </xf>
    <xf numFmtId="180" fontId="22" fillId="8" borderId="6" applyNumberFormat="0" applyAlignment="0" applyProtection="0">
      <alignment vertical="center"/>
    </xf>
    <xf numFmtId="180" fontId="22" fillId="8" borderId="6" applyNumberFormat="0" applyAlignment="0" applyProtection="0">
      <alignment vertical="center"/>
    </xf>
    <xf numFmtId="180" fontId="22" fillId="8" borderId="6" applyNumberFormat="0" applyAlignment="0" applyProtection="0">
      <alignment vertical="center"/>
    </xf>
    <xf numFmtId="180" fontId="22" fillId="8" borderId="6" applyNumberFormat="0" applyAlignment="0" applyProtection="0">
      <alignment vertical="center"/>
    </xf>
    <xf numFmtId="180" fontId="22" fillId="8" borderId="6" applyNumberFormat="0" applyAlignment="0" applyProtection="0">
      <alignment vertical="center"/>
    </xf>
    <xf numFmtId="180" fontId="16" fillId="0" borderId="0" applyNumberFormat="0" applyFill="0" applyBorder="0" applyAlignment="0" applyProtection="0">
      <alignment vertical="center"/>
    </xf>
    <xf numFmtId="180" fontId="16" fillId="0" borderId="0" applyNumberFormat="0" applyFill="0" applyBorder="0" applyAlignment="0" applyProtection="0">
      <alignment vertical="center"/>
    </xf>
    <xf numFmtId="180" fontId="16" fillId="0" borderId="0" applyNumberFormat="0" applyFill="0" applyBorder="0" applyAlignment="0" applyProtection="0">
      <alignment vertical="center"/>
    </xf>
    <xf numFmtId="180" fontId="16" fillId="0" borderId="0" applyNumberFormat="0" applyFill="0" applyBorder="0" applyAlignment="0" applyProtection="0">
      <alignment vertical="center"/>
    </xf>
    <xf numFmtId="180" fontId="16" fillId="0" borderId="0" applyNumberFormat="0" applyFill="0" applyBorder="0" applyAlignment="0" applyProtection="0">
      <alignment vertical="center"/>
    </xf>
    <xf numFmtId="180" fontId="16" fillId="0" borderId="0" applyNumberFormat="0" applyFill="0" applyBorder="0" applyAlignment="0" applyProtection="0">
      <alignment vertical="center"/>
    </xf>
    <xf numFmtId="180" fontId="16" fillId="0" borderId="0" applyNumberFormat="0" applyFill="0" applyBorder="0" applyAlignment="0" applyProtection="0">
      <alignment vertical="center"/>
    </xf>
    <xf numFmtId="180" fontId="16" fillId="0" borderId="0" applyNumberFormat="0" applyFill="0" applyBorder="0" applyAlignment="0" applyProtection="0">
      <alignment vertical="center"/>
    </xf>
    <xf numFmtId="180" fontId="16" fillId="0" borderId="0" applyNumberFormat="0" applyFill="0" applyBorder="0" applyAlignment="0" applyProtection="0">
      <alignment vertical="center"/>
    </xf>
    <xf numFmtId="180" fontId="16" fillId="0" borderId="0" applyNumberFormat="0" applyFill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11" fillId="0" borderId="0"/>
    <xf numFmtId="180" fontId="13" fillId="20" borderId="0" applyNumberFormat="0" applyBorder="0" applyAlignment="0" applyProtection="0">
      <alignment vertical="center"/>
    </xf>
    <xf numFmtId="180" fontId="13" fillId="20" borderId="0" applyNumberFormat="0" applyBorder="0" applyAlignment="0" applyProtection="0">
      <alignment vertical="center"/>
    </xf>
    <xf numFmtId="180" fontId="13" fillId="20" borderId="0" applyNumberFormat="0" applyBorder="0" applyAlignment="0" applyProtection="0">
      <alignment vertical="center"/>
    </xf>
    <xf numFmtId="180" fontId="13" fillId="20" borderId="0" applyNumberFormat="0" applyBorder="0" applyAlignment="0" applyProtection="0">
      <alignment vertical="center"/>
    </xf>
    <xf numFmtId="180" fontId="13" fillId="20" borderId="0" applyNumberFormat="0" applyBorder="0" applyAlignment="0" applyProtection="0">
      <alignment vertical="center"/>
    </xf>
    <xf numFmtId="180" fontId="13" fillId="20" borderId="0" applyNumberFormat="0" applyBorder="0" applyAlignment="0" applyProtection="0">
      <alignment vertical="center"/>
    </xf>
    <xf numFmtId="180" fontId="13" fillId="20" borderId="0" applyNumberFormat="0" applyBorder="0" applyAlignment="0" applyProtection="0">
      <alignment vertical="center"/>
    </xf>
    <xf numFmtId="180" fontId="13" fillId="20" borderId="0" applyNumberFormat="0" applyBorder="0" applyAlignment="0" applyProtection="0">
      <alignment vertical="center"/>
    </xf>
    <xf numFmtId="180" fontId="13" fillId="20" borderId="0" applyNumberFormat="0" applyBorder="0" applyAlignment="0" applyProtection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24" borderId="0" applyNumberFormat="0" applyBorder="0" applyAlignment="0" applyProtection="0">
      <alignment vertical="center"/>
    </xf>
    <xf numFmtId="180" fontId="13" fillId="24" borderId="0" applyNumberFormat="0" applyBorder="0" applyAlignment="0" applyProtection="0">
      <alignment vertical="center"/>
    </xf>
    <xf numFmtId="180" fontId="13" fillId="24" borderId="0" applyNumberFormat="0" applyBorder="0" applyAlignment="0" applyProtection="0">
      <alignment vertical="center"/>
    </xf>
    <xf numFmtId="180" fontId="13" fillId="24" borderId="0" applyNumberFormat="0" applyBorder="0" applyAlignment="0" applyProtection="0">
      <alignment vertical="center"/>
    </xf>
    <xf numFmtId="180" fontId="13" fillId="24" borderId="0" applyNumberFormat="0" applyBorder="0" applyAlignment="0" applyProtection="0">
      <alignment vertical="center"/>
    </xf>
    <xf numFmtId="180" fontId="13" fillId="24" borderId="0" applyNumberFormat="0" applyBorder="0" applyAlignment="0" applyProtection="0">
      <alignment vertical="center"/>
    </xf>
    <xf numFmtId="180" fontId="13" fillId="24" borderId="0" applyNumberFormat="0" applyBorder="0" applyAlignment="0" applyProtection="0">
      <alignment vertical="center"/>
    </xf>
    <xf numFmtId="180" fontId="13" fillId="24" borderId="0" applyNumberFormat="0" applyBorder="0" applyAlignment="0" applyProtection="0">
      <alignment vertical="center"/>
    </xf>
    <xf numFmtId="180" fontId="13" fillId="24" borderId="0" applyNumberFormat="0" applyBorder="0" applyAlignment="0" applyProtection="0">
      <alignment vertical="center"/>
    </xf>
    <xf numFmtId="180" fontId="12" fillId="26" borderId="10" applyNumberFormat="0" applyFont="0" applyAlignment="0" applyProtection="0">
      <alignment vertical="center"/>
    </xf>
    <xf numFmtId="180" fontId="12" fillId="26" borderId="10" applyNumberFormat="0" applyFont="0" applyAlignment="0" applyProtection="0">
      <alignment vertical="center"/>
    </xf>
    <xf numFmtId="180" fontId="12" fillId="26" borderId="10" applyNumberFormat="0" applyFont="0" applyAlignment="0" applyProtection="0">
      <alignment vertical="center"/>
    </xf>
    <xf numFmtId="180" fontId="5" fillId="26" borderId="10" applyNumberFormat="0" applyFont="0" applyAlignment="0" applyProtection="0">
      <alignment vertical="center"/>
    </xf>
    <xf numFmtId="180" fontId="5" fillId="26" borderId="10" applyNumberFormat="0" applyFont="0" applyAlignment="0" applyProtection="0">
      <alignment vertical="center"/>
    </xf>
    <xf numFmtId="180" fontId="12" fillId="26" borderId="10" applyNumberFormat="0" applyFont="0" applyAlignment="0" applyProtection="0">
      <alignment vertical="center"/>
    </xf>
    <xf numFmtId="180" fontId="5" fillId="26" borderId="10" applyNumberFormat="0" applyFont="0" applyAlignment="0" applyProtection="0">
      <alignment vertical="center"/>
    </xf>
    <xf numFmtId="180" fontId="5" fillId="26" borderId="10" applyNumberFormat="0" applyFont="0" applyAlignment="0" applyProtection="0">
      <alignment vertical="center"/>
    </xf>
    <xf numFmtId="180" fontId="12" fillId="26" borderId="10">
      <alignment vertical="center"/>
    </xf>
    <xf numFmtId="180" fontId="12" fillId="26" borderId="10">
      <alignment vertical="center"/>
    </xf>
    <xf numFmtId="180" fontId="12" fillId="26" borderId="10">
      <alignment vertical="center"/>
    </xf>
    <xf numFmtId="180" fontId="5" fillId="26" borderId="10">
      <alignment vertical="center"/>
    </xf>
    <xf numFmtId="180" fontId="5" fillId="26" borderId="10">
      <alignment vertical="center"/>
    </xf>
    <xf numFmtId="180" fontId="12" fillId="26" borderId="10">
      <alignment vertical="center"/>
    </xf>
    <xf numFmtId="180" fontId="5" fillId="26" borderId="10">
      <alignment vertical="center"/>
    </xf>
    <xf numFmtId="180" fontId="5" fillId="26" borderId="10">
      <alignment vertical="center"/>
    </xf>
    <xf numFmtId="180" fontId="12" fillId="26" borderId="10" applyNumberFormat="0" applyFont="0" applyAlignment="0" applyProtection="0">
      <alignment vertical="center"/>
    </xf>
    <xf numFmtId="180" fontId="12" fillId="26" borderId="10" applyNumberFormat="0" applyFont="0" applyAlignment="0" applyProtection="0">
      <alignment vertical="center"/>
    </xf>
    <xf numFmtId="180" fontId="12" fillId="26" borderId="10" applyNumberFormat="0" applyFont="0" applyAlignment="0" applyProtection="0">
      <alignment vertical="center"/>
    </xf>
    <xf numFmtId="180" fontId="5" fillId="26" borderId="10" applyNumberFormat="0" applyFont="0" applyAlignment="0" applyProtection="0">
      <alignment vertical="center"/>
    </xf>
    <xf numFmtId="180" fontId="5" fillId="26" borderId="10" applyNumberFormat="0" applyFont="0" applyAlignment="0" applyProtection="0">
      <alignment vertical="center"/>
    </xf>
    <xf numFmtId="180" fontId="12" fillId="26" borderId="10" applyNumberFormat="0" applyFont="0" applyAlignment="0" applyProtection="0">
      <alignment vertical="center"/>
    </xf>
    <xf numFmtId="180" fontId="5" fillId="26" borderId="10" applyNumberFormat="0" applyFont="0" applyAlignment="0" applyProtection="0">
      <alignment vertical="center"/>
    </xf>
    <xf numFmtId="180" fontId="5" fillId="26" borderId="10" applyNumberFormat="0" applyFont="0" applyAlignment="0" applyProtection="0">
      <alignment vertical="center"/>
    </xf>
    <xf numFmtId="180" fontId="12" fillId="26" borderId="10" applyNumberFormat="0" applyFont="0" applyAlignment="0" applyProtection="0">
      <alignment vertical="center"/>
    </xf>
    <xf numFmtId="180" fontId="12" fillId="26" borderId="10" applyNumberFormat="0" applyFont="0" applyAlignment="0" applyProtection="0">
      <alignment vertical="center"/>
    </xf>
    <xf numFmtId="180" fontId="5" fillId="26" borderId="10" applyNumberFormat="0" applyFont="0" applyAlignment="0" applyProtection="0">
      <alignment vertical="center"/>
    </xf>
    <xf numFmtId="180" fontId="5" fillId="26" borderId="10" applyNumberFormat="0" applyFont="0" applyAlignment="0" applyProtection="0">
      <alignment vertical="center"/>
    </xf>
    <xf numFmtId="180" fontId="12" fillId="26" borderId="10" applyNumberFormat="0" applyFont="0" applyAlignment="0" applyProtection="0">
      <alignment vertical="center"/>
    </xf>
    <xf numFmtId="180" fontId="12" fillId="26" borderId="10" applyNumberFormat="0" applyFont="0" applyAlignment="0" applyProtection="0">
      <alignment vertical="center"/>
    </xf>
    <xf numFmtId="180" fontId="5" fillId="26" borderId="10" applyNumberFormat="0" applyFont="0" applyAlignment="0" applyProtection="0">
      <alignment vertical="center"/>
    </xf>
    <xf numFmtId="180" fontId="5" fillId="26" borderId="10" applyNumberFormat="0" applyFont="0" applyAlignment="0" applyProtection="0">
      <alignment vertical="center"/>
    </xf>
    <xf numFmtId="180" fontId="12" fillId="26" borderId="10" applyNumberFormat="0" applyFont="0" applyAlignment="0" applyProtection="0">
      <alignment vertical="center"/>
    </xf>
    <xf numFmtId="180" fontId="12" fillId="26" borderId="10" applyNumberFormat="0" applyFont="0" applyAlignment="0" applyProtection="0">
      <alignment vertical="center"/>
    </xf>
    <xf numFmtId="180" fontId="5" fillId="26" borderId="10" applyNumberFormat="0" applyFont="0" applyAlignment="0" applyProtection="0">
      <alignment vertical="center"/>
    </xf>
    <xf numFmtId="180" fontId="5" fillId="26" borderId="10" applyNumberFormat="0" applyFont="0" applyAlignment="0" applyProtection="0">
      <alignment vertical="center"/>
    </xf>
    <xf numFmtId="176" fontId="3" fillId="0" borderId="0">
      <alignment vertical="center"/>
    </xf>
    <xf numFmtId="180" fontId="56" fillId="0" borderId="0">
      <alignment vertical="center"/>
    </xf>
    <xf numFmtId="176" fontId="3" fillId="0" borderId="0">
      <alignment vertical="center"/>
    </xf>
    <xf numFmtId="176" fontId="3" fillId="0" borderId="0">
      <alignment vertical="center"/>
    </xf>
    <xf numFmtId="176" fontId="3" fillId="0" borderId="0">
      <alignment vertical="center"/>
    </xf>
    <xf numFmtId="176" fontId="56" fillId="0" borderId="0">
      <alignment vertical="center"/>
    </xf>
    <xf numFmtId="180" fontId="67" fillId="0" borderId="0" applyNumberFormat="0" applyFill="0" applyBorder="0" applyAlignment="0" applyProtection="0">
      <alignment vertical="top"/>
      <protection locked="0"/>
    </xf>
    <xf numFmtId="180" fontId="4" fillId="0" borderId="0"/>
    <xf numFmtId="41" fontId="56" fillId="0" borderId="0" applyFont="0" applyFill="0" applyBorder="0" applyAlignment="0" applyProtection="0">
      <alignment vertical="center"/>
    </xf>
    <xf numFmtId="180" fontId="7" fillId="0" borderId="0"/>
    <xf numFmtId="180" fontId="7" fillId="0" borderId="0"/>
    <xf numFmtId="178" fontId="7" fillId="0" borderId="0" applyFont="0" applyFill="0" applyBorder="0" applyAlignment="0" applyProtection="0">
      <alignment vertical="center"/>
    </xf>
    <xf numFmtId="180" fontId="7" fillId="0" borderId="0"/>
    <xf numFmtId="180" fontId="3" fillId="0" borderId="0">
      <alignment vertical="center"/>
    </xf>
  </cellStyleXfs>
  <cellXfs count="605">
    <xf numFmtId="180" fontId="0" fillId="0" borderId="0" xfId="0">
      <alignment vertical="center"/>
    </xf>
    <xf numFmtId="180" fontId="2" fillId="28" borderId="0" xfId="0" applyFont="1" applyFill="1" applyAlignment="1" applyProtection="1">
      <protection locked="0"/>
    </xf>
    <xf numFmtId="180" fontId="39" fillId="28" borderId="16" xfId="0" applyFont="1" applyFill="1" applyBorder="1" applyAlignment="1" applyProtection="1">
      <alignment horizontal="center" vertical="center"/>
      <protection locked="0"/>
    </xf>
    <xf numFmtId="180" fontId="39" fillId="28" borderId="16" xfId="0" applyFont="1" applyFill="1" applyBorder="1" applyAlignment="1" applyProtection="1">
      <alignment horizontal="center" vertical="center" wrapText="1"/>
      <protection locked="0"/>
    </xf>
    <xf numFmtId="49" fontId="39" fillId="28" borderId="16" xfId="0" applyNumberFormat="1" applyFont="1" applyFill="1" applyBorder="1" applyAlignment="1" applyProtection="1">
      <alignment horizontal="center" vertical="center" wrapText="1"/>
      <protection locked="0"/>
    </xf>
    <xf numFmtId="180" fontId="40" fillId="28" borderId="16" xfId="0" applyFont="1" applyFill="1" applyBorder="1" applyAlignment="1" applyProtection="1">
      <alignment horizontal="center"/>
      <protection locked="0"/>
    </xf>
    <xf numFmtId="49" fontId="40" fillId="28" borderId="16" xfId="0" applyNumberFormat="1" applyFont="1" applyFill="1" applyBorder="1" applyAlignment="1" applyProtection="1">
      <protection locked="0"/>
    </xf>
    <xf numFmtId="49" fontId="40" fillId="28" borderId="16" xfId="0" applyNumberFormat="1" applyFont="1" applyFill="1" applyBorder="1" applyAlignment="1" applyProtection="1">
      <alignment wrapText="1"/>
      <protection locked="0"/>
    </xf>
    <xf numFmtId="177" fontId="41" fillId="28" borderId="16" xfId="0" applyNumberFormat="1" applyFont="1" applyFill="1" applyBorder="1" applyAlignment="1"/>
    <xf numFmtId="49" fontId="41" fillId="28" borderId="16" xfId="0" applyNumberFormat="1" applyFont="1" applyFill="1" applyBorder="1" applyAlignment="1" applyProtection="1">
      <alignment wrapText="1"/>
      <protection locked="0"/>
    </xf>
    <xf numFmtId="177" fontId="41" fillId="28" borderId="16" xfId="0" applyNumberFormat="1" applyFont="1" applyFill="1" applyBorder="1" applyAlignment="1" applyProtection="1">
      <protection locked="0"/>
    </xf>
    <xf numFmtId="49" fontId="41" fillId="28" borderId="16" xfId="0" applyNumberFormat="1" applyFont="1" applyFill="1" applyBorder="1" applyAlignment="1" applyProtection="1">
      <alignment horizontal="left" wrapText="1"/>
      <protection locked="0"/>
    </xf>
    <xf numFmtId="49" fontId="41" fillId="28" borderId="16" xfId="0" applyNumberFormat="1" applyFont="1" applyFill="1" applyBorder="1" applyAlignment="1" applyProtection="1">
      <protection locked="0"/>
    </xf>
    <xf numFmtId="180" fontId="41" fillId="28" borderId="0" xfId="0" applyFont="1" applyFill="1" applyAlignment="1" applyProtection="1">
      <protection locked="0"/>
    </xf>
    <xf numFmtId="180" fontId="40" fillId="2" borderId="16" xfId="0" applyFont="1" applyFill="1" applyBorder="1" applyAlignment="1" applyProtection="1">
      <alignment horizontal="center"/>
      <protection locked="0"/>
    </xf>
    <xf numFmtId="49" fontId="2" fillId="2" borderId="16" xfId="0" applyNumberFormat="1" applyFont="1" applyFill="1" applyBorder="1" applyAlignment="1" applyProtection="1">
      <protection locked="0"/>
    </xf>
    <xf numFmtId="49" fontId="2" fillId="2" borderId="16" xfId="0" applyNumberFormat="1" applyFont="1" applyFill="1" applyBorder="1" applyAlignment="1" applyProtection="1">
      <alignment wrapText="1"/>
      <protection locked="0"/>
    </xf>
    <xf numFmtId="177" fontId="2" fillId="2" borderId="16" xfId="0" applyNumberFormat="1" applyFont="1" applyFill="1" applyBorder="1" applyAlignment="1" applyProtection="1">
      <protection locked="0"/>
    </xf>
    <xf numFmtId="177" fontId="41" fillId="2" borderId="16" xfId="0" applyNumberFormat="1" applyFont="1" applyFill="1" applyBorder="1" applyAlignment="1"/>
    <xf numFmtId="180" fontId="2" fillId="2" borderId="0" xfId="0" applyFont="1" applyFill="1" applyAlignment="1" applyProtection="1">
      <protection locked="0"/>
    </xf>
    <xf numFmtId="49" fontId="2" fillId="28" borderId="16" xfId="0" applyNumberFormat="1" applyFont="1" applyFill="1" applyBorder="1" applyAlignment="1" applyProtection="1">
      <protection locked="0"/>
    </xf>
    <xf numFmtId="177" fontId="2" fillId="28" borderId="16" xfId="0" applyNumberFormat="1" applyFont="1" applyFill="1" applyBorder="1" applyAlignment="1"/>
    <xf numFmtId="49" fontId="2" fillId="28" borderId="16" xfId="0" applyNumberFormat="1" applyFont="1" applyFill="1" applyBorder="1" applyAlignment="1" applyProtection="1">
      <alignment wrapText="1"/>
      <protection locked="0"/>
    </xf>
    <xf numFmtId="177" fontId="2" fillId="28" borderId="16" xfId="0" applyNumberFormat="1" applyFont="1" applyFill="1" applyBorder="1" applyAlignment="1" applyProtection="1">
      <protection locked="0"/>
    </xf>
    <xf numFmtId="49" fontId="40" fillId="2" borderId="16" xfId="0" applyNumberFormat="1" applyFont="1" applyFill="1" applyBorder="1" applyAlignment="1" applyProtection="1">
      <protection locked="0"/>
    </xf>
    <xf numFmtId="177" fontId="41" fillId="2" borderId="16" xfId="0" applyNumberFormat="1" applyFont="1" applyFill="1" applyBorder="1" applyAlignment="1" applyProtection="1">
      <protection locked="0"/>
    </xf>
    <xf numFmtId="49" fontId="41" fillId="2" borderId="16" xfId="0" applyNumberFormat="1" applyFont="1" applyFill="1" applyBorder="1" applyAlignment="1" applyProtection="1">
      <alignment wrapText="1"/>
      <protection locked="0"/>
    </xf>
    <xf numFmtId="180" fontId="2" fillId="2" borderId="16" xfId="0" applyFont="1" applyFill="1" applyBorder="1" applyAlignment="1" applyProtection="1">
      <alignment wrapText="1"/>
      <protection locked="0"/>
    </xf>
    <xf numFmtId="180" fontId="41" fillId="28" borderId="16" xfId="0" applyFont="1" applyFill="1" applyBorder="1" applyAlignment="1" applyProtection="1">
      <alignment wrapText="1"/>
      <protection locked="0"/>
    </xf>
    <xf numFmtId="180" fontId="2" fillId="28" borderId="16" xfId="0" applyFont="1" applyFill="1" applyBorder="1" applyAlignment="1" applyProtection="1">
      <alignment wrapText="1"/>
      <protection locked="0"/>
    </xf>
    <xf numFmtId="178" fontId="2" fillId="28" borderId="16" xfId="0" applyNumberFormat="1" applyFont="1" applyFill="1" applyBorder="1" applyAlignment="1" applyProtection="1">
      <protection locked="0"/>
    </xf>
    <xf numFmtId="49" fontId="40" fillId="28" borderId="17" xfId="0" applyNumberFormat="1" applyFont="1" applyFill="1" applyBorder="1" applyProtection="1">
      <alignment vertical="center"/>
      <protection locked="0"/>
    </xf>
    <xf numFmtId="180" fontId="2" fillId="28" borderId="17" xfId="0" applyFont="1" applyFill="1" applyBorder="1" applyAlignment="1" applyProtection="1">
      <alignment wrapText="1"/>
      <protection locked="0"/>
    </xf>
    <xf numFmtId="177" fontId="2" fillId="28" borderId="17" xfId="0" applyNumberFormat="1" applyFont="1" applyFill="1" applyBorder="1" applyAlignment="1" applyProtection="1">
      <protection locked="0"/>
    </xf>
    <xf numFmtId="177" fontId="2" fillId="2" borderId="17" xfId="0" applyNumberFormat="1" applyFont="1" applyFill="1" applyBorder="1" applyAlignment="1" applyProtection="1">
      <protection locked="0"/>
    </xf>
    <xf numFmtId="49" fontId="2" fillId="28" borderId="17" xfId="0" applyNumberFormat="1" applyFont="1" applyFill="1" applyBorder="1" applyAlignment="1" applyProtection="1">
      <alignment wrapText="1"/>
      <protection locked="0"/>
    </xf>
    <xf numFmtId="49" fontId="40" fillId="28" borderId="1" xfId="0" applyNumberFormat="1" applyFont="1" applyFill="1" applyBorder="1" applyProtection="1">
      <alignment vertical="center"/>
      <protection locked="0"/>
    </xf>
    <xf numFmtId="180" fontId="2" fillId="28" borderId="1" xfId="0" applyFont="1" applyFill="1" applyBorder="1" applyAlignment="1" applyProtection="1">
      <alignment wrapText="1"/>
      <protection locked="0"/>
    </xf>
    <xf numFmtId="177" fontId="2" fillId="28" borderId="1" xfId="0" applyNumberFormat="1" applyFont="1" applyFill="1" applyBorder="1" applyAlignment="1" applyProtection="1">
      <protection locked="0"/>
    </xf>
    <xf numFmtId="49" fontId="2" fillId="28" borderId="1" xfId="0" applyNumberFormat="1" applyFont="1" applyFill="1" applyBorder="1" applyAlignment="1" applyProtection="1">
      <alignment wrapText="1"/>
      <protection locked="0"/>
    </xf>
    <xf numFmtId="49" fontId="40" fillId="28" borderId="16" xfId="0" applyNumberFormat="1" applyFont="1" applyFill="1" applyBorder="1" applyAlignment="1" applyProtection="1">
      <alignment horizontal="left"/>
      <protection locked="0"/>
    </xf>
    <xf numFmtId="180" fontId="2" fillId="28" borderId="0" xfId="0" applyFont="1" applyFill="1" applyAlignment="1" applyProtection="1">
      <alignment horizontal="center"/>
      <protection locked="0"/>
    </xf>
    <xf numFmtId="180" fontId="2" fillId="28" borderId="0" xfId="0" applyFont="1" applyFill="1" applyAlignment="1" applyProtection="1">
      <alignment wrapText="1"/>
      <protection locked="0"/>
    </xf>
    <xf numFmtId="49" fontId="41" fillId="2" borderId="16" xfId="0" applyNumberFormat="1" applyFont="1" applyFill="1" applyBorder="1" applyAlignment="1" applyProtection="1">
      <protection locked="0"/>
    </xf>
    <xf numFmtId="180" fontId="41" fillId="2" borderId="0" xfId="0" applyFont="1" applyFill="1" applyAlignment="1" applyProtection="1">
      <protection locked="0"/>
    </xf>
    <xf numFmtId="49" fontId="40" fillId="2" borderId="16" xfId="0" applyNumberFormat="1" applyFont="1" applyFill="1" applyBorder="1" applyAlignment="1" applyProtection="1">
      <alignment wrapText="1"/>
      <protection locked="0"/>
    </xf>
    <xf numFmtId="180" fontId="39" fillId="2" borderId="16" xfId="0" applyFont="1" applyFill="1" applyBorder="1" applyAlignment="1" applyProtection="1">
      <alignment horizontal="center" vertical="center"/>
      <protection locked="0"/>
    </xf>
    <xf numFmtId="180" fontId="39" fillId="2" borderId="16" xfId="0" applyFont="1" applyFill="1" applyBorder="1" applyAlignment="1" applyProtection="1">
      <alignment horizontal="center" vertical="center" wrapText="1"/>
      <protection locked="0"/>
    </xf>
    <xf numFmtId="49" fontId="39" fillId="2" borderId="16" xfId="0" applyNumberFormat="1" applyFont="1" applyFill="1" applyBorder="1" applyAlignment="1" applyProtection="1">
      <alignment horizontal="center" vertical="center" wrapText="1"/>
      <protection locked="0"/>
    </xf>
    <xf numFmtId="49" fontId="41" fillId="2" borderId="16" xfId="0" applyNumberFormat="1" applyFont="1" applyFill="1" applyBorder="1" applyAlignment="1" applyProtection="1">
      <alignment horizontal="left" wrapText="1"/>
      <protection locked="0"/>
    </xf>
    <xf numFmtId="177" fontId="2" fillId="2" borderId="16" xfId="0" applyNumberFormat="1" applyFont="1" applyFill="1" applyBorder="1" applyAlignment="1"/>
    <xf numFmtId="180" fontId="41" fillId="2" borderId="16" xfId="0" applyFont="1" applyFill="1" applyBorder="1" applyAlignment="1" applyProtection="1">
      <alignment wrapText="1"/>
      <protection locked="0"/>
    </xf>
    <xf numFmtId="178" fontId="2" fillId="2" borderId="16" xfId="0" applyNumberFormat="1" applyFont="1" applyFill="1" applyBorder="1" applyAlignment="1" applyProtection="1">
      <protection locked="0"/>
    </xf>
    <xf numFmtId="49" fontId="40" fillId="2" borderId="17" xfId="0" applyNumberFormat="1" applyFont="1" applyFill="1" applyBorder="1" applyProtection="1">
      <alignment vertical="center"/>
      <protection locked="0"/>
    </xf>
    <xf numFmtId="180" fontId="2" fillId="2" borderId="17" xfId="0" applyFont="1" applyFill="1" applyBorder="1" applyAlignment="1" applyProtection="1">
      <alignment wrapText="1"/>
      <protection locked="0"/>
    </xf>
    <xf numFmtId="49" fontId="2" fillId="2" borderId="17" xfId="0" applyNumberFormat="1" applyFont="1" applyFill="1" applyBorder="1" applyAlignment="1" applyProtection="1">
      <alignment wrapText="1"/>
      <protection locked="0"/>
    </xf>
    <xf numFmtId="49" fontId="40" fillId="2" borderId="1" xfId="0" applyNumberFormat="1" applyFont="1" applyFill="1" applyBorder="1" applyProtection="1">
      <alignment vertical="center"/>
      <protection locked="0"/>
    </xf>
    <xf numFmtId="180" fontId="2" fillId="2" borderId="1" xfId="0" applyFont="1" applyFill="1" applyBorder="1" applyAlignment="1" applyProtection="1">
      <alignment wrapText="1"/>
      <protection locked="0"/>
    </xf>
    <xf numFmtId="177" fontId="2" fillId="2" borderId="1" xfId="0" applyNumberFormat="1" applyFont="1" applyFill="1" applyBorder="1" applyAlignment="1" applyProtection="1">
      <protection locked="0"/>
    </xf>
    <xf numFmtId="49" fontId="2" fillId="2" borderId="1" xfId="0" applyNumberFormat="1" applyFont="1" applyFill="1" applyBorder="1" applyAlignment="1" applyProtection="1">
      <alignment wrapText="1"/>
      <protection locked="0"/>
    </xf>
    <xf numFmtId="49" fontId="40" fillId="2" borderId="16" xfId="0" applyNumberFormat="1" applyFont="1" applyFill="1" applyBorder="1" applyAlignment="1" applyProtection="1">
      <alignment horizontal="left"/>
      <protection locked="0"/>
    </xf>
    <xf numFmtId="180" fontId="2" fillId="2" borderId="0" xfId="0" applyFont="1" applyFill="1" applyAlignment="1" applyProtection="1">
      <alignment horizontal="center"/>
      <protection locked="0"/>
    </xf>
    <xf numFmtId="180" fontId="2" fillId="2" borderId="0" xfId="0" applyFont="1" applyFill="1" applyAlignment="1" applyProtection="1">
      <alignment wrapText="1"/>
      <protection locked="0"/>
    </xf>
    <xf numFmtId="179" fontId="41" fillId="2" borderId="16" xfId="0" applyNumberFormat="1" applyFont="1" applyFill="1" applyBorder="1" applyAlignment="1"/>
    <xf numFmtId="176" fontId="2" fillId="2" borderId="0" xfId="0" applyNumberFormat="1" applyFont="1" applyFill="1" applyAlignment="1" applyProtection="1">
      <protection locked="0"/>
    </xf>
    <xf numFmtId="177" fontId="2" fillId="2" borderId="0" xfId="0" applyNumberFormat="1" applyFont="1" applyFill="1" applyAlignment="1" applyProtection="1">
      <protection locked="0"/>
    </xf>
    <xf numFmtId="180" fontId="44" fillId="0" borderId="0" xfId="0" applyFont="1">
      <alignment vertical="center"/>
    </xf>
    <xf numFmtId="180" fontId="44" fillId="0" borderId="16" xfId="0" applyFont="1" applyBorder="1" applyAlignment="1">
      <alignment horizontal="center" vertical="center"/>
    </xf>
    <xf numFmtId="180" fontId="44" fillId="0" borderId="16" xfId="0" applyFont="1" applyBorder="1">
      <alignment vertical="center"/>
    </xf>
    <xf numFmtId="180" fontId="43" fillId="0" borderId="16" xfId="0" applyFont="1" applyBorder="1">
      <alignment vertical="center"/>
    </xf>
    <xf numFmtId="180" fontId="44" fillId="0" borderId="16" xfId="0" applyFont="1" applyBorder="1" applyAlignment="1">
      <alignment horizontal="right" vertical="center"/>
    </xf>
    <xf numFmtId="180" fontId="44" fillId="0" borderId="0" xfId="0" applyFont="1" applyAlignment="1">
      <alignment horizontal="center" vertical="center"/>
    </xf>
    <xf numFmtId="180" fontId="44" fillId="2" borderId="16" xfId="0" applyFont="1" applyFill="1" applyBorder="1" applyAlignment="1">
      <alignment horizontal="center" vertical="center"/>
    </xf>
    <xf numFmtId="180" fontId="44" fillId="2" borderId="16" xfId="0" applyFont="1" applyFill="1" applyBorder="1">
      <alignment vertical="center"/>
    </xf>
    <xf numFmtId="180" fontId="44" fillId="2" borderId="16" xfId="0" applyFont="1" applyFill="1" applyBorder="1" applyAlignment="1">
      <alignment horizontal="right" vertical="center"/>
    </xf>
    <xf numFmtId="176" fontId="44" fillId="2" borderId="0" xfId="0" applyNumberFormat="1" applyFont="1" applyFill="1" applyAlignment="1">
      <alignment horizontal="right" vertical="center"/>
    </xf>
    <xf numFmtId="180" fontId="45" fillId="0" borderId="0" xfId="0" applyFont="1">
      <alignment vertical="center"/>
    </xf>
    <xf numFmtId="180" fontId="46" fillId="0" borderId="16" xfId="0" applyFont="1" applyBorder="1" applyAlignment="1">
      <alignment horizontal="center" vertical="center"/>
    </xf>
    <xf numFmtId="180" fontId="47" fillId="0" borderId="16" xfId="0" applyFont="1" applyBorder="1" applyAlignment="1">
      <alignment horizontal="center" vertical="center"/>
    </xf>
    <xf numFmtId="180" fontId="40" fillId="28" borderId="16" xfId="0" applyFont="1" applyFill="1" applyBorder="1" applyAlignment="1" applyProtection="1">
      <alignment horizontal="center" vertical="center" wrapText="1"/>
      <protection locked="0"/>
    </xf>
    <xf numFmtId="180" fontId="3" fillId="0" borderId="0" xfId="0" applyFont="1">
      <alignment vertical="center"/>
    </xf>
    <xf numFmtId="180" fontId="40" fillId="2" borderId="16" xfId="0" applyFont="1" applyFill="1" applyBorder="1" applyAlignment="1" applyProtection="1">
      <alignment horizontal="center" vertical="center" wrapText="1"/>
      <protection locked="0"/>
    </xf>
    <xf numFmtId="180" fontId="46" fillId="2" borderId="0" xfId="0" applyFont="1" applyFill="1">
      <alignment vertical="center"/>
    </xf>
    <xf numFmtId="180" fontId="2" fillId="29" borderId="16" xfId="0" applyFont="1" applyFill="1" applyBorder="1" applyAlignment="1">
      <alignment horizontal="center" vertical="center" wrapText="1"/>
    </xf>
    <xf numFmtId="180" fontId="49" fillId="29" borderId="16" xfId="0" applyFont="1" applyFill="1" applyBorder="1" applyAlignment="1">
      <alignment horizontal="center" vertical="center"/>
    </xf>
    <xf numFmtId="180" fontId="49" fillId="2" borderId="16" xfId="0" applyFont="1" applyFill="1" applyBorder="1" applyAlignment="1">
      <alignment horizontal="center" vertical="center"/>
    </xf>
    <xf numFmtId="180" fontId="2" fillId="2" borderId="16" xfId="0" applyFont="1" applyFill="1" applyBorder="1" applyAlignment="1">
      <alignment horizontal="center" vertical="center"/>
    </xf>
    <xf numFmtId="176" fontId="2" fillId="2" borderId="16" xfId="0" applyNumberFormat="1" applyFont="1" applyFill="1" applyBorder="1" applyAlignment="1">
      <alignment horizontal="center" vertical="center"/>
    </xf>
    <xf numFmtId="176" fontId="2" fillId="2" borderId="16" xfId="2000" applyFont="1" applyFill="1" applyBorder="1" applyAlignment="1">
      <alignment horizontal="center" vertical="center" wrapText="1"/>
    </xf>
    <xf numFmtId="176" fontId="49" fillId="2" borderId="16" xfId="0" applyNumberFormat="1" applyFont="1" applyFill="1" applyBorder="1" applyAlignment="1">
      <alignment horizontal="center" vertical="center"/>
    </xf>
    <xf numFmtId="176" fontId="2" fillId="2" borderId="16" xfId="2000" applyFont="1" applyFill="1" applyBorder="1" applyAlignment="1">
      <alignment horizontal="center" vertical="center"/>
    </xf>
    <xf numFmtId="180" fontId="2" fillId="29" borderId="16" xfId="0" applyFont="1" applyFill="1" applyBorder="1" applyAlignment="1">
      <alignment horizontal="center" vertical="center"/>
    </xf>
    <xf numFmtId="176" fontId="49" fillId="29" borderId="16" xfId="0" applyNumberFormat="1" applyFont="1" applyFill="1" applyBorder="1" applyAlignment="1">
      <alignment horizontal="center" vertical="center"/>
    </xf>
    <xf numFmtId="180" fontId="46" fillId="29" borderId="0" xfId="0" applyFont="1" applyFill="1">
      <alignment vertical="center"/>
    </xf>
    <xf numFmtId="176" fontId="2" fillId="2" borderId="16" xfId="0" applyNumberFormat="1" applyFont="1" applyFill="1" applyBorder="1" applyAlignment="1">
      <alignment horizontal="center" vertical="center" wrapText="1"/>
    </xf>
    <xf numFmtId="180" fontId="49" fillId="2" borderId="0" xfId="0" applyFont="1" applyFill="1">
      <alignment vertical="center"/>
    </xf>
    <xf numFmtId="180" fontId="2" fillId="2" borderId="16" xfId="0" applyFont="1" applyFill="1" applyBorder="1" applyAlignment="1">
      <alignment horizontal="center" vertical="center" wrapText="1"/>
    </xf>
    <xf numFmtId="176" fontId="46" fillId="2" borderId="0" xfId="0" applyNumberFormat="1" applyFont="1" applyFill="1">
      <alignment vertical="center"/>
    </xf>
    <xf numFmtId="180" fontId="46" fillId="2" borderId="0" xfId="0" applyFont="1" applyFill="1" applyAlignment="1">
      <alignment horizontal="center" vertical="center"/>
    </xf>
    <xf numFmtId="180" fontId="46" fillId="2" borderId="16" xfId="0" applyFont="1" applyFill="1" applyBorder="1" applyAlignment="1">
      <alignment horizontal="center" vertical="center"/>
    </xf>
    <xf numFmtId="180" fontId="51" fillId="28" borderId="0" xfId="0" applyFont="1" applyFill="1" applyAlignment="1">
      <alignment horizontal="center" vertical="center"/>
    </xf>
    <xf numFmtId="180" fontId="31" fillId="28" borderId="16" xfId="0" applyFont="1" applyFill="1" applyBorder="1" applyAlignment="1">
      <alignment horizontal="center" vertical="center"/>
    </xf>
    <xf numFmtId="180" fontId="52" fillId="28" borderId="0" xfId="0" applyFont="1" applyFill="1" applyAlignment="1">
      <alignment horizontal="center" vertical="center"/>
    </xf>
    <xf numFmtId="180" fontId="4" fillId="28" borderId="12" xfId="0" applyFont="1" applyFill="1" applyBorder="1" applyAlignment="1">
      <alignment vertical="center" wrapText="1"/>
    </xf>
    <xf numFmtId="180" fontId="4" fillId="28" borderId="19" xfId="0" applyFont="1" applyFill="1" applyBorder="1" applyAlignment="1">
      <alignment horizontal="center" vertical="center" wrapText="1"/>
    </xf>
    <xf numFmtId="43" fontId="31" fillId="28" borderId="16" xfId="1720" applyFont="1" applyFill="1" applyBorder="1" applyAlignment="1">
      <alignment horizontal="center" vertical="center"/>
    </xf>
    <xf numFmtId="180" fontId="4" fillId="28" borderId="16" xfId="0" applyFont="1" applyFill="1" applyBorder="1" applyAlignment="1">
      <alignment horizontal="center" vertical="center"/>
    </xf>
    <xf numFmtId="180" fontId="31" fillId="28" borderId="12" xfId="0" applyFont="1" applyFill="1" applyBorder="1" applyAlignment="1">
      <alignment vertical="center" wrapText="1"/>
    </xf>
    <xf numFmtId="180" fontId="31" fillId="28" borderId="16" xfId="0" applyFont="1" applyFill="1" applyBorder="1" applyAlignment="1">
      <alignment horizontal="center" vertical="center" wrapText="1"/>
    </xf>
    <xf numFmtId="180" fontId="52" fillId="28" borderId="16" xfId="0" applyFont="1" applyFill="1" applyBorder="1" applyAlignment="1">
      <alignment horizontal="left" vertical="center" wrapText="1"/>
    </xf>
    <xf numFmtId="43" fontId="31" fillId="30" borderId="16" xfId="1720" applyFont="1" applyFill="1" applyBorder="1" applyAlignment="1">
      <alignment horizontal="center" vertical="center"/>
    </xf>
    <xf numFmtId="180" fontId="52" fillId="30" borderId="16" xfId="0" applyFont="1" applyFill="1" applyBorder="1" applyAlignment="1">
      <alignment horizontal="center" vertical="center"/>
    </xf>
    <xf numFmtId="180" fontId="4" fillId="28" borderId="16" xfId="0" applyFont="1" applyFill="1" applyBorder="1" applyAlignment="1">
      <alignment horizontal="center" vertical="center" wrapText="1"/>
    </xf>
    <xf numFmtId="180" fontId="52" fillId="30" borderId="16" xfId="0" applyFont="1" applyFill="1" applyBorder="1" applyAlignment="1">
      <alignment horizontal="left" vertical="center" wrapText="1"/>
    </xf>
    <xf numFmtId="180" fontId="31" fillId="28" borderId="11" xfId="0" applyFont="1" applyFill="1" applyBorder="1" applyAlignment="1">
      <alignment horizontal="center" vertical="center" wrapText="1"/>
    </xf>
    <xf numFmtId="180" fontId="8" fillId="28" borderId="12" xfId="0" applyFont="1" applyFill="1" applyBorder="1" applyAlignment="1">
      <alignment horizontal="center" vertical="center" wrapText="1"/>
    </xf>
    <xf numFmtId="180" fontId="51" fillId="28" borderId="0" xfId="0" applyFont="1" applyFill="1" applyAlignment="1">
      <alignment vertical="center" wrapText="1"/>
    </xf>
    <xf numFmtId="180" fontId="51" fillId="28" borderId="0" xfId="0" applyFont="1" applyFill="1" applyAlignment="1">
      <alignment horizontal="center" vertical="center" wrapText="1"/>
    </xf>
    <xf numFmtId="43" fontId="51" fillId="28" borderId="0" xfId="1720" applyFont="1" applyFill="1" applyAlignment="1">
      <alignment horizontal="center" vertical="center"/>
    </xf>
    <xf numFmtId="43" fontId="51" fillId="28" borderId="0" xfId="0" applyNumberFormat="1" applyFont="1" applyFill="1" applyAlignment="1">
      <alignment horizontal="center" vertical="center"/>
    </xf>
    <xf numFmtId="180" fontId="51" fillId="28" borderId="0" xfId="0" applyFont="1" applyFill="1" applyAlignment="1">
      <alignment horizontal="left" vertical="center" wrapText="1"/>
    </xf>
    <xf numFmtId="178" fontId="51" fillId="28" borderId="0" xfId="1720" applyNumberFormat="1" applyFont="1" applyFill="1" applyAlignment="1">
      <alignment horizontal="center" vertical="center"/>
    </xf>
    <xf numFmtId="178" fontId="51" fillId="28" borderId="0" xfId="0" applyNumberFormat="1" applyFont="1" applyFill="1" applyAlignment="1">
      <alignment horizontal="center" vertical="center"/>
    </xf>
    <xf numFmtId="176" fontId="46" fillId="2" borderId="0" xfId="0" applyNumberFormat="1" applyFont="1" applyFill="1" applyAlignment="1">
      <alignment horizontal="center" vertical="center"/>
    </xf>
    <xf numFmtId="180" fontId="53" fillId="28" borderId="16" xfId="0" applyFont="1" applyFill="1" applyBorder="1" applyAlignment="1">
      <alignment horizontal="left" vertical="center" wrapText="1"/>
    </xf>
    <xf numFmtId="180" fontId="53" fillId="28" borderId="0" xfId="0" applyFont="1" applyFill="1" applyAlignment="1">
      <alignment horizontal="center" vertical="center"/>
    </xf>
    <xf numFmtId="180" fontId="54" fillId="28" borderId="16" xfId="0" applyFont="1" applyFill="1" applyBorder="1" applyAlignment="1">
      <alignment horizontal="center" vertical="center"/>
    </xf>
    <xf numFmtId="180" fontId="54" fillId="28" borderId="12" xfId="0" applyFont="1" applyFill="1" applyBorder="1" applyAlignment="1">
      <alignment horizontal="center" vertical="center" wrapText="1"/>
    </xf>
    <xf numFmtId="180" fontId="55" fillId="28" borderId="16" xfId="0" applyFont="1" applyFill="1" applyBorder="1" applyAlignment="1">
      <alignment horizontal="center" vertical="center" wrapText="1"/>
    </xf>
    <xf numFmtId="180" fontId="54" fillId="28" borderId="16" xfId="0" applyFont="1" applyFill="1" applyBorder="1" applyAlignment="1">
      <alignment horizontal="center" vertical="center" wrapText="1"/>
    </xf>
    <xf numFmtId="178" fontId="54" fillId="28" borderId="16" xfId="1720" applyNumberFormat="1" applyFont="1" applyFill="1" applyBorder="1" applyAlignment="1">
      <alignment horizontal="center" vertical="center" wrapText="1"/>
    </xf>
    <xf numFmtId="178" fontId="54" fillId="28" borderId="16" xfId="0" applyNumberFormat="1" applyFont="1" applyFill="1" applyBorder="1" applyAlignment="1">
      <alignment horizontal="center" vertical="center" wrapText="1"/>
    </xf>
    <xf numFmtId="180" fontId="55" fillId="28" borderId="12" xfId="0" applyFont="1" applyFill="1" applyBorder="1" applyAlignment="1">
      <alignment horizontal="center" vertical="center"/>
    </xf>
    <xf numFmtId="180" fontId="31" fillId="30" borderId="12" xfId="0" applyFont="1" applyFill="1" applyBorder="1" applyAlignment="1">
      <alignment vertical="center" wrapText="1"/>
    </xf>
    <xf numFmtId="180" fontId="31" fillId="30" borderId="13" xfId="0" applyFont="1" applyFill="1" applyBorder="1" applyAlignment="1">
      <alignment horizontal="center" vertical="center" wrapText="1"/>
    </xf>
    <xf numFmtId="180" fontId="31" fillId="30" borderId="14" xfId="0" applyFont="1" applyFill="1" applyBorder="1">
      <alignment vertical="center"/>
    </xf>
    <xf numFmtId="180" fontId="31" fillId="30" borderId="16" xfId="0" applyFont="1" applyFill="1" applyBorder="1" applyAlignment="1">
      <alignment horizontal="center" vertical="center"/>
    </xf>
    <xf numFmtId="43" fontId="31" fillId="30" borderId="16" xfId="0" applyNumberFormat="1" applyFont="1" applyFill="1" applyBorder="1" applyAlignment="1">
      <alignment horizontal="center" vertical="center"/>
    </xf>
    <xf numFmtId="180" fontId="31" fillId="30" borderId="12" xfId="0" applyFont="1" applyFill="1" applyBorder="1" applyAlignment="1">
      <alignment horizontal="center" vertical="center"/>
    </xf>
    <xf numFmtId="43" fontId="31" fillId="28" borderId="16" xfId="0" applyNumberFormat="1" applyFont="1" applyFill="1" applyBorder="1" applyAlignment="1">
      <alignment horizontal="center" vertical="center"/>
    </xf>
    <xf numFmtId="180" fontId="53" fillId="28" borderId="16" xfId="0" applyFont="1" applyFill="1" applyBorder="1" applyAlignment="1">
      <alignment horizontal="center" vertical="center"/>
    </xf>
    <xf numFmtId="180" fontId="53" fillId="28" borderId="12" xfId="0" applyFont="1" applyFill="1" applyBorder="1" applyAlignment="1">
      <alignment horizontal="center" vertical="center"/>
    </xf>
    <xf numFmtId="180" fontId="46" fillId="2" borderId="20" xfId="0" applyFont="1" applyFill="1" applyBorder="1">
      <alignment vertical="center"/>
    </xf>
    <xf numFmtId="180" fontId="46" fillId="2" borderId="20" xfId="0" applyFont="1" applyFill="1" applyBorder="1" applyAlignment="1">
      <alignment horizontal="center" vertical="center"/>
    </xf>
    <xf numFmtId="180" fontId="3" fillId="0" borderId="0" xfId="0" applyFont="1" applyAlignment="1"/>
    <xf numFmtId="180" fontId="4" fillId="30" borderId="21" xfId="0" applyFont="1" applyFill="1" applyBorder="1" applyAlignment="1">
      <alignment horizontal="center" vertical="center"/>
    </xf>
    <xf numFmtId="180" fontId="4" fillId="30" borderId="20" xfId="0" applyFont="1" applyFill="1" applyBorder="1" applyAlignment="1">
      <alignment horizontal="center" vertical="center"/>
    </xf>
    <xf numFmtId="180" fontId="4" fillId="30" borderId="20" xfId="0" applyFont="1" applyFill="1" applyBorder="1" applyAlignment="1">
      <alignment horizontal="center" vertical="center" wrapText="1"/>
    </xf>
    <xf numFmtId="180" fontId="3" fillId="0" borderId="21" xfId="0" applyFont="1" applyBorder="1" applyAlignment="1"/>
    <xf numFmtId="180" fontId="3" fillId="0" borderId="20" xfId="0" applyFont="1" applyBorder="1" applyAlignment="1">
      <alignment horizontal="center"/>
    </xf>
    <xf numFmtId="180" fontId="3" fillId="29" borderId="20" xfId="0" applyFont="1" applyFill="1" applyBorder="1" applyAlignment="1">
      <alignment horizontal="center"/>
    </xf>
    <xf numFmtId="180" fontId="4" fillId="0" borderId="20" xfId="0" applyFont="1" applyBorder="1" applyAlignment="1">
      <alignment horizontal="center"/>
    </xf>
    <xf numFmtId="180" fontId="59" fillId="2" borderId="0" xfId="0" applyFont="1" applyFill="1">
      <alignment vertical="center"/>
    </xf>
    <xf numFmtId="180" fontId="4" fillId="29" borderId="20" xfId="1094" applyFont="1" applyFill="1" applyBorder="1" applyAlignment="1">
      <alignment horizontal="center" vertical="center"/>
    </xf>
    <xf numFmtId="180" fontId="60" fillId="29" borderId="20" xfId="2001" applyFont="1" applyFill="1" applyBorder="1" applyAlignment="1">
      <alignment horizontal="center" vertical="center"/>
    </xf>
    <xf numFmtId="180" fontId="2" fillId="2" borderId="20" xfId="1094" applyFont="1" applyFill="1" applyBorder="1" applyAlignment="1">
      <alignment horizontal="center" vertical="center" wrapText="1"/>
    </xf>
    <xf numFmtId="180" fontId="2" fillId="2" borderId="20" xfId="1094" applyFont="1" applyFill="1" applyBorder="1" applyAlignment="1">
      <alignment vertical="center" wrapText="1"/>
    </xf>
    <xf numFmtId="180" fontId="44" fillId="2" borderId="20" xfId="1149" applyFont="1" applyFill="1" applyBorder="1" applyAlignment="1">
      <alignment horizontal="center" vertical="center"/>
    </xf>
    <xf numFmtId="180" fontId="49" fillId="2" borderId="20" xfId="2001" applyFont="1" applyFill="1" applyBorder="1" applyAlignment="1">
      <alignment horizontal="center" vertical="center"/>
    </xf>
    <xf numFmtId="180" fontId="2" fillId="29" borderId="20" xfId="1094" applyFont="1" applyFill="1" applyBorder="1" applyAlignment="1">
      <alignment horizontal="center" vertical="center" wrapText="1"/>
    </xf>
    <xf numFmtId="180" fontId="2" fillId="29" borderId="20" xfId="1094" applyFont="1" applyFill="1" applyBorder="1">
      <alignment vertical="center"/>
    </xf>
    <xf numFmtId="180" fontId="2" fillId="29" borderId="20" xfId="1094" applyFont="1" applyFill="1" applyBorder="1" applyAlignment="1">
      <alignment vertical="center" wrapText="1"/>
    </xf>
    <xf numFmtId="180" fontId="49" fillId="29" borderId="20" xfId="2001" applyFont="1" applyFill="1" applyBorder="1" applyAlignment="1">
      <alignment horizontal="center" vertical="center"/>
    </xf>
    <xf numFmtId="180" fontId="49" fillId="2" borderId="20" xfId="2002" applyNumberFormat="1" applyFont="1" applyFill="1" applyBorder="1" applyAlignment="1">
      <alignment horizontal="left" vertical="center"/>
    </xf>
    <xf numFmtId="180" fontId="49" fillId="2" borderId="20" xfId="2003" applyNumberFormat="1" applyFont="1" applyFill="1" applyBorder="1" applyAlignment="1">
      <alignment horizontal="center" vertical="center"/>
    </xf>
    <xf numFmtId="180" fontId="49" fillId="2" borderId="20" xfId="2004" applyNumberFormat="1" applyFont="1" applyFill="1" applyBorder="1" applyAlignment="1">
      <alignment horizontal="left" vertical="center"/>
    </xf>
    <xf numFmtId="180" fontId="4" fillId="2" borderId="20" xfId="1099" applyFont="1" applyFill="1" applyBorder="1" applyAlignment="1">
      <alignment horizontal="left" vertical="center"/>
    </xf>
    <xf numFmtId="180" fontId="49" fillId="2" borderId="22" xfId="2001" applyFont="1" applyFill="1" applyBorder="1">
      <alignment vertical="center"/>
    </xf>
    <xf numFmtId="180" fontId="2" fillId="2" borderId="20" xfId="2003" applyNumberFormat="1" applyFont="1" applyFill="1" applyBorder="1">
      <alignment vertical="center"/>
    </xf>
    <xf numFmtId="180" fontId="49" fillId="2" borderId="20" xfId="2003" applyNumberFormat="1" applyFont="1" applyFill="1" applyBorder="1">
      <alignment vertical="center"/>
    </xf>
    <xf numFmtId="180" fontId="61" fillId="0" borderId="0" xfId="0" applyFont="1">
      <alignment vertical="center"/>
    </xf>
    <xf numFmtId="180" fontId="42" fillId="29" borderId="20" xfId="2005" applyNumberFormat="1" applyFont="1" applyFill="1" applyBorder="1" applyAlignment="1">
      <alignment horizontal="center" vertical="center" wrapText="1"/>
    </xf>
    <xf numFmtId="180" fontId="62" fillId="29" borderId="20" xfId="2005" applyNumberFormat="1" applyFont="1" applyFill="1" applyBorder="1" applyAlignment="1">
      <alignment horizontal="center" vertical="center" wrapText="1"/>
    </xf>
    <xf numFmtId="180" fontId="2" fillId="28" borderId="20" xfId="1094" applyFont="1" applyFill="1" applyBorder="1" applyAlignment="1">
      <alignment horizontal="center" vertical="center" wrapText="1"/>
    </xf>
    <xf numFmtId="180" fontId="60" fillId="0" borderId="20" xfId="1149" applyFont="1" applyBorder="1" applyAlignment="1">
      <alignment horizontal="center" vertical="center"/>
    </xf>
    <xf numFmtId="180" fontId="44" fillId="0" borderId="20" xfId="1149" applyFont="1" applyBorder="1" applyAlignment="1">
      <alignment horizontal="center" vertical="center"/>
    </xf>
    <xf numFmtId="180" fontId="63" fillId="0" borderId="20" xfId="1335" applyFont="1" applyBorder="1" applyAlignment="1">
      <alignment horizontal="center" vertical="center"/>
    </xf>
    <xf numFmtId="176" fontId="1" fillId="0" borderId="20" xfId="0" applyNumberFormat="1" applyFont="1" applyBorder="1">
      <alignment vertical="center"/>
    </xf>
    <xf numFmtId="180" fontId="4" fillId="0" borderId="20" xfId="1335" applyFont="1" applyBorder="1" applyAlignment="1">
      <alignment horizontal="center" vertical="center"/>
    </xf>
    <xf numFmtId="176" fontId="1" fillId="29" borderId="20" xfId="0" applyNumberFormat="1" applyFont="1" applyFill="1" applyBorder="1">
      <alignment vertical="center"/>
    </xf>
    <xf numFmtId="176" fontId="2" fillId="29" borderId="20" xfId="1094" applyNumberFormat="1" applyFont="1" applyFill="1" applyBorder="1" applyAlignment="1">
      <alignment vertical="center" wrapText="1"/>
    </xf>
    <xf numFmtId="180" fontId="64" fillId="0" borderId="0" xfId="1094" applyFont="1" applyAlignment="1">
      <alignment horizontal="left" vertical="center"/>
    </xf>
    <xf numFmtId="180" fontId="61" fillId="0" borderId="0" xfId="0" applyFont="1" applyAlignment="1">
      <alignment horizontal="center" vertical="center"/>
    </xf>
    <xf numFmtId="180" fontId="65" fillId="29" borderId="20" xfId="1384" applyFont="1" applyFill="1" applyBorder="1" applyAlignment="1">
      <alignment horizontal="center" vertical="center" wrapText="1"/>
    </xf>
    <xf numFmtId="180" fontId="44" fillId="0" borderId="20" xfId="1150" applyFont="1" applyBorder="1" applyAlignment="1">
      <alignment horizontal="center" vertical="center" shrinkToFit="1"/>
    </xf>
    <xf numFmtId="180" fontId="46" fillId="2" borderId="20" xfId="1123" applyFont="1" applyFill="1" applyBorder="1" applyAlignment="1">
      <alignment horizontal="center" vertical="center"/>
    </xf>
    <xf numFmtId="180" fontId="44" fillId="0" borderId="20" xfId="1150" applyFont="1" applyBorder="1" applyAlignment="1">
      <alignment horizontal="center" vertical="center"/>
    </xf>
    <xf numFmtId="180" fontId="44" fillId="0" borderId="20" xfId="1200" applyFont="1" applyBorder="1" applyAlignment="1">
      <alignment horizontal="center" vertical="center" shrinkToFit="1"/>
    </xf>
    <xf numFmtId="180" fontId="66" fillId="29" borderId="20" xfId="1123" applyFont="1" applyFill="1" applyBorder="1" applyAlignment="1">
      <alignment horizontal="center" vertical="center" shrinkToFit="1"/>
    </xf>
    <xf numFmtId="180" fontId="46" fillId="29" borderId="20" xfId="1123" applyFont="1" applyFill="1" applyBorder="1" applyAlignment="1">
      <alignment horizontal="center" vertical="center"/>
    </xf>
    <xf numFmtId="180" fontId="46" fillId="29" borderId="20" xfId="0" applyFont="1" applyFill="1" applyBorder="1" applyAlignment="1">
      <alignment horizontal="center" vertical="center"/>
    </xf>
    <xf numFmtId="180" fontId="66" fillId="2" borderId="20" xfId="1123" applyFont="1" applyFill="1" applyBorder="1" applyAlignment="1">
      <alignment horizontal="center" vertical="center" shrinkToFit="1"/>
    </xf>
    <xf numFmtId="180" fontId="44" fillId="0" borderId="15" xfId="1150" applyFont="1" applyBorder="1" applyAlignment="1">
      <alignment horizontal="center" vertical="center" shrinkToFit="1"/>
    </xf>
    <xf numFmtId="180" fontId="46" fillId="2" borderId="20" xfId="1123" applyFont="1" applyFill="1" applyBorder="1" applyAlignment="1">
      <alignment horizontal="center" vertical="center" shrinkToFit="1"/>
    </xf>
    <xf numFmtId="180" fontId="63" fillId="0" borderId="20" xfId="1200" applyFont="1" applyBorder="1" applyAlignment="1">
      <alignment horizontal="center" vertical="center" shrinkToFit="1"/>
    </xf>
    <xf numFmtId="180" fontId="63" fillId="0" borderId="20" xfId="1200" applyFont="1" applyBorder="1" applyAlignment="1">
      <alignment horizontal="center" vertical="center" wrapText="1"/>
    </xf>
    <xf numFmtId="180" fontId="0" fillId="2" borderId="0" xfId="0" applyFill="1">
      <alignment vertical="center"/>
    </xf>
    <xf numFmtId="180" fontId="46" fillId="0" borderId="20" xfId="0" applyFont="1" applyBorder="1" applyAlignment="1">
      <alignment horizontal="center" vertical="center"/>
    </xf>
    <xf numFmtId="180" fontId="2" fillId="2" borderId="20" xfId="0" applyFont="1" applyFill="1" applyBorder="1" applyAlignment="1">
      <alignment horizontal="center" vertical="center"/>
    </xf>
    <xf numFmtId="180" fontId="70" fillId="2" borderId="20" xfId="0" applyFont="1" applyFill="1" applyBorder="1" applyAlignment="1">
      <alignment horizontal="center" vertical="center" wrapText="1"/>
    </xf>
    <xf numFmtId="180" fontId="71" fillId="0" borderId="20" xfId="0" applyFont="1" applyBorder="1" applyAlignment="1">
      <alignment horizontal="center" vertical="center"/>
    </xf>
    <xf numFmtId="180" fontId="2" fillId="2" borderId="20" xfId="0" applyFont="1" applyFill="1" applyBorder="1" applyAlignment="1">
      <alignment horizontal="center" vertical="center" wrapText="1"/>
    </xf>
    <xf numFmtId="176" fontId="2" fillId="2" borderId="20" xfId="0" applyNumberFormat="1" applyFont="1" applyFill="1" applyBorder="1" applyAlignment="1">
      <alignment horizontal="center" vertical="center" wrapText="1"/>
    </xf>
    <xf numFmtId="176" fontId="46" fillId="0" borderId="20" xfId="0" applyNumberFormat="1" applyFont="1" applyBorder="1" applyAlignment="1">
      <alignment horizontal="center" vertical="center"/>
    </xf>
    <xf numFmtId="176" fontId="46" fillId="0" borderId="20" xfId="0" applyNumberFormat="1" applyFont="1" applyBorder="1">
      <alignment vertical="center"/>
    </xf>
    <xf numFmtId="180" fontId="46" fillId="0" borderId="0" xfId="0" applyFont="1">
      <alignment vertical="center"/>
    </xf>
    <xf numFmtId="180" fontId="72" fillId="2" borderId="20" xfId="0" applyFont="1" applyFill="1" applyBorder="1" applyAlignment="1">
      <alignment horizontal="center" vertical="center" wrapText="1"/>
    </xf>
    <xf numFmtId="176" fontId="71" fillId="0" borderId="20" xfId="0" applyNumberFormat="1" applyFont="1" applyBorder="1" applyAlignment="1">
      <alignment horizontal="center" vertical="center"/>
    </xf>
    <xf numFmtId="180" fontId="71" fillId="0" borderId="0" xfId="0" applyFont="1">
      <alignment vertical="center"/>
    </xf>
    <xf numFmtId="176" fontId="0" fillId="0" borderId="0" xfId="0" applyNumberFormat="1">
      <alignment vertical="center"/>
    </xf>
    <xf numFmtId="180" fontId="49" fillId="0" borderId="20" xfId="2006" applyFont="1" applyBorder="1" applyAlignment="1" applyProtection="1">
      <alignment horizontal="center" vertical="center"/>
    </xf>
    <xf numFmtId="180" fontId="71" fillId="0" borderId="20" xfId="0" applyFont="1" applyBorder="1">
      <alignment vertical="center"/>
    </xf>
    <xf numFmtId="180" fontId="75" fillId="0" borderId="20" xfId="0" applyFont="1" applyBorder="1">
      <alignment vertical="center"/>
    </xf>
    <xf numFmtId="180" fontId="76" fillId="0" borderId="20" xfId="0" applyFont="1" applyBorder="1">
      <alignment vertical="center"/>
    </xf>
    <xf numFmtId="176" fontId="2" fillId="31" borderId="20" xfId="0" applyNumberFormat="1" applyFont="1" applyFill="1" applyBorder="1" applyAlignment="1">
      <alignment horizontal="center" vertical="center" wrapText="1"/>
    </xf>
    <xf numFmtId="176" fontId="46" fillId="2" borderId="16" xfId="0" applyNumberFormat="1" applyFont="1" applyFill="1" applyBorder="1" applyAlignment="1">
      <alignment horizontal="center" vertical="center"/>
    </xf>
    <xf numFmtId="176" fontId="71" fillId="2" borderId="20" xfId="0" applyNumberFormat="1" applyFont="1" applyFill="1" applyBorder="1">
      <alignment vertical="center"/>
    </xf>
    <xf numFmtId="176" fontId="75" fillId="0" borderId="20" xfId="0" applyNumberFormat="1" applyFont="1" applyBorder="1">
      <alignment vertical="center"/>
    </xf>
    <xf numFmtId="176" fontId="71" fillId="0" borderId="20" xfId="0" applyNumberFormat="1" applyFont="1" applyBorder="1">
      <alignment vertical="center"/>
    </xf>
    <xf numFmtId="176" fontId="76" fillId="0" borderId="20" xfId="0" applyNumberFormat="1" applyFont="1" applyBorder="1">
      <alignment vertical="center"/>
    </xf>
    <xf numFmtId="180" fontId="77" fillId="0" borderId="20" xfId="0" applyFont="1" applyBorder="1">
      <alignment vertical="center"/>
    </xf>
    <xf numFmtId="176" fontId="75" fillId="2" borderId="20" xfId="0" applyNumberFormat="1" applyFont="1" applyFill="1" applyBorder="1">
      <alignment vertical="center"/>
    </xf>
    <xf numFmtId="180" fontId="0" fillId="0" borderId="20" xfId="0" applyBorder="1" applyAlignment="1">
      <alignment horizontal="center" vertical="center"/>
    </xf>
    <xf numFmtId="180" fontId="79" fillId="0" borderId="20" xfId="0" applyFont="1" applyBorder="1" applyAlignment="1">
      <alignment horizontal="center" vertical="center"/>
    </xf>
    <xf numFmtId="180" fontId="4" fillId="0" borderId="20" xfId="2007" applyBorder="1" applyAlignment="1">
      <alignment horizontal="center" vertical="center"/>
    </xf>
    <xf numFmtId="180" fontId="7" fillId="0" borderId="20" xfId="0" applyFont="1" applyBorder="1" applyAlignment="1">
      <alignment horizontal="center" vertical="center"/>
    </xf>
    <xf numFmtId="181" fontId="0" fillId="0" borderId="20" xfId="0" applyNumberFormat="1" applyBorder="1" applyAlignment="1">
      <alignment horizontal="center" vertical="center"/>
    </xf>
    <xf numFmtId="181" fontId="83" fillId="0" borderId="0" xfId="0" applyNumberFormat="1" applyFont="1" applyAlignment="1">
      <alignment horizontal="center" vertical="center" wrapText="1"/>
    </xf>
    <xf numFmtId="181" fontId="74" fillId="0" borderId="0" xfId="0" applyNumberFormat="1" applyFont="1" applyAlignment="1">
      <alignment horizontal="center" vertical="center" wrapText="1"/>
    </xf>
    <xf numFmtId="181" fontId="74" fillId="0" borderId="0" xfId="0" applyNumberFormat="1" applyFont="1" applyAlignment="1">
      <alignment horizontal="center" vertical="center"/>
    </xf>
    <xf numFmtId="181" fontId="74" fillId="0" borderId="0" xfId="0" applyNumberFormat="1" applyFont="1">
      <alignment vertical="center"/>
    </xf>
    <xf numFmtId="176" fontId="74" fillId="2" borderId="0" xfId="0" applyNumberFormat="1" applyFont="1" applyFill="1" applyAlignment="1">
      <alignment horizontal="center" vertical="center" wrapText="1"/>
    </xf>
    <xf numFmtId="176" fontId="74" fillId="0" borderId="0" xfId="0" applyNumberFormat="1" applyFont="1" applyAlignment="1">
      <alignment horizontal="center" vertical="center" wrapText="1"/>
    </xf>
    <xf numFmtId="176" fontId="82" fillId="0" borderId="0" xfId="0" applyNumberFormat="1" applyFont="1" applyAlignment="1">
      <alignment horizontal="center" vertical="center" wrapText="1"/>
    </xf>
    <xf numFmtId="181" fontId="74" fillId="2" borderId="0" xfId="0" applyNumberFormat="1" applyFont="1" applyFill="1" applyAlignment="1">
      <alignment horizontal="center" vertical="center" wrapText="1"/>
    </xf>
    <xf numFmtId="180" fontId="44" fillId="0" borderId="20" xfId="0" applyFont="1" applyBorder="1" applyAlignment="1">
      <alignment horizontal="center" vertical="center"/>
    </xf>
    <xf numFmtId="49" fontId="84" fillId="0" borderId="20" xfId="1123" applyNumberFormat="1" applyFont="1" applyBorder="1" applyAlignment="1">
      <alignment horizontal="center" vertical="center" wrapText="1"/>
    </xf>
    <xf numFmtId="180" fontId="4" fillId="32" borderId="20" xfId="0" applyFont="1" applyFill="1" applyBorder="1" applyAlignment="1">
      <alignment horizontal="center" vertical="center"/>
    </xf>
    <xf numFmtId="180" fontId="43" fillId="0" borderId="20" xfId="0" applyFont="1" applyBorder="1" applyAlignment="1">
      <alignment horizontal="center" vertical="center"/>
    </xf>
    <xf numFmtId="180" fontId="42" fillId="0" borderId="0" xfId="0" applyFont="1" applyAlignment="1"/>
    <xf numFmtId="180" fontId="0" fillId="0" borderId="0" xfId="0" applyAlignment="1"/>
    <xf numFmtId="180" fontId="64" fillId="0" borderId="20" xfId="0" applyFont="1" applyBorder="1" applyAlignment="1">
      <alignment horizontal="center" vertical="center"/>
    </xf>
    <xf numFmtId="180" fontId="64" fillId="0" borderId="20" xfId="0" applyFont="1" applyBorder="1" applyAlignment="1">
      <alignment horizontal="center" vertical="center" wrapText="1"/>
    </xf>
    <xf numFmtId="181" fontId="64" fillId="0" borderId="20" xfId="0" applyNumberFormat="1" applyFont="1" applyBorder="1" applyAlignment="1">
      <alignment horizontal="center" vertical="center"/>
    </xf>
    <xf numFmtId="181" fontId="64" fillId="0" borderId="20" xfId="0" applyNumberFormat="1" applyFont="1" applyBorder="1" applyAlignment="1">
      <alignment horizontal="center" vertical="center" wrapText="1"/>
    </xf>
    <xf numFmtId="176" fontId="64" fillId="0" borderId="20" xfId="2008" applyNumberFormat="1" applyFont="1" applyFill="1" applyBorder="1" applyAlignment="1">
      <alignment horizontal="center" vertical="center" wrapText="1"/>
    </xf>
    <xf numFmtId="180" fontId="4" fillId="0" borderId="23" xfId="0" applyFont="1" applyBorder="1" applyAlignment="1">
      <alignment horizontal="center" vertical="center" wrapText="1" readingOrder="1"/>
    </xf>
    <xf numFmtId="180" fontId="4" fillId="0" borderId="20" xfId="2009" applyFont="1" applyBorder="1" applyAlignment="1">
      <alignment horizontal="center" vertical="center" wrapText="1"/>
    </xf>
    <xf numFmtId="180" fontId="4" fillId="0" borderId="20" xfId="0" applyFont="1" applyBorder="1" applyAlignment="1">
      <alignment horizontal="center" vertical="center" wrapText="1" readingOrder="1"/>
    </xf>
    <xf numFmtId="181" fontId="4" fillId="0" borderId="20" xfId="0" applyNumberFormat="1" applyFont="1" applyBorder="1" applyAlignment="1">
      <alignment horizontal="center" vertical="center" wrapText="1" readingOrder="1"/>
    </xf>
    <xf numFmtId="176" fontId="4" fillId="0" borderId="20" xfId="0" applyNumberFormat="1" applyFont="1" applyBorder="1" applyAlignment="1">
      <alignment horizontal="center" vertical="center" wrapText="1" readingOrder="1"/>
    </xf>
    <xf numFmtId="181" fontId="4" fillId="0" borderId="23" xfId="0" applyNumberFormat="1" applyFont="1" applyBorder="1" applyAlignment="1">
      <alignment horizontal="center" vertical="center" wrapText="1" readingOrder="1"/>
    </xf>
    <xf numFmtId="180" fontId="64" fillId="0" borderId="20" xfId="2009" applyFont="1" applyBorder="1" applyAlignment="1">
      <alignment horizontal="center" vertical="center" wrapText="1"/>
    </xf>
    <xf numFmtId="181" fontId="4" fillId="0" borderId="20" xfId="2009" applyNumberFormat="1" applyFont="1" applyBorder="1" applyAlignment="1">
      <alignment horizontal="center" vertical="center" wrapText="1"/>
    </xf>
    <xf numFmtId="176" fontId="64" fillId="0" borderId="20" xfId="0" applyNumberFormat="1" applyFont="1" applyBorder="1" applyAlignment="1">
      <alignment horizontal="center" vertical="center" wrapText="1"/>
    </xf>
    <xf numFmtId="176" fontId="4" fillId="0" borderId="20" xfId="2008" applyNumberFormat="1" applyFont="1" applyFill="1" applyBorder="1" applyAlignment="1">
      <alignment horizontal="center" vertical="center" wrapText="1"/>
    </xf>
    <xf numFmtId="182" fontId="4" fillId="0" borderId="20" xfId="0" applyNumberFormat="1" applyFont="1" applyBorder="1" applyAlignment="1">
      <alignment horizontal="center" vertical="center" wrapText="1"/>
    </xf>
    <xf numFmtId="176" fontId="4" fillId="0" borderId="20" xfId="0" applyNumberFormat="1" applyFont="1" applyBorder="1" applyAlignment="1">
      <alignment horizontal="center" vertical="center" wrapText="1"/>
    </xf>
    <xf numFmtId="180" fontId="2" fillId="0" borderId="1" xfId="2009" applyFont="1" applyBorder="1" applyAlignment="1">
      <alignment horizontal="center" vertical="center" wrapText="1"/>
    </xf>
    <xf numFmtId="180" fontId="4" fillId="0" borderId="1" xfId="2009" applyFont="1" applyBorder="1" applyAlignment="1">
      <alignment horizontal="center" vertical="center" wrapText="1"/>
    </xf>
    <xf numFmtId="181" fontId="4" fillId="0" borderId="1" xfId="0" applyNumberFormat="1" applyFont="1" applyBorder="1" applyAlignment="1">
      <alignment horizontal="center" vertical="center" wrapText="1"/>
    </xf>
    <xf numFmtId="176" fontId="4" fillId="0" borderId="1" xfId="0" applyNumberFormat="1" applyFont="1" applyBorder="1" applyAlignment="1">
      <alignment horizontal="center" vertical="center"/>
    </xf>
    <xf numFmtId="180" fontId="4" fillId="0" borderId="20" xfId="0" applyFont="1" applyBorder="1" applyAlignment="1">
      <alignment horizontal="center" vertical="center"/>
    </xf>
    <xf numFmtId="176" fontId="64" fillId="0" borderId="20" xfId="2008" applyNumberFormat="1" applyFont="1" applyFill="1" applyBorder="1" applyAlignment="1">
      <alignment horizontal="center" vertical="center"/>
    </xf>
    <xf numFmtId="181" fontId="42" fillId="0" borderId="0" xfId="0" applyNumberFormat="1" applyFont="1" applyAlignment="1"/>
    <xf numFmtId="176" fontId="42" fillId="0" borderId="0" xfId="0" applyNumberFormat="1" applyFont="1" applyAlignment="1"/>
    <xf numFmtId="180" fontId="4" fillId="0" borderId="20" xfId="0" applyFont="1" applyBorder="1" applyAlignment="1">
      <alignment horizontal="center" vertical="center" wrapText="1"/>
    </xf>
    <xf numFmtId="181" fontId="64" fillId="0" borderId="20" xfId="2009" applyNumberFormat="1" applyFont="1" applyBorder="1" applyAlignment="1">
      <alignment horizontal="center" vertical="center" wrapText="1"/>
    </xf>
    <xf numFmtId="182" fontId="64" fillId="0" borderId="20" xfId="0" applyNumberFormat="1" applyFont="1" applyBorder="1" applyAlignment="1">
      <alignment horizontal="center" vertical="center" wrapText="1"/>
    </xf>
    <xf numFmtId="180" fontId="4" fillId="0" borderId="24" xfId="2009" applyFont="1" applyBorder="1" applyAlignment="1">
      <alignment horizontal="center" vertical="center" wrapText="1"/>
    </xf>
    <xf numFmtId="181" fontId="4" fillId="0" borderId="20" xfId="0" applyNumberFormat="1" applyFont="1" applyBorder="1" applyAlignment="1">
      <alignment horizontal="center" vertical="center" wrapText="1"/>
    </xf>
    <xf numFmtId="181" fontId="4" fillId="0" borderId="20" xfId="2008" applyNumberFormat="1" applyFont="1" applyFill="1" applyBorder="1" applyAlignment="1">
      <alignment horizontal="center" vertical="center" wrapText="1"/>
    </xf>
    <xf numFmtId="176" fontId="4" fillId="0" borderId="20" xfId="2009" applyNumberFormat="1" applyFont="1" applyBorder="1" applyAlignment="1">
      <alignment horizontal="center" vertical="center" wrapText="1"/>
    </xf>
    <xf numFmtId="180" fontId="6" fillId="0" borderId="0" xfId="0" applyFont="1" applyAlignment="1">
      <alignment horizontal="center" vertical="center"/>
    </xf>
    <xf numFmtId="180" fontId="4" fillId="0" borderId="20" xfId="1149" applyFont="1" applyBorder="1" applyAlignment="1">
      <alignment horizontal="center" vertical="center" wrapText="1"/>
    </xf>
    <xf numFmtId="181" fontId="4" fillId="0" borderId="20" xfId="1149" applyNumberFormat="1" applyFont="1" applyBorder="1" applyAlignment="1">
      <alignment horizontal="center" vertical="center" wrapText="1"/>
    </xf>
    <xf numFmtId="180" fontId="42" fillId="0" borderId="0" xfId="0" applyFont="1" applyAlignment="1">
      <alignment horizontal="center" vertical="center"/>
    </xf>
    <xf numFmtId="180" fontId="4" fillId="0" borderId="1" xfId="2010" applyFont="1" applyBorder="1" applyAlignment="1">
      <alignment horizontal="center" vertical="center" wrapText="1"/>
    </xf>
    <xf numFmtId="181" fontId="4" fillId="0" borderId="20" xfId="2010" applyNumberFormat="1" applyFont="1" applyBorder="1" applyAlignment="1">
      <alignment horizontal="center" vertical="center" wrapText="1"/>
    </xf>
    <xf numFmtId="180" fontId="42" fillId="0" borderId="0" xfId="0" applyFont="1">
      <alignment vertical="center"/>
    </xf>
    <xf numFmtId="176" fontId="64" fillId="0" borderId="20" xfId="0" applyNumberFormat="1" applyFont="1" applyBorder="1" applyAlignment="1">
      <alignment horizontal="center" vertical="center"/>
    </xf>
    <xf numFmtId="180" fontId="64" fillId="0" borderId="23" xfId="0" applyFont="1" applyBorder="1" applyAlignment="1">
      <alignment horizontal="center" vertical="center" wrapText="1" readingOrder="1"/>
    </xf>
    <xf numFmtId="180" fontId="4" fillId="0" borderId="20" xfId="2009" applyFont="1" applyBorder="1" applyAlignment="1">
      <alignment horizontal="left" vertical="center" wrapText="1"/>
    </xf>
    <xf numFmtId="180" fontId="64" fillId="0" borderId="20" xfId="0" applyFont="1" applyBorder="1" applyAlignment="1">
      <alignment horizontal="center" vertical="center" wrapText="1" readingOrder="1"/>
    </xf>
    <xf numFmtId="180" fontId="64" fillId="0" borderId="23" xfId="0" applyFont="1" applyBorder="1" applyAlignment="1">
      <alignment horizontal="left" vertical="center" wrapText="1" readingOrder="1"/>
    </xf>
    <xf numFmtId="181" fontId="64" fillId="0" borderId="23" xfId="0" applyNumberFormat="1" applyFont="1" applyBorder="1" applyAlignment="1">
      <alignment horizontal="center" vertical="center" wrapText="1" readingOrder="1"/>
    </xf>
    <xf numFmtId="176" fontId="64" fillId="0" borderId="23" xfId="0" applyNumberFormat="1" applyFont="1" applyBorder="1" applyAlignment="1">
      <alignment horizontal="center" vertical="center" wrapText="1" readingOrder="1"/>
    </xf>
    <xf numFmtId="176" fontId="64" fillId="0" borderId="20" xfId="0" applyNumberFormat="1" applyFont="1" applyBorder="1" applyAlignment="1">
      <alignment horizontal="center" vertical="center" wrapText="1" readingOrder="1"/>
    </xf>
    <xf numFmtId="180" fontId="64" fillId="0" borderId="20" xfId="0" applyFont="1" applyBorder="1" applyAlignment="1">
      <alignment horizontal="left" vertical="center" wrapText="1" readingOrder="1"/>
    </xf>
    <xf numFmtId="181" fontId="64" fillId="0" borderId="20" xfId="0" applyNumberFormat="1" applyFont="1" applyBorder="1" applyAlignment="1">
      <alignment horizontal="center" vertical="center" wrapText="1" readingOrder="1"/>
    </xf>
    <xf numFmtId="180" fontId="4" fillId="0" borderId="0" xfId="1200" applyFont="1" applyAlignment="1">
      <alignment horizontal="center" vertical="center"/>
    </xf>
    <xf numFmtId="180" fontId="64" fillId="0" borderId="20" xfId="1200" applyFont="1" applyBorder="1" applyAlignment="1">
      <alignment horizontal="center" vertical="center"/>
    </xf>
    <xf numFmtId="181" fontId="64" fillId="0" borderId="20" xfId="1200" applyNumberFormat="1" applyFont="1" applyBorder="1" applyAlignment="1">
      <alignment horizontal="center" vertical="center"/>
    </xf>
    <xf numFmtId="181" fontId="64" fillId="0" borderId="20" xfId="1200" applyNumberFormat="1" applyFont="1" applyBorder="1" applyAlignment="1">
      <alignment horizontal="center" vertical="center" wrapText="1"/>
    </xf>
    <xf numFmtId="176" fontId="64" fillId="0" borderId="20" xfId="2011" applyNumberFormat="1" applyFont="1" applyFill="1" applyBorder="1" applyAlignment="1">
      <alignment horizontal="center" vertical="center" wrapText="1"/>
    </xf>
    <xf numFmtId="180" fontId="64" fillId="0" borderId="0" xfId="1200" applyFont="1" applyAlignment="1">
      <alignment horizontal="center" vertical="center"/>
    </xf>
    <xf numFmtId="180" fontId="4" fillId="0" borderId="20" xfId="2012" applyFont="1" applyBorder="1" applyAlignment="1">
      <alignment horizontal="center" vertical="center" wrapText="1"/>
    </xf>
    <xf numFmtId="181" fontId="4" fillId="0" borderId="20" xfId="2012" applyNumberFormat="1" applyFont="1" applyBorder="1" applyAlignment="1">
      <alignment horizontal="center" vertical="center" wrapText="1"/>
    </xf>
    <xf numFmtId="176" fontId="4" fillId="0" borderId="20" xfId="2011" applyNumberFormat="1" applyFont="1" applyFill="1" applyBorder="1" applyAlignment="1">
      <alignment horizontal="center" vertical="center" wrapText="1"/>
    </xf>
    <xf numFmtId="2" fontId="4" fillId="0" borderId="0" xfId="1200" applyNumberFormat="1" applyFont="1" applyAlignment="1">
      <alignment horizontal="center" vertical="center"/>
    </xf>
    <xf numFmtId="176" fontId="4" fillId="0" borderId="0" xfId="1200" applyNumberFormat="1" applyFont="1" applyAlignment="1">
      <alignment horizontal="center" vertical="center"/>
    </xf>
    <xf numFmtId="181" fontId="4" fillId="0" borderId="20" xfId="2011" applyNumberFormat="1" applyFont="1" applyFill="1" applyBorder="1" applyAlignment="1">
      <alignment horizontal="center" vertical="center" wrapText="1"/>
    </xf>
    <xf numFmtId="180" fontId="4" fillId="0" borderId="23" xfId="2012" applyFont="1" applyBorder="1" applyAlignment="1">
      <alignment horizontal="center" vertical="center" wrapText="1"/>
    </xf>
    <xf numFmtId="181" fontId="4" fillId="0" borderId="20" xfId="2011" applyNumberFormat="1" applyFont="1" applyFill="1" applyBorder="1" applyAlignment="1">
      <alignment horizontal="center" vertical="center"/>
    </xf>
    <xf numFmtId="181" fontId="4" fillId="0" borderId="0" xfId="1200" applyNumberFormat="1" applyFont="1" applyAlignment="1">
      <alignment horizontal="center" vertical="center"/>
    </xf>
    <xf numFmtId="180" fontId="64" fillId="0" borderId="20" xfId="2012" applyFont="1" applyBorder="1" applyAlignment="1">
      <alignment horizontal="center" vertical="center" wrapText="1"/>
    </xf>
    <xf numFmtId="181" fontId="64" fillId="0" borderId="20" xfId="2011" applyNumberFormat="1" applyFont="1" applyFill="1" applyBorder="1" applyAlignment="1">
      <alignment horizontal="center" vertical="center" wrapText="1"/>
    </xf>
    <xf numFmtId="182" fontId="4" fillId="0" borderId="20" xfId="1200" applyNumberFormat="1" applyFont="1" applyBorder="1" applyAlignment="1">
      <alignment horizontal="center" vertical="center" wrapText="1"/>
    </xf>
    <xf numFmtId="181" fontId="4" fillId="0" borderId="20" xfId="1200" applyNumberFormat="1" applyFont="1" applyBorder="1" applyAlignment="1">
      <alignment horizontal="center" vertical="center" wrapText="1"/>
    </xf>
    <xf numFmtId="181" fontId="4" fillId="0" borderId="20" xfId="0" applyNumberFormat="1" applyFont="1" applyBorder="1" applyAlignment="1">
      <alignment horizontal="center" vertical="center"/>
    </xf>
    <xf numFmtId="176" fontId="4" fillId="0" borderId="20" xfId="1200" applyNumberFormat="1" applyFont="1" applyBorder="1" applyAlignment="1">
      <alignment horizontal="center" vertical="center" wrapText="1"/>
    </xf>
    <xf numFmtId="180" fontId="63" fillId="0" borderId="20" xfId="0" applyFont="1" applyBorder="1" applyAlignment="1">
      <alignment horizontal="center" vertical="center" wrapText="1"/>
    </xf>
    <xf numFmtId="181" fontId="63" fillId="0" borderId="20" xfId="0" applyNumberFormat="1" applyFont="1" applyBorder="1" applyAlignment="1">
      <alignment horizontal="center" vertical="center" wrapText="1"/>
    </xf>
    <xf numFmtId="176" fontId="63" fillId="0" borderId="20" xfId="0" applyNumberFormat="1" applyFont="1" applyBorder="1" applyAlignment="1">
      <alignment horizontal="center" vertical="center" wrapText="1"/>
    </xf>
    <xf numFmtId="180" fontId="86" fillId="0" borderId="0" xfId="0" applyFont="1" applyAlignment="1">
      <alignment horizontal="right" vertical="center"/>
    </xf>
    <xf numFmtId="180" fontId="64" fillId="0" borderId="20" xfId="1200" applyFont="1" applyBorder="1" applyAlignment="1">
      <alignment vertical="center"/>
    </xf>
    <xf numFmtId="181" fontId="64" fillId="0" borderId="20" xfId="2011" applyNumberFormat="1" applyFont="1" applyFill="1" applyBorder="1" applyAlignment="1">
      <alignment horizontal="center" vertical="center"/>
    </xf>
    <xf numFmtId="176" fontId="64" fillId="0" borderId="20" xfId="2011" applyNumberFormat="1" applyFont="1" applyFill="1" applyBorder="1" applyAlignment="1">
      <alignment horizontal="center" vertical="center"/>
    </xf>
    <xf numFmtId="181" fontId="63" fillId="0" borderId="0" xfId="2011" applyNumberFormat="1" applyFont="1" applyFill="1" applyAlignment="1">
      <alignment horizontal="center" vertical="center"/>
    </xf>
    <xf numFmtId="176" fontId="63" fillId="0" borderId="0" xfId="2011" applyNumberFormat="1" applyFont="1" applyFill="1" applyAlignment="1">
      <alignment horizontal="center" vertical="center"/>
    </xf>
    <xf numFmtId="180" fontId="64" fillId="0" borderId="20" xfId="2012" applyFont="1" applyBorder="1" applyAlignment="1">
      <alignment vertical="center" wrapText="1"/>
    </xf>
    <xf numFmtId="180" fontId="63" fillId="0" borderId="0" xfId="0" applyFont="1" applyAlignment="1"/>
    <xf numFmtId="181" fontId="4" fillId="0" borderId="20" xfId="1200" applyNumberFormat="1" applyFont="1" applyBorder="1" applyAlignment="1">
      <alignment horizontal="center" vertical="center"/>
    </xf>
    <xf numFmtId="176" fontId="4" fillId="0" borderId="20" xfId="1200" applyNumberFormat="1" applyFont="1" applyBorder="1" applyAlignment="1">
      <alignment horizontal="center" vertical="center"/>
    </xf>
    <xf numFmtId="176" fontId="64" fillId="0" borderId="20" xfId="1200" applyNumberFormat="1" applyFont="1" applyBorder="1" applyAlignment="1">
      <alignment horizontal="center" vertical="center"/>
    </xf>
    <xf numFmtId="176" fontId="4" fillId="0" borderId="20" xfId="2012" applyNumberFormat="1" applyFont="1" applyBorder="1" applyAlignment="1">
      <alignment horizontal="center" vertical="center" wrapText="1"/>
    </xf>
    <xf numFmtId="182" fontId="64" fillId="0" borderId="20" xfId="1200" applyNumberFormat="1" applyFont="1" applyBorder="1" applyAlignment="1">
      <alignment horizontal="center" vertical="center" wrapText="1"/>
    </xf>
    <xf numFmtId="176" fontId="64" fillId="0" borderId="20" xfId="1200" applyNumberFormat="1" applyFont="1" applyBorder="1" applyAlignment="1">
      <alignment horizontal="center" vertical="center" wrapText="1"/>
    </xf>
    <xf numFmtId="180" fontId="4" fillId="0" borderId="20" xfId="1200" applyFont="1" applyBorder="1" applyAlignment="1">
      <alignment horizontal="center" vertical="center"/>
    </xf>
    <xf numFmtId="181" fontId="4" fillId="0" borderId="0" xfId="2011" applyNumberFormat="1" applyFont="1" applyFill="1" applyAlignment="1">
      <alignment horizontal="center" vertical="center" wrapText="1"/>
    </xf>
    <xf numFmtId="181" fontId="4" fillId="0" borderId="0" xfId="2011" applyNumberFormat="1" applyFont="1" applyFill="1" applyAlignment="1">
      <alignment horizontal="center" vertical="center"/>
    </xf>
    <xf numFmtId="176" fontId="4" fillId="0" borderId="0" xfId="2011" applyNumberFormat="1" applyFont="1" applyFill="1" applyAlignment="1">
      <alignment horizontal="center" vertical="center"/>
    </xf>
    <xf numFmtId="180" fontId="4" fillId="0" borderId="0" xfId="0" applyFont="1" applyAlignment="1"/>
    <xf numFmtId="180" fontId="87" fillId="0" borderId="20" xfId="1200" applyFont="1" applyBorder="1" applyAlignment="1">
      <alignment horizontal="center" vertical="center"/>
    </xf>
    <xf numFmtId="176" fontId="4" fillId="0" borderId="20" xfId="0" applyNumberFormat="1" applyFont="1" applyBorder="1" applyAlignment="1">
      <alignment horizontal="center" vertical="center"/>
    </xf>
    <xf numFmtId="2" fontId="4" fillId="0" borderId="20" xfId="1200" applyNumberFormat="1" applyFont="1" applyBorder="1" applyAlignment="1">
      <alignment horizontal="center" vertical="center"/>
    </xf>
    <xf numFmtId="180" fontId="87" fillId="0" borderId="20" xfId="0" applyFont="1" applyBorder="1" applyAlignment="1">
      <alignment horizontal="center" vertical="center"/>
    </xf>
    <xf numFmtId="180" fontId="85" fillId="0" borderId="0" xfId="1200" applyFont="1" applyAlignment="1">
      <alignment horizontal="center" vertical="center"/>
    </xf>
    <xf numFmtId="183" fontId="64" fillId="0" borderId="20" xfId="1200" applyNumberFormat="1" applyFont="1" applyBorder="1" applyAlignment="1">
      <alignment horizontal="center" vertical="center"/>
    </xf>
    <xf numFmtId="181" fontId="4" fillId="0" borderId="20" xfId="1267" applyNumberFormat="1" applyFont="1" applyBorder="1" applyAlignment="1">
      <alignment horizontal="center" vertical="center" wrapText="1"/>
    </xf>
    <xf numFmtId="181" fontId="64" fillId="0" borderId="20" xfId="2012" applyNumberFormat="1" applyFont="1" applyBorder="1" applyAlignment="1">
      <alignment horizontal="center" vertical="center" wrapText="1"/>
    </xf>
    <xf numFmtId="180" fontId="4" fillId="0" borderId="20" xfId="1267" applyFont="1" applyBorder="1" applyAlignment="1">
      <alignment horizontal="center" vertical="center" wrapText="1"/>
    </xf>
    <xf numFmtId="180" fontId="4" fillId="0" borderId="20" xfId="1267" applyFont="1" applyBorder="1" applyAlignment="1">
      <alignment horizontal="center" vertical="center"/>
    </xf>
    <xf numFmtId="181" fontId="4" fillId="0" borderId="20" xfId="1267" applyNumberFormat="1" applyFont="1" applyBorder="1" applyAlignment="1">
      <alignment horizontal="center" vertical="center"/>
    </xf>
    <xf numFmtId="180" fontId="64" fillId="0" borderId="20" xfId="2013" applyFont="1" applyBorder="1" applyAlignment="1">
      <alignment horizontal="center" vertical="center" wrapText="1"/>
    </xf>
    <xf numFmtId="180" fontId="64" fillId="0" borderId="20" xfId="1267" applyFont="1" applyBorder="1" applyAlignment="1">
      <alignment horizontal="center" vertical="center" wrapText="1"/>
    </xf>
    <xf numFmtId="182" fontId="64" fillId="0" borderId="20" xfId="1267" applyNumberFormat="1" applyFont="1" applyBorder="1" applyAlignment="1">
      <alignment horizontal="center" vertical="center" wrapText="1"/>
    </xf>
    <xf numFmtId="182" fontId="4" fillId="0" borderId="20" xfId="1267" applyNumberFormat="1" applyFont="1" applyBorder="1" applyAlignment="1">
      <alignment horizontal="center" vertical="center" wrapText="1"/>
    </xf>
    <xf numFmtId="183" fontId="63" fillId="0" borderId="0" xfId="2011" applyNumberFormat="1" applyFont="1" applyFill="1" applyAlignment="1">
      <alignment horizontal="center" vertical="center"/>
    </xf>
    <xf numFmtId="176" fontId="64" fillId="0" borderId="20" xfId="1267" applyNumberFormat="1" applyFont="1" applyBorder="1" applyAlignment="1">
      <alignment horizontal="center" vertical="center" wrapText="1"/>
    </xf>
    <xf numFmtId="176" fontId="4" fillId="0" borderId="20" xfId="1267" applyNumberFormat="1" applyFont="1" applyBorder="1" applyAlignment="1">
      <alignment horizontal="center" vertical="center" wrapText="1"/>
    </xf>
    <xf numFmtId="176" fontId="4" fillId="0" borderId="20" xfId="1267" applyNumberFormat="1" applyFont="1" applyBorder="1" applyAlignment="1">
      <alignment horizontal="center" vertical="center"/>
    </xf>
    <xf numFmtId="176" fontId="4" fillId="0" borderId="0" xfId="0" applyNumberFormat="1" applyFont="1" applyAlignment="1"/>
    <xf numFmtId="176" fontId="4" fillId="0" borderId="20" xfId="0" applyNumberFormat="1" applyFont="1" applyBorder="1">
      <alignment vertical="center"/>
    </xf>
    <xf numFmtId="180" fontId="71" fillId="2" borderId="20" xfId="0" applyFont="1" applyFill="1" applyBorder="1" applyAlignment="1">
      <alignment horizontal="center" vertical="center"/>
    </xf>
    <xf numFmtId="181" fontId="46" fillId="2" borderId="20" xfId="0" applyNumberFormat="1" applyFont="1" applyFill="1" applyBorder="1" applyAlignment="1">
      <alignment horizontal="center" vertical="center" wrapText="1"/>
    </xf>
    <xf numFmtId="181" fontId="75" fillId="2" borderId="20" xfId="1123" applyNumberFormat="1" applyFont="1" applyFill="1" applyBorder="1" applyAlignment="1">
      <alignment horizontal="center" vertical="center" wrapText="1"/>
    </xf>
    <xf numFmtId="176" fontId="46" fillId="2" borderId="20" xfId="0" applyNumberFormat="1" applyFont="1" applyFill="1" applyBorder="1" applyAlignment="1">
      <alignment horizontal="center" vertical="center" wrapText="1"/>
    </xf>
    <xf numFmtId="181" fontId="47" fillId="2" borderId="20" xfId="0" applyNumberFormat="1" applyFont="1" applyFill="1" applyBorder="1" applyAlignment="1">
      <alignment horizontal="center" vertical="center" wrapText="1"/>
    </xf>
    <xf numFmtId="181" fontId="75" fillId="2" borderId="20" xfId="0" applyNumberFormat="1" applyFont="1" applyFill="1" applyBorder="1" applyAlignment="1">
      <alignment horizontal="center" vertical="center" wrapText="1"/>
    </xf>
    <xf numFmtId="176" fontId="75" fillId="2" borderId="20" xfId="0" applyNumberFormat="1" applyFont="1" applyFill="1" applyBorder="1" applyAlignment="1">
      <alignment horizontal="center" vertical="center" wrapText="1"/>
    </xf>
    <xf numFmtId="176" fontId="46" fillId="2" borderId="1" xfId="0" applyNumberFormat="1" applyFont="1" applyFill="1" applyBorder="1" applyAlignment="1">
      <alignment horizontal="center" vertical="center" wrapText="1"/>
    </xf>
    <xf numFmtId="176" fontId="46" fillId="2" borderId="25" xfId="0" applyNumberFormat="1" applyFont="1" applyFill="1" applyBorder="1" applyAlignment="1">
      <alignment horizontal="center" vertical="center"/>
    </xf>
    <xf numFmtId="176" fontId="46" fillId="2" borderId="26" xfId="0" applyNumberFormat="1" applyFont="1" applyFill="1" applyBorder="1" applyAlignment="1">
      <alignment horizontal="center" vertical="center"/>
    </xf>
    <xf numFmtId="176" fontId="46" fillId="2" borderId="20" xfId="0" applyNumberFormat="1" applyFont="1" applyFill="1" applyBorder="1" applyAlignment="1">
      <alignment horizontal="center" vertical="center"/>
    </xf>
    <xf numFmtId="176" fontId="46" fillId="2" borderId="26" xfId="0" applyNumberFormat="1" applyFont="1" applyFill="1" applyBorder="1" applyAlignment="1">
      <alignment horizontal="center" vertical="center" wrapText="1"/>
    </xf>
    <xf numFmtId="181" fontId="46" fillId="2" borderId="23" xfId="0" applyNumberFormat="1" applyFont="1" applyFill="1" applyBorder="1" applyAlignment="1">
      <alignment horizontal="center" vertical="center"/>
    </xf>
    <xf numFmtId="176" fontId="46" fillId="2" borderId="23" xfId="0" applyNumberFormat="1" applyFont="1" applyFill="1" applyBorder="1" applyAlignment="1">
      <alignment horizontal="center" vertical="center"/>
    </xf>
    <xf numFmtId="176" fontId="46" fillId="2" borderId="27" xfId="0" applyNumberFormat="1" applyFont="1" applyFill="1" applyBorder="1" applyAlignment="1">
      <alignment horizontal="center" vertical="center"/>
    </xf>
    <xf numFmtId="176" fontId="46" fillId="2" borderId="28" xfId="0" applyNumberFormat="1" applyFont="1" applyFill="1" applyBorder="1" applyAlignment="1">
      <alignment horizontal="center" vertical="center"/>
    </xf>
    <xf numFmtId="181" fontId="46" fillId="2" borderId="20" xfId="0" applyNumberFormat="1" applyFont="1" applyFill="1" applyBorder="1" applyAlignment="1">
      <alignment horizontal="center" vertical="center"/>
    </xf>
    <xf numFmtId="176" fontId="64" fillId="0" borderId="0" xfId="1200" applyNumberFormat="1" applyFont="1" applyAlignment="1">
      <alignment horizontal="center" vertical="center"/>
    </xf>
    <xf numFmtId="180" fontId="59" fillId="0" borderId="0" xfId="0" applyFont="1" applyAlignment="1">
      <alignment horizontal="center" vertical="center"/>
    </xf>
    <xf numFmtId="180" fontId="39" fillId="28" borderId="20" xfId="0" applyFont="1" applyFill="1" applyBorder="1" applyAlignment="1" applyProtection="1">
      <alignment horizontal="center" vertical="center"/>
      <protection locked="0"/>
    </xf>
    <xf numFmtId="180" fontId="39" fillId="28" borderId="20" xfId="0" applyFont="1" applyFill="1" applyBorder="1" applyAlignment="1" applyProtection="1">
      <alignment horizontal="center" vertical="center" wrapText="1"/>
      <protection locked="0"/>
    </xf>
    <xf numFmtId="180" fontId="40" fillId="28" borderId="20" xfId="0" applyFont="1" applyFill="1" applyBorder="1" applyAlignment="1" applyProtection="1">
      <alignment horizontal="center"/>
      <protection locked="0"/>
    </xf>
    <xf numFmtId="49" fontId="40" fillId="28" borderId="20" xfId="0" applyNumberFormat="1" applyFont="1" applyFill="1" applyBorder="1" applyAlignment="1" applyProtection="1">
      <protection locked="0"/>
    </xf>
    <xf numFmtId="49" fontId="40" fillId="28" borderId="20" xfId="0" applyNumberFormat="1" applyFont="1" applyFill="1" applyBorder="1" applyAlignment="1" applyProtection="1">
      <alignment wrapText="1"/>
      <protection locked="0"/>
    </xf>
    <xf numFmtId="177" fontId="41" fillId="28" borderId="20" xfId="0" applyNumberFormat="1" applyFont="1" applyFill="1" applyBorder="1" applyAlignment="1"/>
    <xf numFmtId="176" fontId="41" fillId="28" borderId="20" xfId="0" applyNumberFormat="1" applyFont="1" applyFill="1" applyBorder="1" applyAlignment="1"/>
    <xf numFmtId="177" fontId="2" fillId="28" borderId="20" xfId="0" applyNumberFormat="1" applyFont="1" applyFill="1" applyBorder="1" applyAlignment="1" applyProtection="1">
      <protection locked="0"/>
    </xf>
    <xf numFmtId="177" fontId="41" fillId="28" borderId="20" xfId="0" applyNumberFormat="1" applyFont="1" applyFill="1" applyBorder="1" applyAlignment="1" applyProtection="1">
      <protection locked="0"/>
    </xf>
    <xf numFmtId="49" fontId="41" fillId="28" borderId="20" xfId="0" applyNumberFormat="1" applyFont="1" applyFill="1" applyBorder="1" applyAlignment="1" applyProtection="1">
      <protection locked="0"/>
    </xf>
    <xf numFmtId="49" fontId="41" fillId="28" borderId="20" xfId="0" applyNumberFormat="1" applyFont="1" applyFill="1" applyBorder="1" applyAlignment="1" applyProtection="1">
      <alignment wrapText="1"/>
      <protection locked="0"/>
    </xf>
    <xf numFmtId="49" fontId="2" fillId="28" borderId="20" xfId="0" applyNumberFormat="1" applyFont="1" applyFill="1" applyBorder="1" applyAlignment="1" applyProtection="1">
      <protection locked="0"/>
    </xf>
    <xf numFmtId="177" fontId="2" fillId="28" borderId="20" xfId="0" applyNumberFormat="1" applyFont="1" applyFill="1" applyBorder="1" applyAlignment="1"/>
    <xf numFmtId="49" fontId="2" fillId="28" borderId="20" xfId="0" applyNumberFormat="1" applyFont="1" applyFill="1" applyBorder="1" applyAlignment="1" applyProtection="1">
      <alignment wrapText="1"/>
      <protection locked="0"/>
    </xf>
    <xf numFmtId="180" fontId="41" fillId="28" borderId="20" xfId="0" applyFont="1" applyFill="1" applyBorder="1" applyAlignment="1" applyProtection="1">
      <alignment wrapText="1"/>
      <protection locked="0"/>
    </xf>
    <xf numFmtId="180" fontId="2" fillId="28" borderId="20" xfId="0" applyFont="1" applyFill="1" applyBorder="1" applyAlignment="1" applyProtection="1">
      <alignment wrapText="1"/>
      <protection locked="0"/>
    </xf>
    <xf numFmtId="178" fontId="2" fillId="28" borderId="20" xfId="0" applyNumberFormat="1" applyFont="1" applyFill="1" applyBorder="1" applyAlignment="1" applyProtection="1">
      <protection locked="0"/>
    </xf>
    <xf numFmtId="49" fontId="40" fillId="28" borderId="20" xfId="0" applyNumberFormat="1" applyFont="1" applyFill="1" applyBorder="1" applyAlignment="1" applyProtection="1">
      <alignment horizontal="left"/>
      <protection locked="0"/>
    </xf>
    <xf numFmtId="49" fontId="39" fillId="28" borderId="20" xfId="0" applyNumberFormat="1" applyFont="1" applyFill="1" applyBorder="1" applyAlignment="1" applyProtection="1">
      <alignment horizontal="center" vertical="center" wrapText="1"/>
      <protection locked="0"/>
    </xf>
    <xf numFmtId="176" fontId="41" fillId="28" borderId="20" xfId="0" applyNumberFormat="1" applyFont="1" applyFill="1" applyBorder="1" applyAlignment="1" applyProtection="1">
      <alignment horizontal="right" wrapText="1"/>
      <protection locked="0"/>
    </xf>
    <xf numFmtId="176" fontId="2" fillId="28" borderId="20" xfId="0" applyNumberFormat="1" applyFont="1" applyFill="1" applyBorder="1" applyAlignment="1" applyProtection="1">
      <alignment horizontal="right"/>
      <protection locked="0"/>
    </xf>
    <xf numFmtId="176" fontId="2" fillId="28" borderId="0" xfId="0" applyNumberFormat="1" applyFont="1" applyFill="1" applyAlignment="1" applyProtection="1">
      <protection locked="0"/>
    </xf>
    <xf numFmtId="176" fontId="2" fillId="28" borderId="20" xfId="0" applyNumberFormat="1" applyFont="1" applyFill="1" applyBorder="1" applyAlignment="1" applyProtection="1">
      <alignment horizontal="right" wrapText="1"/>
      <protection locked="0"/>
    </xf>
    <xf numFmtId="180" fontId="2" fillId="28" borderId="0" xfId="0" applyFont="1" applyFill="1" applyAlignment="1"/>
    <xf numFmtId="180" fontId="2" fillId="30" borderId="20" xfId="0" applyFont="1" applyFill="1" applyBorder="1" applyAlignment="1">
      <alignment horizontal="center" vertical="center"/>
    </xf>
    <xf numFmtId="180" fontId="46" fillId="0" borderId="20" xfId="0" applyFont="1" applyBorder="1" applyAlignment="1">
      <alignment horizontal="center"/>
    </xf>
    <xf numFmtId="180" fontId="47" fillId="30" borderId="20" xfId="0" applyFont="1" applyFill="1" applyBorder="1" applyAlignment="1">
      <alignment horizontal="center"/>
    </xf>
    <xf numFmtId="180" fontId="46" fillId="30" borderId="20" xfId="0" applyFont="1" applyFill="1" applyBorder="1" applyAlignment="1">
      <alignment horizontal="center"/>
    </xf>
    <xf numFmtId="176" fontId="49" fillId="0" borderId="20" xfId="0" applyNumberFormat="1" applyFont="1" applyBorder="1" applyAlignment="1">
      <alignment horizontal="center" vertical="center"/>
    </xf>
    <xf numFmtId="176" fontId="49" fillId="30" borderId="20" xfId="0" applyNumberFormat="1" applyFont="1" applyFill="1" applyBorder="1" applyAlignment="1">
      <alignment horizontal="center" vertical="center"/>
    </xf>
    <xf numFmtId="180" fontId="3" fillId="0" borderId="0" xfId="0" applyFont="1" applyAlignment="1">
      <alignment horizontal="center" vertical="center"/>
    </xf>
    <xf numFmtId="0" fontId="46" fillId="2" borderId="20" xfId="0" applyNumberFormat="1" applyFont="1" applyFill="1" applyBorder="1" applyAlignment="1">
      <alignment horizontal="center" vertical="center"/>
    </xf>
    <xf numFmtId="0" fontId="46" fillId="2" borderId="20" xfId="0" applyNumberFormat="1" applyFont="1" applyFill="1" applyBorder="1">
      <alignment vertical="center"/>
    </xf>
    <xf numFmtId="0" fontId="46" fillId="2" borderId="0" xfId="0" applyNumberFormat="1" applyFont="1" applyFill="1">
      <alignment vertical="center"/>
    </xf>
    <xf numFmtId="0" fontId="59" fillId="2" borderId="0" xfId="0" applyNumberFormat="1" applyFont="1" applyFill="1">
      <alignment vertical="center"/>
    </xf>
    <xf numFmtId="0" fontId="4" fillId="29" borderId="20" xfId="1094" applyNumberFormat="1" applyFont="1" applyFill="1" applyBorder="1" applyAlignment="1">
      <alignment horizontal="center" vertical="center"/>
    </xf>
    <xf numFmtId="0" fontId="60" fillId="29" borderId="20" xfId="2001" applyNumberFormat="1" applyFont="1" applyFill="1" applyBorder="1" applyAlignment="1">
      <alignment horizontal="center" vertical="center"/>
    </xf>
    <xf numFmtId="0" fontId="2" fillId="29" borderId="20" xfId="1094" applyNumberFormat="1" applyFont="1" applyFill="1" applyBorder="1" applyAlignment="1">
      <alignment horizontal="center" vertical="center"/>
    </xf>
    <xf numFmtId="0" fontId="2" fillId="2" borderId="20" xfId="1094" applyNumberFormat="1" applyFont="1" applyFill="1" applyBorder="1" applyAlignment="1">
      <alignment horizontal="center" vertical="center" wrapText="1"/>
    </xf>
    <xf numFmtId="0" fontId="44" fillId="2" borderId="20" xfId="1105" applyNumberFormat="1" applyFont="1" applyFill="1" applyBorder="1" applyAlignment="1">
      <alignment horizontal="left" vertical="center"/>
    </xf>
    <xf numFmtId="0" fontId="2" fillId="2" borderId="20" xfId="1094" applyNumberFormat="1" applyFont="1" applyFill="1" applyBorder="1" applyAlignment="1">
      <alignment vertical="center" wrapText="1"/>
    </xf>
    <xf numFmtId="0" fontId="2" fillId="29" borderId="20" xfId="1094" applyNumberFormat="1" applyFont="1" applyFill="1" applyBorder="1" applyAlignment="1">
      <alignment horizontal="center" vertical="center" wrapText="1"/>
    </xf>
    <xf numFmtId="0" fontId="2" fillId="29" borderId="20" xfId="1094" applyNumberFormat="1" applyFont="1" applyFill="1" applyBorder="1">
      <alignment vertical="center"/>
    </xf>
    <xf numFmtId="0" fontId="2" fillId="29" borderId="20" xfId="1094" applyNumberFormat="1" applyFont="1" applyFill="1" applyBorder="1" applyAlignment="1">
      <alignment vertical="center" wrapText="1"/>
    </xf>
    <xf numFmtId="0" fontId="59" fillId="2" borderId="0" xfId="0" applyNumberFormat="1" applyFont="1" applyFill="1" applyAlignment="1">
      <alignment horizontal="center" vertical="center"/>
    </xf>
    <xf numFmtId="0" fontId="49" fillId="2" borderId="0" xfId="0" applyNumberFormat="1" applyFont="1" applyFill="1" applyAlignment="1">
      <alignment horizontal="center" vertical="center"/>
    </xf>
    <xf numFmtId="0" fontId="61" fillId="0" borderId="0" xfId="0" applyNumberFormat="1" applyFont="1">
      <alignment vertical="center"/>
    </xf>
    <xf numFmtId="0" fontId="62" fillId="29" borderId="20" xfId="2005" applyNumberFormat="1" applyFont="1" applyFill="1" applyBorder="1" applyAlignment="1">
      <alignment horizontal="center" vertical="center" wrapText="1"/>
    </xf>
    <xf numFmtId="0" fontId="42" fillId="29" borderId="20" xfId="2005" applyNumberFormat="1" applyFont="1" applyFill="1" applyBorder="1" applyAlignment="1">
      <alignment horizontal="center" vertical="center" wrapText="1"/>
    </xf>
    <xf numFmtId="0" fontId="2" fillId="28" borderId="20" xfId="1094" applyNumberFormat="1" applyFont="1" applyFill="1" applyBorder="1" applyAlignment="1">
      <alignment horizontal="center" vertical="center" wrapText="1"/>
    </xf>
    <xf numFmtId="0" fontId="49" fillId="0" borderId="0" xfId="0" applyNumberFormat="1" applyFont="1">
      <alignment vertical="center"/>
    </xf>
    <xf numFmtId="0" fontId="61" fillId="0" borderId="0" xfId="0" applyNumberFormat="1" applyFont="1" applyAlignment="1">
      <alignment horizontal="center" vertical="center"/>
    </xf>
    <xf numFmtId="0" fontId="0" fillId="0" borderId="0" xfId="0" applyNumberFormat="1">
      <alignment vertical="center"/>
    </xf>
    <xf numFmtId="0" fontId="71" fillId="0" borderId="0" xfId="0" applyNumberFormat="1" applyFont="1">
      <alignment vertical="center"/>
    </xf>
    <xf numFmtId="0" fontId="89" fillId="29" borderId="20" xfId="2005" applyNumberFormat="1" applyFont="1" applyFill="1" applyBorder="1" applyAlignment="1">
      <alignment horizontal="center" vertical="center" wrapText="1"/>
    </xf>
    <xf numFmtId="0" fontId="46" fillId="0" borderId="20" xfId="1150" applyNumberFormat="1" applyFont="1" applyBorder="1" applyAlignment="1">
      <alignment horizontal="center" vertical="center" shrinkToFit="1"/>
    </xf>
    <xf numFmtId="0" fontId="46" fillId="2" borderId="20" xfId="1123" applyNumberFormat="1" applyFont="1" applyFill="1" applyBorder="1" applyAlignment="1">
      <alignment horizontal="center" vertical="center"/>
    </xf>
    <xf numFmtId="0" fontId="46" fillId="0" borderId="20" xfId="1150" applyNumberFormat="1" applyFont="1" applyBorder="1" applyAlignment="1">
      <alignment horizontal="center" vertical="center"/>
    </xf>
    <xf numFmtId="0" fontId="46" fillId="0" borderId="20" xfId="1225" applyNumberFormat="1" applyFont="1" applyBorder="1" applyAlignment="1">
      <alignment horizontal="center" vertical="center" shrinkToFit="1"/>
    </xf>
    <xf numFmtId="0" fontId="66" fillId="29" borderId="20" xfId="1123" applyNumberFormat="1" applyFont="1" applyFill="1" applyBorder="1" applyAlignment="1">
      <alignment horizontal="center" vertical="center" shrinkToFit="1"/>
    </xf>
    <xf numFmtId="0" fontId="46" fillId="29" borderId="20" xfId="1123" applyNumberFormat="1" applyFont="1" applyFill="1" applyBorder="1" applyAlignment="1">
      <alignment horizontal="center" vertical="center"/>
    </xf>
    <xf numFmtId="0" fontId="46" fillId="29" borderId="20" xfId="0" applyNumberFormat="1" applyFont="1" applyFill="1" applyBorder="1" applyAlignment="1">
      <alignment horizontal="center" vertical="center"/>
    </xf>
    <xf numFmtId="0" fontId="0" fillId="2" borderId="0" xfId="0" applyNumberFormat="1" applyFill="1">
      <alignment vertical="center"/>
    </xf>
    <xf numFmtId="0" fontId="0" fillId="0" borderId="0" xfId="0" applyNumberFormat="1" applyAlignment="1">
      <alignment horizontal="center" vertical="center"/>
    </xf>
    <xf numFmtId="176" fontId="46" fillId="29" borderId="20" xfId="0" applyNumberFormat="1" applyFont="1" applyFill="1" applyBorder="1" applyAlignment="1">
      <alignment horizontal="center" vertical="center"/>
    </xf>
    <xf numFmtId="0" fontId="45" fillId="0" borderId="0" xfId="0" applyNumberFormat="1" applyFont="1">
      <alignment vertical="center"/>
    </xf>
    <xf numFmtId="0" fontId="46" fillId="30" borderId="20" xfId="0" applyNumberFormat="1" applyFont="1" applyFill="1" applyBorder="1" applyAlignment="1">
      <alignment horizontal="center" vertical="center"/>
    </xf>
    <xf numFmtId="0" fontId="46" fillId="0" borderId="0" xfId="0" applyNumberFormat="1" applyFont="1">
      <alignment vertical="center"/>
    </xf>
    <xf numFmtId="0" fontId="46" fillId="0" borderId="20" xfId="0" applyNumberFormat="1" applyFont="1" applyBorder="1" applyAlignment="1">
      <alignment horizontal="center" vertical="center"/>
    </xf>
    <xf numFmtId="0" fontId="60" fillId="2" borderId="20" xfId="1225" applyNumberFormat="1" applyFont="1" applyFill="1" applyBorder="1" applyAlignment="1">
      <alignment horizontal="left" vertical="center"/>
    </xf>
    <xf numFmtId="0" fontId="4" fillId="2" borderId="20" xfId="0" applyNumberFormat="1" applyFont="1" applyFill="1" applyBorder="1" applyAlignment="1">
      <alignment horizontal="left" vertical="center"/>
    </xf>
    <xf numFmtId="0" fontId="47" fillId="30" borderId="20" xfId="0" applyNumberFormat="1" applyFont="1" applyFill="1" applyBorder="1" applyAlignment="1">
      <alignment horizontal="center" vertical="center"/>
    </xf>
    <xf numFmtId="0" fontId="40" fillId="30" borderId="20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0" xfId="0" applyNumberFormat="1" applyFont="1">
      <alignment vertical="center"/>
    </xf>
    <xf numFmtId="0" fontId="90" fillId="2" borderId="0" xfId="0" applyNumberFormat="1" applyFont="1" applyFill="1" applyAlignment="1">
      <alignment horizontal="center" vertical="center"/>
    </xf>
    <xf numFmtId="0" fontId="0" fillId="2" borderId="0" xfId="0" applyNumberFormat="1" applyFill="1" applyAlignment="1">
      <alignment horizontal="center" vertical="center"/>
    </xf>
    <xf numFmtId="181" fontId="0" fillId="2" borderId="0" xfId="0" applyNumberFormat="1" applyFill="1" applyAlignment="1">
      <alignment horizontal="center" vertical="center"/>
    </xf>
    <xf numFmtId="176" fontId="0" fillId="2" borderId="0" xfId="0" applyNumberFormat="1" applyFill="1" applyAlignment="1">
      <alignment horizontal="center" vertical="center"/>
    </xf>
    <xf numFmtId="0" fontId="46" fillId="2" borderId="0" xfId="0" applyNumberFormat="1" applyFont="1" applyFill="1" applyAlignment="1">
      <alignment horizontal="center" vertical="center"/>
    </xf>
    <xf numFmtId="181" fontId="46" fillId="29" borderId="20" xfId="0" applyNumberFormat="1" applyFont="1" applyFill="1" applyBorder="1" applyAlignment="1">
      <alignment horizontal="center" vertical="center"/>
    </xf>
    <xf numFmtId="0" fontId="71" fillId="29" borderId="20" xfId="0" applyNumberFormat="1" applyFont="1" applyFill="1" applyBorder="1" applyAlignment="1">
      <alignment horizontal="center" vertical="center"/>
    </xf>
    <xf numFmtId="181" fontId="49" fillId="29" borderId="20" xfId="1123" applyNumberFormat="1" applyFont="1" applyFill="1" applyBorder="1" applyAlignment="1">
      <alignment horizontal="center" vertical="center" wrapText="1"/>
    </xf>
    <xf numFmtId="0" fontId="46" fillId="29" borderId="20" xfId="0" applyNumberFormat="1" applyFont="1" applyFill="1" applyBorder="1" applyAlignment="1">
      <alignment horizontal="center" vertical="center" wrapText="1"/>
    </xf>
    <xf numFmtId="176" fontId="49" fillId="29" borderId="20" xfId="1123" applyNumberFormat="1" applyFont="1" applyFill="1" applyBorder="1" applyAlignment="1">
      <alignment horizontal="center" vertical="center" wrapText="1"/>
    </xf>
    <xf numFmtId="0" fontId="2" fillId="29" borderId="20" xfId="2005" applyNumberFormat="1" applyFont="1" applyFill="1" applyBorder="1" applyAlignment="1">
      <alignment horizontal="center" vertical="center" wrapText="1"/>
    </xf>
    <xf numFmtId="0" fontId="65" fillId="29" borderId="20" xfId="1361" applyNumberFormat="1" applyFont="1" applyFill="1" applyBorder="1" applyAlignment="1">
      <alignment horizontal="center" vertical="center" wrapText="1"/>
    </xf>
    <xf numFmtId="0" fontId="75" fillId="29" borderId="20" xfId="1384" applyNumberFormat="1" applyFont="1" applyFill="1" applyBorder="1" applyAlignment="1">
      <alignment horizontal="center" vertical="center" wrapText="1"/>
    </xf>
    <xf numFmtId="176" fontId="46" fillId="30" borderId="20" xfId="0" applyNumberFormat="1" applyFont="1" applyFill="1" applyBorder="1" applyAlignment="1">
      <alignment horizontal="center" vertical="center"/>
    </xf>
    <xf numFmtId="176" fontId="46" fillId="30" borderId="20" xfId="0" applyNumberFormat="1" applyFont="1" applyFill="1" applyBorder="1" applyAlignment="1">
      <alignment horizontal="right" vertical="center"/>
    </xf>
    <xf numFmtId="2" fontId="44" fillId="2" borderId="20" xfId="1104" applyNumberFormat="1" applyFont="1" applyFill="1" applyBorder="1" applyAlignment="1">
      <alignment horizontal="center" vertical="center"/>
    </xf>
    <xf numFmtId="2" fontId="44" fillId="2" borderId="20" xfId="1123" applyNumberFormat="1" applyFont="1" applyFill="1" applyBorder="1" applyAlignment="1">
      <alignment horizontal="center" vertical="center"/>
    </xf>
    <xf numFmtId="2" fontId="49" fillId="2" borderId="20" xfId="2001" applyNumberFormat="1" applyFont="1" applyFill="1" applyBorder="1" applyAlignment="1">
      <alignment horizontal="center" vertical="center"/>
    </xf>
    <xf numFmtId="2" fontId="49" fillId="2" borderId="20" xfId="0" applyNumberFormat="1" applyFont="1" applyFill="1" applyBorder="1" applyAlignment="1">
      <alignment horizontal="center" vertical="center"/>
    </xf>
    <xf numFmtId="2" fontId="49" fillId="29" borderId="20" xfId="2001" applyNumberFormat="1" applyFont="1" applyFill="1" applyBorder="1" applyAlignment="1">
      <alignment horizontal="center" vertical="center"/>
    </xf>
    <xf numFmtId="2" fontId="60" fillId="0" borderId="20" xfId="1123" applyNumberFormat="1" applyFont="1" applyBorder="1" applyAlignment="1">
      <alignment horizontal="center" vertical="center"/>
    </xf>
    <xf numFmtId="2" fontId="44" fillId="0" borderId="20" xfId="1123" applyNumberFormat="1" applyFont="1" applyBorder="1" applyAlignment="1">
      <alignment horizontal="center" vertical="center"/>
    </xf>
    <xf numFmtId="2" fontId="63" fillId="0" borderId="20" xfId="1335" applyNumberFormat="1" applyFont="1" applyBorder="1" applyAlignment="1">
      <alignment horizontal="center" vertical="center"/>
    </xf>
    <xf numFmtId="2" fontId="1" fillId="0" borderId="20" xfId="0" applyNumberFormat="1" applyFont="1" applyBorder="1" applyAlignment="1">
      <alignment horizontal="center" vertical="center"/>
    </xf>
    <xf numFmtId="2" fontId="71" fillId="0" borderId="20" xfId="0" applyNumberFormat="1" applyFont="1" applyBorder="1" applyAlignment="1">
      <alignment horizontal="center" vertical="center"/>
    </xf>
    <xf numFmtId="2" fontId="49" fillId="0" borderId="20" xfId="0" applyNumberFormat="1" applyFont="1" applyBorder="1" applyAlignment="1">
      <alignment horizontal="center" vertical="center"/>
    </xf>
    <xf numFmtId="2" fontId="1" fillId="29" borderId="20" xfId="0" applyNumberFormat="1" applyFont="1" applyFill="1" applyBorder="1" applyAlignment="1">
      <alignment horizontal="center" vertical="center"/>
    </xf>
    <xf numFmtId="2" fontId="71" fillId="29" borderId="20" xfId="0" applyNumberFormat="1" applyFont="1" applyFill="1" applyBorder="1" applyAlignment="1">
      <alignment horizontal="center" vertical="center"/>
    </xf>
    <xf numFmtId="1" fontId="46" fillId="2" borderId="20" xfId="0" applyNumberFormat="1" applyFont="1" applyFill="1" applyBorder="1" applyAlignment="1">
      <alignment horizontal="center" vertical="center"/>
    </xf>
    <xf numFmtId="1" fontId="46" fillId="29" borderId="20" xfId="0" applyNumberFormat="1" applyFont="1" applyFill="1" applyBorder="1" applyAlignment="1">
      <alignment horizontal="center" vertical="center"/>
    </xf>
    <xf numFmtId="0" fontId="93" fillId="0" borderId="0" xfId="0" applyNumberFormat="1" applyFont="1" applyAlignment="1">
      <alignment horizontal="right" vertical="center"/>
    </xf>
    <xf numFmtId="0" fontId="94" fillId="0" borderId="20" xfId="0" applyNumberFormat="1" applyFont="1" applyBorder="1" applyAlignment="1">
      <alignment horizontal="center" vertical="center"/>
    </xf>
    <xf numFmtId="176" fontId="95" fillId="0" borderId="20" xfId="0" applyNumberFormat="1" applyFont="1" applyBorder="1">
      <alignment vertical="center"/>
    </xf>
    <xf numFmtId="0" fontId="94" fillId="0" borderId="20" xfId="0" applyNumberFormat="1" applyFont="1" applyBorder="1" applyAlignment="1">
      <alignment horizontal="center" vertical="center" wrapText="1"/>
    </xf>
    <xf numFmtId="176" fontId="94" fillId="0" borderId="20" xfId="0" applyNumberFormat="1" applyFont="1" applyBorder="1">
      <alignment vertical="center"/>
    </xf>
    <xf numFmtId="180" fontId="80" fillId="28" borderId="0" xfId="0" applyFont="1" applyFill="1" applyAlignment="1" applyProtection="1">
      <alignment horizontal="center" vertical="center"/>
      <protection locked="0"/>
    </xf>
    <xf numFmtId="180" fontId="81" fillId="28" borderId="0" xfId="0" applyFont="1" applyFill="1" applyAlignment="1" applyProtection="1">
      <alignment horizontal="center" vertical="center"/>
      <protection locked="0"/>
    </xf>
    <xf numFmtId="180" fontId="82" fillId="0" borderId="18" xfId="0" applyFont="1" applyBorder="1" applyAlignment="1">
      <alignment horizontal="center" vertical="center"/>
    </xf>
    <xf numFmtId="180" fontId="68" fillId="0" borderId="18" xfId="0" applyFont="1" applyBorder="1" applyAlignment="1">
      <alignment horizontal="center" vertical="center"/>
    </xf>
    <xf numFmtId="180" fontId="69" fillId="0" borderId="18" xfId="0" applyFont="1" applyBorder="1" applyAlignment="1">
      <alignment horizontal="center" vertical="center"/>
    </xf>
    <xf numFmtId="180" fontId="2" fillId="0" borderId="11" xfId="0" applyFont="1" applyBorder="1" applyAlignment="1">
      <alignment horizontal="center" vertical="center"/>
    </xf>
    <xf numFmtId="180" fontId="0" fillId="0" borderId="1" xfId="0" applyBorder="1" applyAlignment="1">
      <alignment horizontal="center" vertical="center"/>
    </xf>
    <xf numFmtId="180" fontId="70" fillId="2" borderId="11" xfId="0" applyFont="1" applyFill="1" applyBorder="1" applyAlignment="1">
      <alignment horizontal="center" vertical="center" wrapText="1"/>
    </xf>
    <xf numFmtId="180" fontId="2" fillId="2" borderId="11" xfId="0" applyFont="1" applyFill="1" applyBorder="1" applyAlignment="1">
      <alignment horizontal="center" vertical="center"/>
    </xf>
    <xf numFmtId="180" fontId="70" fillId="2" borderId="11" xfId="0" applyFont="1" applyFill="1" applyBorder="1" applyAlignment="1">
      <alignment horizontal="center" vertical="center"/>
    </xf>
    <xf numFmtId="180" fontId="2" fillId="2" borderId="20" xfId="0" applyFont="1" applyFill="1" applyBorder="1" applyAlignment="1">
      <alignment horizontal="center" vertical="center"/>
    </xf>
    <xf numFmtId="180" fontId="0" fillId="0" borderId="20" xfId="0" applyBorder="1" applyAlignment="1">
      <alignment horizontal="center" vertical="center"/>
    </xf>
    <xf numFmtId="180" fontId="45" fillId="0" borderId="0" xfId="0" applyFont="1" applyAlignment="1">
      <alignment horizontal="center" vertical="center"/>
    </xf>
    <xf numFmtId="180" fontId="45" fillId="0" borderId="0" xfId="0" applyFont="1">
      <alignment vertical="center"/>
    </xf>
    <xf numFmtId="180" fontId="78" fillId="0" borderId="0" xfId="0" applyFont="1" applyAlignment="1">
      <alignment horizontal="center" vertical="center"/>
    </xf>
    <xf numFmtId="180" fontId="50" fillId="28" borderId="18" xfId="0" applyFont="1" applyFill="1" applyBorder="1" applyAlignment="1">
      <alignment horizontal="center" vertical="center"/>
    </xf>
    <xf numFmtId="180" fontId="31" fillId="28" borderId="13" xfId="0" applyFont="1" applyFill="1" applyBorder="1" applyAlignment="1">
      <alignment horizontal="center" vertical="center"/>
    </xf>
    <xf numFmtId="180" fontId="31" fillId="28" borderId="14" xfId="0" applyFont="1" applyFill="1" applyBorder="1" applyAlignment="1">
      <alignment horizontal="center" vertical="center"/>
    </xf>
    <xf numFmtId="180" fontId="48" fillId="2" borderId="18" xfId="0" applyFont="1" applyFill="1" applyBorder="1" applyAlignment="1">
      <alignment horizontal="center" vertical="center"/>
    </xf>
    <xf numFmtId="180" fontId="0" fillId="0" borderId="18" xfId="0" applyBorder="1" applyAlignment="1">
      <alignment horizontal="center" vertical="center"/>
    </xf>
    <xf numFmtId="180" fontId="0" fillId="0" borderId="18" xfId="0" applyBorder="1">
      <alignment vertical="center"/>
    </xf>
    <xf numFmtId="180" fontId="2" fillId="29" borderId="16" xfId="0" applyFont="1" applyFill="1" applyBorder="1" applyAlignment="1">
      <alignment horizontal="center" vertical="center"/>
    </xf>
    <xf numFmtId="180" fontId="46" fillId="29" borderId="11" xfId="0" applyFont="1" applyFill="1" applyBorder="1" applyAlignment="1">
      <alignment horizontal="center" vertical="center"/>
    </xf>
    <xf numFmtId="180" fontId="46" fillId="29" borderId="1" xfId="0" applyFont="1" applyFill="1" applyBorder="1" applyAlignment="1">
      <alignment horizontal="center" vertical="center"/>
    </xf>
    <xf numFmtId="180" fontId="49" fillId="29" borderId="16" xfId="0" applyFont="1" applyFill="1" applyBorder="1" applyAlignment="1">
      <alignment horizontal="center" vertical="center"/>
    </xf>
    <xf numFmtId="180" fontId="73" fillId="0" borderId="18" xfId="0" applyFont="1" applyBorder="1" applyAlignment="1">
      <alignment horizontal="center" vertical="center"/>
    </xf>
    <xf numFmtId="180" fontId="74" fillId="0" borderId="18" xfId="0" applyFont="1" applyBorder="1">
      <alignment vertical="center"/>
    </xf>
    <xf numFmtId="180" fontId="57" fillId="0" borderId="18" xfId="0" applyFont="1" applyBorder="1" applyAlignment="1">
      <alignment horizontal="center" vertical="center"/>
    </xf>
    <xf numFmtId="180" fontId="58" fillId="0" borderId="18" xfId="0" applyFont="1" applyBorder="1" applyAlignment="1">
      <alignment horizontal="center" vertical="center"/>
    </xf>
    <xf numFmtId="180" fontId="42" fillId="29" borderId="20" xfId="1094" applyFont="1" applyFill="1" applyBorder="1" applyAlignment="1">
      <alignment horizontal="center" vertical="center"/>
    </xf>
    <xf numFmtId="180" fontId="61" fillId="0" borderId="20" xfId="2005" applyNumberFormat="1" applyFont="1" applyBorder="1" applyAlignment="1">
      <alignment horizontal="center" vertical="center"/>
    </xf>
    <xf numFmtId="180" fontId="42" fillId="29" borderId="20" xfId="2005" applyNumberFormat="1" applyFont="1" applyFill="1" applyBorder="1" applyAlignment="1">
      <alignment horizontal="center" vertical="center" wrapText="1"/>
    </xf>
    <xf numFmtId="180" fontId="61" fillId="29" borderId="23" xfId="0" applyFont="1" applyFill="1" applyBorder="1" applyAlignment="1">
      <alignment horizontal="center" vertical="center"/>
    </xf>
    <xf numFmtId="180" fontId="61" fillId="29" borderId="15" xfId="0" applyFont="1" applyFill="1" applyBorder="1" applyAlignment="1">
      <alignment horizontal="center" vertical="center"/>
    </xf>
    <xf numFmtId="180" fontId="61" fillId="29" borderId="1" xfId="0" applyFont="1" applyFill="1" applyBorder="1" applyAlignment="1">
      <alignment horizontal="center" vertical="center"/>
    </xf>
    <xf numFmtId="180" fontId="58" fillId="2" borderId="18" xfId="2001" applyFont="1" applyFill="1" applyBorder="1" applyAlignment="1">
      <alignment horizontal="center" vertical="center"/>
    </xf>
    <xf numFmtId="180" fontId="58" fillId="2" borderId="18" xfId="2001" applyFont="1" applyFill="1" applyBorder="1">
      <alignment vertical="center"/>
    </xf>
    <xf numFmtId="180" fontId="61" fillId="29" borderId="20" xfId="0" applyFont="1" applyFill="1" applyBorder="1" applyAlignment="1">
      <alignment horizontal="center" vertical="center"/>
    </xf>
    <xf numFmtId="180" fontId="4" fillId="0" borderId="23" xfId="0" applyFont="1" applyBorder="1" applyAlignment="1">
      <alignment horizontal="center" vertical="center" wrapText="1" readingOrder="1"/>
    </xf>
    <xf numFmtId="180" fontId="4" fillId="0" borderId="15" xfId="0" applyFont="1" applyBorder="1" applyAlignment="1">
      <alignment horizontal="center" vertical="center" wrapText="1" readingOrder="1"/>
    </xf>
    <xf numFmtId="180" fontId="4" fillId="0" borderId="1" xfId="0" applyFont="1" applyBorder="1" applyAlignment="1">
      <alignment horizontal="center" vertical="center" wrapText="1" readingOrder="1"/>
    </xf>
    <xf numFmtId="180" fontId="4" fillId="0" borderId="20" xfId="0" applyFont="1" applyBorder="1" applyAlignment="1">
      <alignment horizontal="center" vertical="center" wrapText="1" readingOrder="1"/>
    </xf>
    <xf numFmtId="176" fontId="4" fillId="0" borderId="20" xfId="0" applyNumberFormat="1" applyFont="1" applyBorder="1" applyAlignment="1">
      <alignment horizontal="center" vertical="center"/>
    </xf>
    <xf numFmtId="180" fontId="85" fillId="0" borderId="18" xfId="0" applyFont="1" applyBorder="1" applyAlignment="1">
      <alignment horizontal="center" vertical="center"/>
    </xf>
    <xf numFmtId="181" fontId="85" fillId="0" borderId="18" xfId="0" applyNumberFormat="1" applyFont="1" applyBorder="1" applyAlignment="1">
      <alignment horizontal="center" vertical="center"/>
    </xf>
    <xf numFmtId="180" fontId="4" fillId="0" borderId="20" xfId="2009" applyFont="1" applyBorder="1" applyAlignment="1">
      <alignment horizontal="center" vertical="center" wrapText="1"/>
    </xf>
    <xf numFmtId="180" fontId="4" fillId="0" borderId="20" xfId="0" applyFont="1" applyBorder="1" applyAlignment="1">
      <alignment horizontal="center" vertical="center" wrapText="1"/>
    </xf>
    <xf numFmtId="180" fontId="4" fillId="0" borderId="20" xfId="2012" applyFont="1" applyBorder="1" applyAlignment="1">
      <alignment horizontal="center" vertical="center" wrapText="1"/>
    </xf>
    <xf numFmtId="176" fontId="4" fillId="0" borderId="20" xfId="1200" applyNumberFormat="1" applyFont="1" applyBorder="1" applyAlignment="1">
      <alignment horizontal="center" vertical="center"/>
    </xf>
    <xf numFmtId="180" fontId="4" fillId="0" borderId="23" xfId="2009" applyFont="1" applyBorder="1" applyAlignment="1">
      <alignment horizontal="center" vertical="center" wrapText="1"/>
    </xf>
    <xf numFmtId="180" fontId="4" fillId="0" borderId="15" xfId="2009" applyFont="1" applyBorder="1" applyAlignment="1">
      <alignment horizontal="center" vertical="center" wrapText="1"/>
    </xf>
    <xf numFmtId="180" fontId="4" fillId="0" borderId="1" xfId="2009" applyFont="1" applyBorder="1" applyAlignment="1">
      <alignment horizontal="center" vertical="center" wrapText="1"/>
    </xf>
    <xf numFmtId="180" fontId="4" fillId="0" borderId="23" xfId="0" applyFont="1" applyBorder="1" applyAlignment="1">
      <alignment horizontal="center" vertical="center" wrapText="1"/>
    </xf>
    <xf numFmtId="180" fontId="4" fillId="0" borderId="15" xfId="0" applyFont="1" applyBorder="1" applyAlignment="1">
      <alignment horizontal="center" vertical="center" wrapText="1"/>
    </xf>
    <xf numFmtId="180" fontId="4" fillId="0" borderId="1" xfId="0" applyFont="1" applyBorder="1" applyAlignment="1">
      <alignment horizontal="center" vertical="center" wrapText="1"/>
    </xf>
    <xf numFmtId="180" fontId="4" fillId="0" borderId="22" xfId="0" applyFont="1" applyBorder="1" applyAlignment="1">
      <alignment horizontal="center" vertical="center" wrapText="1"/>
    </xf>
    <xf numFmtId="180" fontId="4" fillId="0" borderId="23" xfId="0" applyFont="1" applyBorder="1" applyAlignment="1">
      <alignment horizontal="center" vertical="center"/>
    </xf>
    <xf numFmtId="180" fontId="4" fillId="0" borderId="15" xfId="0" applyFont="1" applyBorder="1" applyAlignment="1">
      <alignment horizontal="center" vertical="center"/>
    </xf>
    <xf numFmtId="180" fontId="4" fillId="0" borderId="1" xfId="0" applyFont="1" applyBorder="1" applyAlignment="1">
      <alignment horizontal="center" vertical="center"/>
    </xf>
    <xf numFmtId="180" fontId="4" fillId="0" borderId="20" xfId="1267" applyFont="1" applyBorder="1" applyAlignment="1">
      <alignment horizontal="center" vertical="center" wrapText="1"/>
    </xf>
    <xf numFmtId="180" fontId="4" fillId="0" borderId="20" xfId="1267" applyFont="1" applyBorder="1" applyAlignment="1">
      <alignment horizontal="center" vertical="center"/>
    </xf>
    <xf numFmtId="180" fontId="64" fillId="0" borderId="20" xfId="1267" applyFont="1" applyBorder="1" applyAlignment="1">
      <alignment horizontal="center" vertical="center"/>
    </xf>
    <xf numFmtId="180" fontId="4" fillId="0" borderId="30" xfId="1200" applyFont="1" applyBorder="1" applyAlignment="1">
      <alignment horizontal="center" vertical="center"/>
    </xf>
    <xf numFmtId="180" fontId="4" fillId="0" borderId="23" xfId="2012" applyFont="1" applyBorder="1" applyAlignment="1">
      <alignment horizontal="center" vertical="center" wrapText="1"/>
    </xf>
    <xf numFmtId="180" fontId="4" fillId="0" borderId="15" xfId="2012" applyFont="1" applyBorder="1" applyAlignment="1">
      <alignment horizontal="center" vertical="center" wrapText="1"/>
    </xf>
    <xf numFmtId="180" fontId="4" fillId="0" borderId="1" xfId="2012" applyFont="1" applyBorder="1" applyAlignment="1">
      <alignment horizontal="center" vertical="center" wrapText="1"/>
    </xf>
    <xf numFmtId="180" fontId="85" fillId="0" borderId="29" xfId="1200" applyFont="1" applyBorder="1" applyAlignment="1">
      <alignment horizontal="center" vertical="center"/>
    </xf>
    <xf numFmtId="180" fontId="85" fillId="0" borderId="18" xfId="1200" applyFont="1" applyBorder="1" applyAlignment="1">
      <alignment horizontal="center" vertical="center"/>
    </xf>
    <xf numFmtId="181" fontId="85" fillId="0" borderId="18" xfId="1200" applyNumberFormat="1" applyFont="1" applyBorder="1" applyAlignment="1">
      <alignment horizontal="center" vertical="center"/>
    </xf>
    <xf numFmtId="180" fontId="45" fillId="0" borderId="18" xfId="0" applyFont="1" applyBorder="1" applyAlignment="1">
      <alignment horizontal="center" vertical="center"/>
    </xf>
    <xf numFmtId="180" fontId="4" fillId="0" borderId="20" xfId="1200" applyFont="1" applyBorder="1" applyAlignment="1">
      <alignment horizontal="center" vertical="center" wrapText="1"/>
    </xf>
    <xf numFmtId="2" fontId="4" fillId="0" borderId="20" xfId="1200" applyNumberFormat="1" applyFont="1" applyBorder="1" applyAlignment="1">
      <alignment horizontal="center" vertical="center"/>
    </xf>
    <xf numFmtId="180" fontId="44" fillId="0" borderId="20" xfId="0" applyFont="1" applyBorder="1" applyAlignment="1">
      <alignment horizontal="center" vertical="center"/>
    </xf>
    <xf numFmtId="180" fontId="63" fillId="0" borderId="20" xfId="0" applyFont="1" applyBorder="1" applyAlignment="1">
      <alignment horizontal="center" vertical="center" wrapText="1"/>
    </xf>
    <xf numFmtId="176" fontId="44" fillId="0" borderId="20" xfId="0" applyNumberFormat="1" applyFont="1" applyBorder="1" applyAlignment="1">
      <alignment horizontal="center" vertical="center"/>
    </xf>
    <xf numFmtId="181" fontId="4" fillId="0" borderId="20" xfId="2011" applyNumberFormat="1" applyFont="1" applyFill="1" applyBorder="1" applyAlignment="1">
      <alignment horizontal="center" vertical="center" wrapText="1"/>
    </xf>
    <xf numFmtId="180" fontId="4" fillId="0" borderId="20" xfId="1200" applyFont="1" applyBorder="1" applyAlignment="1">
      <alignment horizontal="center" vertical="center"/>
    </xf>
    <xf numFmtId="181" fontId="4" fillId="0" borderId="23" xfId="2009" applyNumberFormat="1" applyFont="1" applyBorder="1" applyAlignment="1">
      <alignment horizontal="center" vertical="center" wrapText="1"/>
    </xf>
    <xf numFmtId="181" fontId="4" fillId="0" borderId="1" xfId="2009" applyNumberFormat="1" applyFont="1" applyBorder="1" applyAlignment="1">
      <alignment horizontal="center" vertical="center" wrapText="1"/>
    </xf>
    <xf numFmtId="176" fontId="4" fillId="0" borderId="23" xfId="2008" applyNumberFormat="1" applyFont="1" applyFill="1" applyBorder="1" applyAlignment="1">
      <alignment horizontal="center" vertical="center" wrapText="1"/>
    </xf>
    <xf numFmtId="176" fontId="4" fillId="0" borderId="1" xfId="2008" applyNumberFormat="1" applyFont="1" applyFill="1" applyBorder="1" applyAlignment="1">
      <alignment horizontal="center" vertical="center" wrapText="1"/>
    </xf>
    <xf numFmtId="181" fontId="4" fillId="0" borderId="15" xfId="2009" applyNumberFormat="1" applyFont="1" applyBorder="1" applyAlignment="1">
      <alignment horizontal="center" vertical="center" wrapText="1"/>
    </xf>
    <xf numFmtId="176" fontId="4" fillId="0" borderId="15" xfId="2008" applyNumberFormat="1" applyFont="1" applyFill="1" applyBorder="1" applyAlignment="1">
      <alignment horizontal="center" vertical="center" wrapText="1"/>
    </xf>
    <xf numFmtId="180" fontId="4" fillId="0" borderId="19" xfId="0" applyFont="1" applyBorder="1" applyAlignment="1">
      <alignment horizontal="center" vertical="center" wrapText="1"/>
    </xf>
    <xf numFmtId="180" fontId="4" fillId="0" borderId="20" xfId="2012" applyFont="1" applyBorder="1" applyAlignment="1">
      <alignment horizontal="center" vertical="center"/>
    </xf>
    <xf numFmtId="180" fontId="4" fillId="0" borderId="23" xfId="2012" applyFont="1" applyBorder="1" applyAlignment="1">
      <alignment horizontal="center" vertical="center"/>
    </xf>
    <xf numFmtId="180" fontId="4" fillId="0" borderId="15" xfId="2012" applyFont="1" applyBorder="1" applyAlignment="1">
      <alignment horizontal="center" vertical="center"/>
    </xf>
    <xf numFmtId="180" fontId="4" fillId="0" borderId="1" xfId="2012" applyFont="1" applyBorder="1" applyAlignment="1">
      <alignment horizontal="center" vertical="center"/>
    </xf>
    <xf numFmtId="2" fontId="44" fillId="0" borderId="20" xfId="0" applyNumberFormat="1" applyFont="1" applyBorder="1" applyAlignment="1">
      <alignment horizontal="center" vertical="center"/>
    </xf>
    <xf numFmtId="181" fontId="83" fillId="0" borderId="0" xfId="0" applyNumberFormat="1" applyFont="1" applyAlignment="1">
      <alignment horizontal="center" vertical="center" wrapText="1"/>
    </xf>
    <xf numFmtId="180" fontId="37" fillId="28" borderId="0" xfId="0" applyFont="1" applyFill="1" applyAlignment="1" applyProtection="1">
      <alignment horizontal="center" vertical="center"/>
      <protection locked="0"/>
    </xf>
    <xf numFmtId="180" fontId="38" fillId="28" borderId="0" xfId="0" applyFont="1" applyFill="1" applyAlignment="1" applyProtection="1">
      <alignment horizontal="center" vertical="center"/>
      <protection locked="0"/>
    </xf>
    <xf numFmtId="180" fontId="37" fillId="2" borderId="0" xfId="0" applyFont="1" applyFill="1" applyAlignment="1" applyProtection="1">
      <alignment horizontal="center" vertical="center"/>
      <protection locked="0"/>
    </xf>
    <xf numFmtId="180" fontId="38" fillId="2" borderId="0" xfId="0" applyFont="1" applyFill="1" applyAlignment="1" applyProtection="1">
      <alignment horizontal="center" vertical="center"/>
      <protection locked="0"/>
    </xf>
    <xf numFmtId="0" fontId="91" fillId="0" borderId="0" xfId="0" applyNumberFormat="1" applyFont="1" applyAlignment="1">
      <alignment horizontal="center" vertical="center"/>
    </xf>
    <xf numFmtId="180" fontId="0" fillId="0" borderId="0" xfId="0">
      <alignment vertical="center"/>
    </xf>
    <xf numFmtId="0" fontId="92" fillId="0" borderId="18" xfId="0" applyNumberFormat="1" applyFont="1" applyBorder="1">
      <alignment vertical="center"/>
    </xf>
    <xf numFmtId="180" fontId="37" fillId="28" borderId="18" xfId="0" applyFont="1" applyFill="1" applyBorder="1" applyAlignment="1" applyProtection="1">
      <alignment horizontal="center" vertical="center"/>
      <protection locked="0"/>
    </xf>
    <xf numFmtId="180" fontId="38" fillId="28" borderId="18" xfId="0" applyFont="1" applyFill="1" applyBorder="1" applyAlignment="1" applyProtection="1">
      <alignment horizontal="center" vertical="center"/>
      <protection locked="0"/>
    </xf>
    <xf numFmtId="0" fontId="45" fillId="0" borderId="18" xfId="0" applyNumberFormat="1" applyFont="1" applyBorder="1" applyAlignment="1">
      <alignment horizontal="center" vertical="center"/>
    </xf>
    <xf numFmtId="0" fontId="45" fillId="0" borderId="18" xfId="0" applyNumberFormat="1" applyFont="1" applyBorder="1">
      <alignment vertical="center"/>
    </xf>
    <xf numFmtId="0" fontId="0" fillId="0" borderId="18" xfId="0" applyNumberFormat="1" applyBorder="1">
      <alignment vertical="center"/>
    </xf>
    <xf numFmtId="180" fontId="57" fillId="0" borderId="0" xfId="0" applyFont="1" applyAlignment="1">
      <alignment horizontal="center" vertical="center"/>
    </xf>
    <xf numFmtId="0" fontId="58" fillId="2" borderId="18" xfId="2001" applyNumberFormat="1" applyFont="1" applyFill="1" applyBorder="1" applyAlignment="1">
      <alignment horizontal="center" vertical="center"/>
    </xf>
    <xf numFmtId="0" fontId="58" fillId="2" borderId="18" xfId="2001" applyNumberFormat="1" applyFont="1" applyFill="1" applyBorder="1">
      <alignment vertical="center"/>
    </xf>
    <xf numFmtId="0" fontId="1" fillId="29" borderId="20" xfId="0" applyNumberFormat="1" applyFont="1" applyFill="1" applyBorder="1" applyAlignment="1">
      <alignment horizontal="center" vertical="center"/>
    </xf>
    <xf numFmtId="0" fontId="49" fillId="29" borderId="20" xfId="0" applyNumberFormat="1" applyFont="1" applyFill="1" applyBorder="1" applyAlignment="1">
      <alignment horizontal="center" vertical="center"/>
    </xf>
    <xf numFmtId="0" fontId="58" fillId="0" borderId="18" xfId="0" applyNumberFormat="1" applyFont="1" applyBorder="1" applyAlignment="1">
      <alignment horizontal="center" vertical="center"/>
    </xf>
    <xf numFmtId="0" fontId="42" fillId="29" borderId="20" xfId="1094" applyNumberFormat="1" applyFont="1" applyFill="1" applyBorder="1" applyAlignment="1">
      <alignment horizontal="center" vertical="center"/>
    </xf>
    <xf numFmtId="0" fontId="61" fillId="0" borderId="20" xfId="2005" applyNumberFormat="1" applyFont="1" applyBorder="1" applyAlignment="1">
      <alignment horizontal="center" vertical="center"/>
    </xf>
    <xf numFmtId="0" fontId="42" fillId="29" borderId="20" xfId="2005" applyNumberFormat="1" applyFont="1" applyFill="1" applyBorder="1" applyAlignment="1">
      <alignment horizontal="center" vertical="center" wrapText="1"/>
    </xf>
    <xf numFmtId="0" fontId="61" fillId="29" borderId="23" xfId="0" applyNumberFormat="1" applyFont="1" applyFill="1" applyBorder="1" applyAlignment="1">
      <alignment horizontal="center" vertical="center"/>
    </xf>
    <xf numFmtId="0" fontId="61" fillId="29" borderId="15" xfId="0" applyNumberFormat="1" applyFont="1" applyFill="1" applyBorder="1" applyAlignment="1">
      <alignment horizontal="center" vertical="center"/>
    </xf>
    <xf numFmtId="0" fontId="61" fillId="29" borderId="1" xfId="0" applyNumberFormat="1" applyFont="1" applyFill="1" applyBorder="1" applyAlignment="1">
      <alignment horizontal="center" vertical="center"/>
    </xf>
    <xf numFmtId="0" fontId="2" fillId="29" borderId="20" xfId="1094" applyNumberFormat="1" applyFont="1" applyFill="1" applyBorder="1" applyAlignment="1">
      <alignment horizontal="center" vertical="center"/>
    </xf>
    <xf numFmtId="0" fontId="1" fillId="0" borderId="20" xfId="2005" applyNumberFormat="1" applyFont="1" applyBorder="1" applyAlignment="1">
      <alignment horizontal="center" vertical="center"/>
    </xf>
    <xf numFmtId="0" fontId="2" fillId="29" borderId="20" xfId="2005" applyNumberFormat="1" applyFont="1" applyFill="1" applyBorder="1" applyAlignment="1">
      <alignment horizontal="center" vertical="center" wrapText="1"/>
    </xf>
    <xf numFmtId="176" fontId="46" fillId="2" borderId="20" xfId="0" applyNumberFormat="1" applyFont="1" applyFill="1" applyBorder="1" applyAlignment="1">
      <alignment horizontal="center" vertical="center"/>
    </xf>
    <xf numFmtId="0" fontId="46" fillId="2" borderId="20" xfId="0" applyNumberFormat="1" applyFont="1" applyFill="1" applyBorder="1" applyAlignment="1">
      <alignment horizontal="center" vertical="center"/>
    </xf>
    <xf numFmtId="181" fontId="46" fillId="2" borderId="20" xfId="0" applyNumberFormat="1" applyFont="1" applyFill="1" applyBorder="1" applyAlignment="1">
      <alignment horizontal="center" vertical="center"/>
    </xf>
    <xf numFmtId="0" fontId="74" fillId="2" borderId="0" xfId="0" applyNumberFormat="1" applyFont="1" applyFill="1" applyAlignment="1">
      <alignment horizontal="center" vertical="center"/>
    </xf>
    <xf numFmtId="181" fontId="74" fillId="2" borderId="0" xfId="0" applyNumberFormat="1" applyFont="1" applyFill="1" applyAlignment="1">
      <alignment horizontal="center" vertical="center"/>
    </xf>
    <xf numFmtId="180" fontId="74" fillId="0" borderId="0" xfId="0" applyFont="1" applyAlignment="1">
      <alignment horizontal="center" vertical="center"/>
    </xf>
  </cellXfs>
  <cellStyles count="2014">
    <cellStyle name="0,0_x005f_x000d__x005f_x000a_NA_x005f_x000d__x005f_x000a_" xfId="2010"/>
    <cellStyle name="20% - 强调文字颜色 1 2" xfId="2"/>
    <cellStyle name="20% - 强调文字颜色 1 2 2" xfId="3"/>
    <cellStyle name="20% - 强调文字颜色 1 2 2 2" xfId="4"/>
    <cellStyle name="20% - 强调文字颜色 1 2 2 2 2" xfId="5"/>
    <cellStyle name="20% - 强调文字颜色 1 2 2 3" xfId="6"/>
    <cellStyle name="20% - 强调文字颜色 1 2 3" xfId="7"/>
    <cellStyle name="20% - 强调文字颜色 1 2 3 2" xfId="8"/>
    <cellStyle name="20% - 强调文字颜色 1 2 4" xfId="9"/>
    <cellStyle name="20% - 强调文字颜色 1 3" xfId="10"/>
    <cellStyle name="20% - 强调文字颜色 1 3 2" xfId="11"/>
    <cellStyle name="20% - 强调文字颜色 1 3 2 2" xfId="12"/>
    <cellStyle name="20% - 强调文字颜色 1 3 2 2 2" xfId="13"/>
    <cellStyle name="20% - 强调文字颜色 1 3 2 3" xfId="14"/>
    <cellStyle name="20% - 强调文字颜色 1 3 3" xfId="15"/>
    <cellStyle name="20% - 强调文字颜色 1 3 3 2" xfId="16"/>
    <cellStyle name="20% - 强调文字颜色 1 3 4" xfId="17"/>
    <cellStyle name="20% - 强调文字颜色 1 4" xfId="18"/>
    <cellStyle name="20% - 强调文字颜色 1 4 2" xfId="19"/>
    <cellStyle name="20% - 强调文字颜色 1 4 2 2" xfId="20"/>
    <cellStyle name="20% - 强调文字颜色 1 4 2 2 2" xfId="21"/>
    <cellStyle name="20% - 强调文字颜色 1 4 2 3" xfId="22"/>
    <cellStyle name="20% - 强调文字颜色 1 4 3" xfId="23"/>
    <cellStyle name="20% - 强调文字颜色 1 4 3 2" xfId="24"/>
    <cellStyle name="20% - 强调文字颜色 1 4 4" xfId="25"/>
    <cellStyle name="20% - 强调文字颜色 1 5" xfId="26"/>
    <cellStyle name="20% - 强调文字颜色 1 5 2" xfId="27"/>
    <cellStyle name="20% - 强调文字颜色 1 5 2 2" xfId="28"/>
    <cellStyle name="20% - 强调文字颜色 1 5 3" xfId="29"/>
    <cellStyle name="20% - 强调文字颜色 1 6" xfId="30"/>
    <cellStyle name="20% - 强调文字颜色 1 6 2" xfId="31"/>
    <cellStyle name="20% - 强调文字颜色 1 6 2 2" xfId="32"/>
    <cellStyle name="20% - 强调文字颜色 1 6 3" xfId="33"/>
    <cellStyle name="20% - 强调文字颜色 1 7" xfId="34"/>
    <cellStyle name="20% - 强调文字颜色 1 7 2" xfId="35"/>
    <cellStyle name="20% - 强调文字颜色 1 7 2 2" xfId="36"/>
    <cellStyle name="20% - 强调文字颜色 1 7 3" xfId="37"/>
    <cellStyle name="20% - 强调文字颜色 2 2" xfId="38"/>
    <cellStyle name="20% - 强调文字颜色 2 2 2" xfId="39"/>
    <cellStyle name="20% - 强调文字颜色 2 2 2 2" xfId="40"/>
    <cellStyle name="20% - 强调文字颜色 2 2 2 2 2" xfId="41"/>
    <cellStyle name="20% - 强调文字颜色 2 2 2 3" xfId="42"/>
    <cellStyle name="20% - 强调文字颜色 2 2 3" xfId="43"/>
    <cellStyle name="20% - 强调文字颜色 2 2 3 2" xfId="44"/>
    <cellStyle name="20% - 强调文字颜色 2 2 4" xfId="45"/>
    <cellStyle name="20% - 强调文字颜色 2 3" xfId="46"/>
    <cellStyle name="20% - 强调文字颜色 2 3 2" xfId="47"/>
    <cellStyle name="20% - 强调文字颜色 2 3 2 2" xfId="48"/>
    <cellStyle name="20% - 强调文字颜色 2 3 2 2 2" xfId="49"/>
    <cellStyle name="20% - 强调文字颜色 2 3 2 3" xfId="50"/>
    <cellStyle name="20% - 强调文字颜色 2 3 3" xfId="51"/>
    <cellStyle name="20% - 强调文字颜色 2 3 3 2" xfId="52"/>
    <cellStyle name="20% - 强调文字颜色 2 3 4" xfId="53"/>
    <cellStyle name="20% - 强调文字颜色 2 4" xfId="54"/>
    <cellStyle name="20% - 强调文字颜色 2 4 2" xfId="55"/>
    <cellStyle name="20% - 强调文字颜色 2 4 2 2" xfId="56"/>
    <cellStyle name="20% - 强调文字颜色 2 4 2 2 2" xfId="57"/>
    <cellStyle name="20% - 强调文字颜色 2 4 2 3" xfId="58"/>
    <cellStyle name="20% - 强调文字颜色 2 4 3" xfId="59"/>
    <cellStyle name="20% - 强调文字颜色 2 4 3 2" xfId="60"/>
    <cellStyle name="20% - 强调文字颜色 2 4 4" xfId="61"/>
    <cellStyle name="20% - 强调文字颜色 2 5" xfId="62"/>
    <cellStyle name="20% - 强调文字颜色 2 5 2" xfId="63"/>
    <cellStyle name="20% - 强调文字颜色 2 5 2 2" xfId="64"/>
    <cellStyle name="20% - 强调文字颜色 2 5 3" xfId="65"/>
    <cellStyle name="20% - 强调文字颜色 2 6" xfId="66"/>
    <cellStyle name="20% - 强调文字颜色 2 6 2" xfId="67"/>
    <cellStyle name="20% - 强调文字颜色 2 6 2 2" xfId="68"/>
    <cellStyle name="20% - 强调文字颜色 2 6 3" xfId="69"/>
    <cellStyle name="20% - 强调文字颜色 2 7" xfId="70"/>
    <cellStyle name="20% - 强调文字颜色 2 7 2" xfId="71"/>
    <cellStyle name="20% - 强调文字颜色 2 7 2 2" xfId="72"/>
    <cellStyle name="20% - 强调文字颜色 2 7 3" xfId="73"/>
    <cellStyle name="20% - 强调文字颜色 3 2" xfId="74"/>
    <cellStyle name="20% - 强调文字颜色 3 2 2" xfId="75"/>
    <cellStyle name="20% - 强调文字颜色 3 2 2 2" xfId="76"/>
    <cellStyle name="20% - 强调文字颜色 3 2 2 2 2" xfId="77"/>
    <cellStyle name="20% - 强调文字颜色 3 2 2 3" xfId="78"/>
    <cellStyle name="20% - 强调文字颜色 3 2 3" xfId="79"/>
    <cellStyle name="20% - 强调文字颜色 3 2 3 2" xfId="80"/>
    <cellStyle name="20% - 强调文字颜色 3 2 4" xfId="81"/>
    <cellStyle name="20% - 强调文字颜色 3 3" xfId="82"/>
    <cellStyle name="20% - 强调文字颜色 3 3 2" xfId="83"/>
    <cellStyle name="20% - 强调文字颜色 3 3 2 2" xfId="84"/>
    <cellStyle name="20% - 强调文字颜色 3 3 2 2 2" xfId="85"/>
    <cellStyle name="20% - 强调文字颜色 3 3 2 3" xfId="86"/>
    <cellStyle name="20% - 强调文字颜色 3 3 3" xfId="87"/>
    <cellStyle name="20% - 强调文字颜色 3 3 3 2" xfId="88"/>
    <cellStyle name="20% - 强调文字颜色 3 3 4" xfId="89"/>
    <cellStyle name="20% - 强调文字颜色 3 4" xfId="90"/>
    <cellStyle name="20% - 强调文字颜色 3 4 2" xfId="91"/>
    <cellStyle name="20% - 强调文字颜色 3 4 2 2" xfId="92"/>
    <cellStyle name="20% - 强调文字颜色 3 4 2 2 2" xfId="93"/>
    <cellStyle name="20% - 强调文字颜色 3 4 2 3" xfId="94"/>
    <cellStyle name="20% - 强调文字颜色 3 4 3" xfId="95"/>
    <cellStyle name="20% - 强调文字颜色 3 4 3 2" xfId="96"/>
    <cellStyle name="20% - 强调文字颜色 3 4 4" xfId="97"/>
    <cellStyle name="20% - 强调文字颜色 3 5" xfId="98"/>
    <cellStyle name="20% - 强调文字颜色 3 5 2" xfId="99"/>
    <cellStyle name="20% - 强调文字颜色 3 5 2 2" xfId="100"/>
    <cellStyle name="20% - 强调文字颜色 3 5 3" xfId="101"/>
    <cellStyle name="20% - 强调文字颜色 3 6" xfId="102"/>
    <cellStyle name="20% - 强调文字颜色 3 6 2" xfId="103"/>
    <cellStyle name="20% - 强调文字颜色 3 6 2 2" xfId="104"/>
    <cellStyle name="20% - 强调文字颜色 3 6 3" xfId="105"/>
    <cellStyle name="20% - 强调文字颜色 3 7" xfId="106"/>
    <cellStyle name="20% - 强调文字颜色 3 7 2" xfId="107"/>
    <cellStyle name="20% - 强调文字颜色 3 7 2 2" xfId="108"/>
    <cellStyle name="20% - 强调文字颜色 3 7 3" xfId="109"/>
    <cellStyle name="20% - 强调文字颜色 4 2" xfId="110"/>
    <cellStyle name="20% - 强调文字颜色 4 2 2" xfId="111"/>
    <cellStyle name="20% - 强调文字颜色 4 2 2 2" xfId="112"/>
    <cellStyle name="20% - 强调文字颜色 4 2 2 2 2" xfId="113"/>
    <cellStyle name="20% - 强调文字颜色 4 2 2 3" xfId="114"/>
    <cellStyle name="20% - 强调文字颜色 4 2 3" xfId="115"/>
    <cellStyle name="20% - 强调文字颜色 4 2 3 2" xfId="116"/>
    <cellStyle name="20% - 强调文字颜色 4 2 4" xfId="117"/>
    <cellStyle name="20% - 强调文字颜色 4 3" xfId="118"/>
    <cellStyle name="20% - 强调文字颜色 4 3 2" xfId="119"/>
    <cellStyle name="20% - 强调文字颜色 4 3 2 2" xfId="120"/>
    <cellStyle name="20% - 强调文字颜色 4 3 2 2 2" xfId="121"/>
    <cellStyle name="20% - 强调文字颜色 4 3 2 3" xfId="122"/>
    <cellStyle name="20% - 强调文字颜色 4 3 3" xfId="123"/>
    <cellStyle name="20% - 强调文字颜色 4 3 3 2" xfId="124"/>
    <cellStyle name="20% - 强调文字颜色 4 3 4" xfId="125"/>
    <cellStyle name="20% - 强调文字颜色 4 4" xfId="126"/>
    <cellStyle name="20% - 强调文字颜色 4 4 2" xfId="127"/>
    <cellStyle name="20% - 强调文字颜色 4 4 2 2" xfId="128"/>
    <cellStyle name="20% - 强调文字颜色 4 4 2 2 2" xfId="129"/>
    <cellStyle name="20% - 强调文字颜色 4 4 2 3" xfId="130"/>
    <cellStyle name="20% - 强调文字颜色 4 4 3" xfId="131"/>
    <cellStyle name="20% - 强调文字颜色 4 4 3 2" xfId="132"/>
    <cellStyle name="20% - 强调文字颜色 4 4 4" xfId="133"/>
    <cellStyle name="20% - 强调文字颜色 4 5" xfId="134"/>
    <cellStyle name="20% - 强调文字颜色 4 5 2" xfId="135"/>
    <cellStyle name="20% - 强调文字颜色 4 5 2 2" xfId="136"/>
    <cellStyle name="20% - 强调文字颜色 4 5 3" xfId="137"/>
    <cellStyle name="20% - 强调文字颜色 4 6" xfId="138"/>
    <cellStyle name="20% - 强调文字颜色 4 6 2" xfId="139"/>
    <cellStyle name="20% - 强调文字颜色 4 6 2 2" xfId="140"/>
    <cellStyle name="20% - 强调文字颜色 4 6 3" xfId="141"/>
    <cellStyle name="20% - 强调文字颜色 4 7" xfId="142"/>
    <cellStyle name="20% - 强调文字颜色 4 7 2" xfId="143"/>
    <cellStyle name="20% - 强调文字颜色 4 7 2 2" xfId="144"/>
    <cellStyle name="20% - 强调文字颜色 4 7 3" xfId="145"/>
    <cellStyle name="20% - 强调文字颜色 5 2" xfId="146"/>
    <cellStyle name="20% - 强调文字颜色 5 2 2" xfId="147"/>
    <cellStyle name="20% - 强调文字颜色 5 2 2 2" xfId="148"/>
    <cellStyle name="20% - 强调文字颜色 5 2 2 2 2" xfId="149"/>
    <cellStyle name="20% - 强调文字颜色 5 2 2 3" xfId="150"/>
    <cellStyle name="20% - 强调文字颜色 5 2 3" xfId="151"/>
    <cellStyle name="20% - 强调文字颜色 5 2 3 2" xfId="152"/>
    <cellStyle name="20% - 强调文字颜色 5 2 4" xfId="153"/>
    <cellStyle name="20% - 强调文字颜色 5 3" xfId="154"/>
    <cellStyle name="20% - 强调文字颜色 5 3 2" xfId="155"/>
    <cellStyle name="20% - 强调文字颜色 5 3 2 2" xfId="156"/>
    <cellStyle name="20% - 强调文字颜色 5 3 2 2 2" xfId="157"/>
    <cellStyle name="20% - 强调文字颜色 5 3 2 3" xfId="158"/>
    <cellStyle name="20% - 强调文字颜色 5 3 3" xfId="159"/>
    <cellStyle name="20% - 强调文字颜色 5 3 3 2" xfId="160"/>
    <cellStyle name="20% - 强调文字颜色 5 3 4" xfId="161"/>
    <cellStyle name="20% - 强调文字颜色 5 4" xfId="162"/>
    <cellStyle name="20% - 强调文字颜色 5 4 2" xfId="163"/>
    <cellStyle name="20% - 强调文字颜色 5 4 2 2" xfId="164"/>
    <cellStyle name="20% - 强调文字颜色 5 4 2 2 2" xfId="165"/>
    <cellStyle name="20% - 强调文字颜色 5 4 2 3" xfId="166"/>
    <cellStyle name="20% - 强调文字颜色 5 4 3" xfId="167"/>
    <cellStyle name="20% - 强调文字颜色 5 4 3 2" xfId="168"/>
    <cellStyle name="20% - 强调文字颜色 5 4 4" xfId="169"/>
    <cellStyle name="20% - 强调文字颜色 5 5" xfId="170"/>
    <cellStyle name="20% - 强调文字颜色 5 5 2" xfId="171"/>
    <cellStyle name="20% - 强调文字颜色 5 5 2 2" xfId="172"/>
    <cellStyle name="20% - 强调文字颜色 5 5 3" xfId="173"/>
    <cellStyle name="20% - 强调文字颜色 5 6" xfId="174"/>
    <cellStyle name="20% - 强调文字颜色 5 6 2" xfId="175"/>
    <cellStyle name="20% - 强调文字颜色 5 6 2 2" xfId="176"/>
    <cellStyle name="20% - 强调文字颜色 5 6 3" xfId="177"/>
    <cellStyle name="20% - 强调文字颜色 5 7" xfId="178"/>
    <cellStyle name="20% - 强调文字颜色 5 7 2" xfId="179"/>
    <cellStyle name="20% - 强调文字颜色 5 7 2 2" xfId="180"/>
    <cellStyle name="20% - 强调文字颜色 5 7 3" xfId="181"/>
    <cellStyle name="20% - 强调文字颜色 6 2" xfId="182"/>
    <cellStyle name="20% - 强调文字颜色 6 2 2" xfId="183"/>
    <cellStyle name="20% - 强调文字颜色 6 2 2 2" xfId="184"/>
    <cellStyle name="20% - 强调文字颜色 6 2 2 2 2" xfId="185"/>
    <cellStyle name="20% - 强调文字颜色 6 2 2 3" xfId="186"/>
    <cellStyle name="20% - 强调文字颜色 6 2 3" xfId="187"/>
    <cellStyle name="20% - 强调文字颜色 6 2 3 2" xfId="188"/>
    <cellStyle name="20% - 强调文字颜色 6 2 4" xfId="189"/>
    <cellStyle name="20% - 强调文字颜色 6 3" xfId="190"/>
    <cellStyle name="20% - 强调文字颜色 6 3 2" xfId="191"/>
    <cellStyle name="20% - 强调文字颜色 6 3 2 2" xfId="192"/>
    <cellStyle name="20% - 强调文字颜色 6 3 2 2 2" xfId="193"/>
    <cellStyle name="20% - 强调文字颜色 6 3 2 3" xfId="194"/>
    <cellStyle name="20% - 强调文字颜色 6 3 3" xfId="195"/>
    <cellStyle name="20% - 强调文字颜色 6 3 3 2" xfId="196"/>
    <cellStyle name="20% - 强调文字颜色 6 3 4" xfId="197"/>
    <cellStyle name="20% - 强调文字颜色 6 4" xfId="198"/>
    <cellStyle name="20% - 强调文字颜色 6 4 2" xfId="199"/>
    <cellStyle name="20% - 强调文字颜色 6 4 2 2" xfId="200"/>
    <cellStyle name="20% - 强调文字颜色 6 4 2 2 2" xfId="201"/>
    <cellStyle name="20% - 强调文字颜色 6 4 2 3" xfId="202"/>
    <cellStyle name="20% - 强调文字颜色 6 4 3" xfId="203"/>
    <cellStyle name="20% - 强调文字颜色 6 4 3 2" xfId="204"/>
    <cellStyle name="20% - 强调文字颜色 6 4 4" xfId="205"/>
    <cellStyle name="20% - 强调文字颜色 6 5" xfId="206"/>
    <cellStyle name="20% - 强调文字颜色 6 5 2" xfId="207"/>
    <cellStyle name="20% - 强调文字颜色 6 5 2 2" xfId="208"/>
    <cellStyle name="20% - 强调文字颜色 6 5 3" xfId="209"/>
    <cellStyle name="20% - 强调文字颜色 6 6" xfId="210"/>
    <cellStyle name="20% - 强调文字颜色 6 6 2" xfId="211"/>
    <cellStyle name="20% - 强调文字颜色 6 6 2 2" xfId="212"/>
    <cellStyle name="20% - 强调文字颜色 6 6 3" xfId="213"/>
    <cellStyle name="20% - 强调文字颜色 6 7" xfId="214"/>
    <cellStyle name="20% - 强调文字颜色 6 7 2" xfId="215"/>
    <cellStyle name="20% - 强调文字颜色 6 7 2 2" xfId="216"/>
    <cellStyle name="20% - 强调文字颜色 6 7 3" xfId="217"/>
    <cellStyle name="20% - 着色 1 2" xfId="218"/>
    <cellStyle name="20% - 着色 1 2 2" xfId="219"/>
    <cellStyle name="20% - 着色 1 2 2 2" xfId="220"/>
    <cellStyle name="20% - 着色 1 2 2 2 2" xfId="221"/>
    <cellStyle name="20% - 着色 1 2 2 3" xfId="222"/>
    <cellStyle name="20% - 着色 1 2 3" xfId="223"/>
    <cellStyle name="20% - 着色 1 2 3 2" xfId="224"/>
    <cellStyle name="20% - 着色 1 2 4" xfId="225"/>
    <cellStyle name="20% - 着色 1 3" xfId="226"/>
    <cellStyle name="20% - 着色 1 3 2" xfId="227"/>
    <cellStyle name="20% - 着色 1 3 2 2" xfId="228"/>
    <cellStyle name="20% - 着色 1 3 3" xfId="229"/>
    <cellStyle name="20% - 着色 1 4" xfId="230"/>
    <cellStyle name="20% - 着色 1 4 2" xfId="231"/>
    <cellStyle name="20% - 着色 1 4 2 2" xfId="232"/>
    <cellStyle name="20% - 着色 1 4 3" xfId="233"/>
    <cellStyle name="20% - 着色 1 5" xfId="234"/>
    <cellStyle name="20% - 着色 1 5 2" xfId="235"/>
    <cellStyle name="20% - 着色 1 6" xfId="236"/>
    <cellStyle name="20% - 着色 2 2" xfId="237"/>
    <cellStyle name="20% - 着色 2 2 2" xfId="238"/>
    <cellStyle name="20% - 着色 2 2 2 2" xfId="239"/>
    <cellStyle name="20% - 着色 2 2 2 2 2" xfId="240"/>
    <cellStyle name="20% - 着色 2 2 2 3" xfId="241"/>
    <cellStyle name="20% - 着色 2 2 3" xfId="242"/>
    <cellStyle name="20% - 着色 2 2 3 2" xfId="243"/>
    <cellStyle name="20% - 着色 2 2 4" xfId="244"/>
    <cellStyle name="20% - 着色 2 3" xfId="245"/>
    <cellStyle name="20% - 着色 2 3 2" xfId="246"/>
    <cellStyle name="20% - 着色 2 3 2 2" xfId="247"/>
    <cellStyle name="20% - 着色 2 3 3" xfId="248"/>
    <cellStyle name="20% - 着色 2 4" xfId="249"/>
    <cellStyle name="20% - 着色 2 4 2" xfId="250"/>
    <cellStyle name="20% - 着色 2 4 2 2" xfId="251"/>
    <cellStyle name="20% - 着色 2 4 3" xfId="252"/>
    <cellStyle name="20% - 着色 2 5" xfId="253"/>
    <cellStyle name="20% - 着色 2 5 2" xfId="254"/>
    <cellStyle name="20% - 着色 2 6" xfId="255"/>
    <cellStyle name="20% - 着色 3 2" xfId="256"/>
    <cellStyle name="20% - 着色 3 2 2" xfId="257"/>
    <cellStyle name="20% - 着色 3 2 2 2" xfId="258"/>
    <cellStyle name="20% - 着色 3 2 2 2 2" xfId="259"/>
    <cellStyle name="20% - 着色 3 2 2 3" xfId="260"/>
    <cellStyle name="20% - 着色 3 2 3" xfId="261"/>
    <cellStyle name="20% - 着色 3 2 3 2" xfId="262"/>
    <cellStyle name="20% - 着色 3 2 4" xfId="263"/>
    <cellStyle name="20% - 着色 3 3" xfId="264"/>
    <cellStyle name="20% - 着色 3 3 2" xfId="265"/>
    <cellStyle name="20% - 着色 3 3 2 2" xfId="266"/>
    <cellStyle name="20% - 着色 3 3 3" xfId="267"/>
    <cellStyle name="20% - 着色 3 4" xfId="268"/>
    <cellStyle name="20% - 着色 3 4 2" xfId="269"/>
    <cellStyle name="20% - 着色 3 4 2 2" xfId="270"/>
    <cellStyle name="20% - 着色 3 4 3" xfId="271"/>
    <cellStyle name="20% - 着色 3 5" xfId="272"/>
    <cellStyle name="20% - 着色 3 5 2" xfId="273"/>
    <cellStyle name="20% - 着色 3 6" xfId="274"/>
    <cellStyle name="20% - 着色 4 2" xfId="275"/>
    <cellStyle name="20% - 着色 4 2 2" xfId="276"/>
    <cellStyle name="20% - 着色 4 2 2 2" xfId="277"/>
    <cellStyle name="20% - 着色 4 2 2 2 2" xfId="278"/>
    <cellStyle name="20% - 着色 4 2 2 3" xfId="279"/>
    <cellStyle name="20% - 着色 4 2 3" xfId="280"/>
    <cellStyle name="20% - 着色 4 2 3 2" xfId="281"/>
    <cellStyle name="20% - 着色 4 2 4" xfId="282"/>
    <cellStyle name="20% - 着色 4 3" xfId="283"/>
    <cellStyle name="20% - 着色 4 3 2" xfId="284"/>
    <cellStyle name="20% - 着色 4 3 2 2" xfId="285"/>
    <cellStyle name="20% - 着色 4 3 3" xfId="286"/>
    <cellStyle name="20% - 着色 4 4" xfId="287"/>
    <cellStyle name="20% - 着色 4 4 2" xfId="288"/>
    <cellStyle name="20% - 着色 4 4 2 2" xfId="289"/>
    <cellStyle name="20% - 着色 4 4 3" xfId="290"/>
    <cellStyle name="20% - 着色 4 5" xfId="291"/>
    <cellStyle name="20% - 着色 4 5 2" xfId="292"/>
    <cellStyle name="20% - 着色 4 6" xfId="293"/>
    <cellStyle name="20% - 着色 5 2" xfId="294"/>
    <cellStyle name="20% - 着色 5 2 2" xfId="295"/>
    <cellStyle name="20% - 着色 5 2 2 2" xfId="296"/>
    <cellStyle name="20% - 着色 5 2 2 2 2" xfId="297"/>
    <cellStyle name="20% - 着色 5 2 2 3" xfId="298"/>
    <cellStyle name="20% - 着色 5 2 3" xfId="299"/>
    <cellStyle name="20% - 着色 5 2 3 2" xfId="300"/>
    <cellStyle name="20% - 着色 5 2 4" xfId="301"/>
    <cellStyle name="20% - 着色 5 3" xfId="302"/>
    <cellStyle name="20% - 着色 5 3 2" xfId="303"/>
    <cellStyle name="20% - 着色 5 3 2 2" xfId="304"/>
    <cellStyle name="20% - 着色 5 3 3" xfId="305"/>
    <cellStyle name="20% - 着色 5 4" xfId="306"/>
    <cellStyle name="20% - 着色 5 4 2" xfId="307"/>
    <cellStyle name="20% - 着色 5 4 2 2" xfId="308"/>
    <cellStyle name="20% - 着色 5 4 3" xfId="309"/>
    <cellStyle name="20% - 着色 5 5" xfId="310"/>
    <cellStyle name="20% - 着色 5 5 2" xfId="311"/>
    <cellStyle name="20% - 着色 5 6" xfId="312"/>
    <cellStyle name="20% - 着色 6 2" xfId="313"/>
    <cellStyle name="20% - 着色 6 2 2" xfId="314"/>
    <cellStyle name="20% - 着色 6 2 2 2" xfId="315"/>
    <cellStyle name="20% - 着色 6 2 2 2 2" xfId="316"/>
    <cellStyle name="20% - 着色 6 2 2 3" xfId="317"/>
    <cellStyle name="20% - 着色 6 2 3" xfId="318"/>
    <cellStyle name="20% - 着色 6 2 3 2" xfId="319"/>
    <cellStyle name="20% - 着色 6 2 4" xfId="320"/>
    <cellStyle name="20% - 着色 6 3" xfId="321"/>
    <cellStyle name="20% - 着色 6 3 2" xfId="322"/>
    <cellStyle name="20% - 着色 6 3 2 2" xfId="323"/>
    <cellStyle name="20% - 着色 6 3 3" xfId="324"/>
    <cellStyle name="20% - 着色 6 4" xfId="325"/>
    <cellStyle name="20% - 着色 6 4 2" xfId="326"/>
    <cellStyle name="20% - 着色 6 4 2 2" xfId="327"/>
    <cellStyle name="20% - 着色 6 4 3" xfId="328"/>
    <cellStyle name="20% - 着色 6 5" xfId="329"/>
    <cellStyle name="20% - 着色 6 5 2" xfId="330"/>
    <cellStyle name="20% - 着色 6 6" xfId="331"/>
    <cellStyle name="40% - 强调文字颜色 1 2" xfId="332"/>
    <cellStyle name="40% - 强调文字颜色 1 2 2" xfId="333"/>
    <cellStyle name="40% - 强调文字颜色 1 2 2 2" xfId="334"/>
    <cellStyle name="40% - 强调文字颜色 1 2 2 2 2" xfId="335"/>
    <cellStyle name="40% - 强调文字颜色 1 2 2 3" xfId="336"/>
    <cellStyle name="40% - 强调文字颜色 1 2 3" xfId="337"/>
    <cellStyle name="40% - 强调文字颜色 1 2 3 2" xfId="338"/>
    <cellStyle name="40% - 强调文字颜色 1 2 4" xfId="339"/>
    <cellStyle name="40% - 强调文字颜色 1 3" xfId="340"/>
    <cellStyle name="40% - 强调文字颜色 1 3 2" xfId="341"/>
    <cellStyle name="40% - 强调文字颜色 1 3 2 2" xfId="342"/>
    <cellStyle name="40% - 强调文字颜色 1 3 2 2 2" xfId="343"/>
    <cellStyle name="40% - 强调文字颜色 1 3 2 3" xfId="344"/>
    <cellStyle name="40% - 强调文字颜色 1 3 3" xfId="345"/>
    <cellStyle name="40% - 强调文字颜色 1 3 3 2" xfId="346"/>
    <cellStyle name="40% - 强调文字颜色 1 3 4" xfId="347"/>
    <cellStyle name="40% - 强调文字颜色 1 4" xfId="348"/>
    <cellStyle name="40% - 强调文字颜色 1 4 2" xfId="349"/>
    <cellStyle name="40% - 强调文字颜色 1 4 2 2" xfId="350"/>
    <cellStyle name="40% - 强调文字颜色 1 4 2 2 2" xfId="351"/>
    <cellStyle name="40% - 强调文字颜色 1 4 2 3" xfId="352"/>
    <cellStyle name="40% - 强调文字颜色 1 4 3" xfId="353"/>
    <cellStyle name="40% - 强调文字颜色 1 4 3 2" xfId="354"/>
    <cellStyle name="40% - 强调文字颜色 1 4 4" xfId="355"/>
    <cellStyle name="40% - 强调文字颜色 1 5" xfId="356"/>
    <cellStyle name="40% - 强调文字颜色 1 5 2" xfId="357"/>
    <cellStyle name="40% - 强调文字颜色 1 5 2 2" xfId="358"/>
    <cellStyle name="40% - 强调文字颜色 1 5 3" xfId="359"/>
    <cellStyle name="40% - 强调文字颜色 1 6" xfId="360"/>
    <cellStyle name="40% - 强调文字颜色 1 6 2" xfId="361"/>
    <cellStyle name="40% - 强调文字颜色 1 6 2 2" xfId="362"/>
    <cellStyle name="40% - 强调文字颜色 1 6 3" xfId="363"/>
    <cellStyle name="40% - 强调文字颜色 1 7" xfId="364"/>
    <cellStyle name="40% - 强调文字颜色 1 7 2" xfId="365"/>
    <cellStyle name="40% - 强调文字颜色 1 7 2 2" xfId="366"/>
    <cellStyle name="40% - 强调文字颜色 1 7 3" xfId="367"/>
    <cellStyle name="40% - 强调文字颜色 2 2" xfId="368"/>
    <cellStyle name="40% - 强调文字颜色 2 2 2" xfId="369"/>
    <cellStyle name="40% - 强调文字颜色 2 2 2 2" xfId="370"/>
    <cellStyle name="40% - 强调文字颜色 2 2 2 2 2" xfId="371"/>
    <cellStyle name="40% - 强调文字颜色 2 2 2 3" xfId="372"/>
    <cellStyle name="40% - 强调文字颜色 2 2 3" xfId="373"/>
    <cellStyle name="40% - 强调文字颜色 2 2 3 2" xfId="374"/>
    <cellStyle name="40% - 强调文字颜色 2 2 4" xfId="375"/>
    <cellStyle name="40% - 强调文字颜色 2 3" xfId="376"/>
    <cellStyle name="40% - 强调文字颜色 2 3 2" xfId="377"/>
    <cellStyle name="40% - 强调文字颜色 2 3 2 2" xfId="378"/>
    <cellStyle name="40% - 强调文字颜色 2 3 2 2 2" xfId="379"/>
    <cellStyle name="40% - 强调文字颜色 2 3 2 3" xfId="380"/>
    <cellStyle name="40% - 强调文字颜色 2 3 3" xfId="381"/>
    <cellStyle name="40% - 强调文字颜色 2 3 3 2" xfId="382"/>
    <cellStyle name="40% - 强调文字颜色 2 3 4" xfId="383"/>
    <cellStyle name="40% - 强调文字颜色 2 4" xfId="384"/>
    <cellStyle name="40% - 强调文字颜色 2 4 2" xfId="385"/>
    <cellStyle name="40% - 强调文字颜色 2 4 2 2" xfId="386"/>
    <cellStyle name="40% - 强调文字颜色 2 4 2 2 2" xfId="387"/>
    <cellStyle name="40% - 强调文字颜色 2 4 2 3" xfId="388"/>
    <cellStyle name="40% - 强调文字颜色 2 4 3" xfId="389"/>
    <cellStyle name="40% - 强调文字颜色 2 4 3 2" xfId="390"/>
    <cellStyle name="40% - 强调文字颜色 2 4 4" xfId="391"/>
    <cellStyle name="40% - 强调文字颜色 2 5" xfId="392"/>
    <cellStyle name="40% - 强调文字颜色 2 5 2" xfId="393"/>
    <cellStyle name="40% - 强调文字颜色 2 5 2 2" xfId="394"/>
    <cellStyle name="40% - 强调文字颜色 2 5 3" xfId="395"/>
    <cellStyle name="40% - 强调文字颜色 2 6" xfId="396"/>
    <cellStyle name="40% - 强调文字颜色 2 6 2" xfId="397"/>
    <cellStyle name="40% - 强调文字颜色 2 6 2 2" xfId="398"/>
    <cellStyle name="40% - 强调文字颜色 2 6 3" xfId="399"/>
    <cellStyle name="40% - 强调文字颜色 2 7" xfId="400"/>
    <cellStyle name="40% - 强调文字颜色 2 7 2" xfId="401"/>
    <cellStyle name="40% - 强调文字颜色 2 7 2 2" xfId="402"/>
    <cellStyle name="40% - 强调文字颜色 2 7 3" xfId="403"/>
    <cellStyle name="40% - 强调文字颜色 3 2" xfId="404"/>
    <cellStyle name="40% - 强调文字颜色 3 2 2" xfId="405"/>
    <cellStyle name="40% - 强调文字颜色 3 2 2 2" xfId="406"/>
    <cellStyle name="40% - 强调文字颜色 3 2 2 2 2" xfId="407"/>
    <cellStyle name="40% - 强调文字颜色 3 2 2 3" xfId="408"/>
    <cellStyle name="40% - 强调文字颜色 3 2 3" xfId="409"/>
    <cellStyle name="40% - 强调文字颜色 3 2 3 2" xfId="410"/>
    <cellStyle name="40% - 强调文字颜色 3 2 4" xfId="411"/>
    <cellStyle name="40% - 强调文字颜色 3 3" xfId="412"/>
    <cellStyle name="40% - 强调文字颜色 3 3 2" xfId="413"/>
    <cellStyle name="40% - 强调文字颜色 3 3 2 2" xfId="414"/>
    <cellStyle name="40% - 强调文字颜色 3 3 2 2 2" xfId="415"/>
    <cellStyle name="40% - 强调文字颜色 3 3 2 3" xfId="416"/>
    <cellStyle name="40% - 强调文字颜色 3 3 3" xfId="417"/>
    <cellStyle name="40% - 强调文字颜色 3 3 3 2" xfId="418"/>
    <cellStyle name="40% - 强调文字颜色 3 3 4" xfId="419"/>
    <cellStyle name="40% - 强调文字颜色 3 4" xfId="420"/>
    <cellStyle name="40% - 强调文字颜色 3 4 2" xfId="421"/>
    <cellStyle name="40% - 强调文字颜色 3 4 2 2" xfId="422"/>
    <cellStyle name="40% - 强调文字颜色 3 4 2 2 2" xfId="423"/>
    <cellStyle name="40% - 强调文字颜色 3 4 2 3" xfId="424"/>
    <cellStyle name="40% - 强调文字颜色 3 4 3" xfId="425"/>
    <cellStyle name="40% - 强调文字颜色 3 4 3 2" xfId="426"/>
    <cellStyle name="40% - 强调文字颜色 3 4 4" xfId="427"/>
    <cellStyle name="40% - 强调文字颜色 3 5" xfId="428"/>
    <cellStyle name="40% - 强调文字颜色 3 5 2" xfId="429"/>
    <cellStyle name="40% - 强调文字颜色 3 5 2 2" xfId="430"/>
    <cellStyle name="40% - 强调文字颜色 3 5 3" xfId="431"/>
    <cellStyle name="40% - 强调文字颜色 3 6" xfId="432"/>
    <cellStyle name="40% - 强调文字颜色 3 6 2" xfId="433"/>
    <cellStyle name="40% - 强调文字颜色 3 6 2 2" xfId="434"/>
    <cellStyle name="40% - 强调文字颜色 3 6 3" xfId="435"/>
    <cellStyle name="40% - 强调文字颜色 3 7" xfId="436"/>
    <cellStyle name="40% - 强调文字颜色 3 7 2" xfId="437"/>
    <cellStyle name="40% - 强调文字颜色 3 7 2 2" xfId="438"/>
    <cellStyle name="40% - 强调文字颜色 3 7 3" xfId="439"/>
    <cellStyle name="40% - 强调文字颜色 4 2" xfId="440"/>
    <cellStyle name="40% - 强调文字颜色 4 2 2" xfId="441"/>
    <cellStyle name="40% - 强调文字颜色 4 2 2 2" xfId="442"/>
    <cellStyle name="40% - 强调文字颜色 4 2 2 2 2" xfId="443"/>
    <cellStyle name="40% - 强调文字颜色 4 2 2 3" xfId="444"/>
    <cellStyle name="40% - 强调文字颜色 4 2 3" xfId="445"/>
    <cellStyle name="40% - 强调文字颜色 4 2 3 2" xfId="446"/>
    <cellStyle name="40% - 强调文字颜色 4 2 4" xfId="447"/>
    <cellStyle name="40% - 强调文字颜色 4 3" xfId="448"/>
    <cellStyle name="40% - 强调文字颜色 4 3 2" xfId="449"/>
    <cellStyle name="40% - 强调文字颜色 4 3 2 2" xfId="450"/>
    <cellStyle name="40% - 强调文字颜色 4 3 2 2 2" xfId="451"/>
    <cellStyle name="40% - 强调文字颜色 4 3 2 3" xfId="452"/>
    <cellStyle name="40% - 强调文字颜色 4 3 3" xfId="453"/>
    <cellStyle name="40% - 强调文字颜色 4 3 3 2" xfId="454"/>
    <cellStyle name="40% - 强调文字颜色 4 3 4" xfId="455"/>
    <cellStyle name="40% - 强调文字颜色 4 4" xfId="456"/>
    <cellStyle name="40% - 强调文字颜色 4 4 2" xfId="457"/>
    <cellStyle name="40% - 强调文字颜色 4 4 2 2" xfId="458"/>
    <cellStyle name="40% - 强调文字颜色 4 4 2 2 2" xfId="459"/>
    <cellStyle name="40% - 强调文字颜色 4 4 2 3" xfId="460"/>
    <cellStyle name="40% - 强调文字颜色 4 4 3" xfId="461"/>
    <cellStyle name="40% - 强调文字颜色 4 4 3 2" xfId="462"/>
    <cellStyle name="40% - 强调文字颜色 4 4 4" xfId="463"/>
    <cellStyle name="40% - 强调文字颜色 4 5" xfId="464"/>
    <cellStyle name="40% - 强调文字颜色 4 5 2" xfId="465"/>
    <cellStyle name="40% - 强调文字颜色 4 5 2 2" xfId="466"/>
    <cellStyle name="40% - 强调文字颜色 4 5 3" xfId="467"/>
    <cellStyle name="40% - 强调文字颜色 4 6" xfId="468"/>
    <cellStyle name="40% - 强调文字颜色 4 6 2" xfId="469"/>
    <cellStyle name="40% - 强调文字颜色 4 6 2 2" xfId="470"/>
    <cellStyle name="40% - 强调文字颜色 4 6 3" xfId="471"/>
    <cellStyle name="40% - 强调文字颜色 4 7" xfId="472"/>
    <cellStyle name="40% - 强调文字颜色 4 7 2" xfId="473"/>
    <cellStyle name="40% - 强调文字颜色 4 7 2 2" xfId="474"/>
    <cellStyle name="40% - 强调文字颜色 4 7 3" xfId="475"/>
    <cellStyle name="40% - 强调文字颜色 5 2" xfId="476"/>
    <cellStyle name="40% - 强调文字颜色 5 2 2" xfId="477"/>
    <cellStyle name="40% - 强调文字颜色 5 2 2 2" xfId="478"/>
    <cellStyle name="40% - 强调文字颜色 5 2 2 2 2" xfId="479"/>
    <cellStyle name="40% - 强调文字颜色 5 2 2 3" xfId="480"/>
    <cellStyle name="40% - 强调文字颜色 5 2 3" xfId="481"/>
    <cellStyle name="40% - 强调文字颜色 5 2 3 2" xfId="482"/>
    <cellStyle name="40% - 强调文字颜色 5 2 4" xfId="483"/>
    <cellStyle name="40% - 强调文字颜色 5 3" xfId="484"/>
    <cellStyle name="40% - 强调文字颜色 5 3 2" xfId="485"/>
    <cellStyle name="40% - 强调文字颜色 5 3 2 2" xfId="486"/>
    <cellStyle name="40% - 强调文字颜色 5 3 2 2 2" xfId="487"/>
    <cellStyle name="40% - 强调文字颜色 5 3 2 3" xfId="488"/>
    <cellStyle name="40% - 强调文字颜色 5 3 3" xfId="489"/>
    <cellStyle name="40% - 强调文字颜色 5 3 3 2" xfId="490"/>
    <cellStyle name="40% - 强调文字颜色 5 3 4" xfId="491"/>
    <cellStyle name="40% - 强调文字颜色 5 4" xfId="492"/>
    <cellStyle name="40% - 强调文字颜色 5 4 2" xfId="493"/>
    <cellStyle name="40% - 强调文字颜色 5 4 2 2" xfId="494"/>
    <cellStyle name="40% - 强调文字颜色 5 4 2 2 2" xfId="495"/>
    <cellStyle name="40% - 强调文字颜色 5 4 2 3" xfId="496"/>
    <cellStyle name="40% - 强调文字颜色 5 4 3" xfId="497"/>
    <cellStyle name="40% - 强调文字颜色 5 4 3 2" xfId="498"/>
    <cellStyle name="40% - 强调文字颜色 5 4 4" xfId="499"/>
    <cellStyle name="40% - 强调文字颜色 5 5" xfId="500"/>
    <cellStyle name="40% - 强调文字颜色 5 5 2" xfId="501"/>
    <cellStyle name="40% - 强调文字颜色 5 5 2 2" xfId="502"/>
    <cellStyle name="40% - 强调文字颜色 5 5 3" xfId="503"/>
    <cellStyle name="40% - 强调文字颜色 5 6" xfId="504"/>
    <cellStyle name="40% - 强调文字颜色 5 6 2" xfId="505"/>
    <cellStyle name="40% - 强调文字颜色 5 6 2 2" xfId="506"/>
    <cellStyle name="40% - 强调文字颜色 5 6 3" xfId="507"/>
    <cellStyle name="40% - 强调文字颜色 5 7" xfId="508"/>
    <cellStyle name="40% - 强调文字颜色 5 7 2" xfId="509"/>
    <cellStyle name="40% - 强调文字颜色 5 7 2 2" xfId="510"/>
    <cellStyle name="40% - 强调文字颜色 5 7 3" xfId="511"/>
    <cellStyle name="40% - 强调文字颜色 6 2" xfId="512"/>
    <cellStyle name="40% - 强调文字颜色 6 2 2" xfId="513"/>
    <cellStyle name="40% - 强调文字颜色 6 2 2 2" xfId="514"/>
    <cellStyle name="40% - 强调文字颜色 6 2 2 2 2" xfId="515"/>
    <cellStyle name="40% - 强调文字颜色 6 2 2 3" xfId="516"/>
    <cellStyle name="40% - 强调文字颜色 6 2 3" xfId="517"/>
    <cellStyle name="40% - 强调文字颜色 6 2 3 2" xfId="518"/>
    <cellStyle name="40% - 强调文字颜色 6 2 4" xfId="519"/>
    <cellStyle name="40% - 强调文字颜色 6 3" xfId="520"/>
    <cellStyle name="40% - 强调文字颜色 6 3 2" xfId="521"/>
    <cellStyle name="40% - 强调文字颜色 6 3 2 2" xfId="522"/>
    <cellStyle name="40% - 强调文字颜色 6 3 2 2 2" xfId="523"/>
    <cellStyle name="40% - 强调文字颜色 6 3 2 3" xfId="524"/>
    <cellStyle name="40% - 强调文字颜色 6 3 3" xfId="525"/>
    <cellStyle name="40% - 强调文字颜色 6 3 3 2" xfId="526"/>
    <cellStyle name="40% - 强调文字颜色 6 3 4" xfId="527"/>
    <cellStyle name="40% - 强调文字颜色 6 4" xfId="528"/>
    <cellStyle name="40% - 强调文字颜色 6 4 2" xfId="529"/>
    <cellStyle name="40% - 强调文字颜色 6 4 2 2" xfId="530"/>
    <cellStyle name="40% - 强调文字颜色 6 4 2 2 2" xfId="531"/>
    <cellStyle name="40% - 强调文字颜色 6 4 2 3" xfId="532"/>
    <cellStyle name="40% - 强调文字颜色 6 4 3" xfId="533"/>
    <cellStyle name="40% - 强调文字颜色 6 4 3 2" xfId="534"/>
    <cellStyle name="40% - 强调文字颜色 6 4 4" xfId="535"/>
    <cellStyle name="40% - 强调文字颜色 6 5" xfId="536"/>
    <cellStyle name="40% - 强调文字颜色 6 5 2" xfId="537"/>
    <cellStyle name="40% - 强调文字颜色 6 5 2 2" xfId="538"/>
    <cellStyle name="40% - 强调文字颜色 6 5 3" xfId="539"/>
    <cellStyle name="40% - 强调文字颜色 6 6" xfId="540"/>
    <cellStyle name="40% - 强调文字颜色 6 6 2" xfId="541"/>
    <cellStyle name="40% - 强调文字颜色 6 6 2 2" xfId="542"/>
    <cellStyle name="40% - 强调文字颜色 6 6 3" xfId="543"/>
    <cellStyle name="40% - 强调文字颜色 6 7" xfId="544"/>
    <cellStyle name="40% - 强调文字颜色 6 7 2" xfId="545"/>
    <cellStyle name="40% - 强调文字颜色 6 7 2 2" xfId="546"/>
    <cellStyle name="40% - 强调文字颜色 6 7 3" xfId="547"/>
    <cellStyle name="40% - 着色 1 2" xfId="548"/>
    <cellStyle name="40% - 着色 1 2 2" xfId="549"/>
    <cellStyle name="40% - 着色 1 2 2 2" xfId="550"/>
    <cellStyle name="40% - 着色 1 2 2 2 2" xfId="551"/>
    <cellStyle name="40% - 着色 1 2 2 3" xfId="552"/>
    <cellStyle name="40% - 着色 1 2 3" xfId="553"/>
    <cellStyle name="40% - 着色 1 2 3 2" xfId="554"/>
    <cellStyle name="40% - 着色 1 2 4" xfId="555"/>
    <cellStyle name="40% - 着色 1 3" xfId="556"/>
    <cellStyle name="40% - 着色 1 3 2" xfId="557"/>
    <cellStyle name="40% - 着色 1 3 2 2" xfId="558"/>
    <cellStyle name="40% - 着色 1 3 3" xfId="559"/>
    <cellStyle name="40% - 着色 1 4" xfId="560"/>
    <cellStyle name="40% - 着色 1 4 2" xfId="561"/>
    <cellStyle name="40% - 着色 1 4 2 2" xfId="562"/>
    <cellStyle name="40% - 着色 1 4 3" xfId="563"/>
    <cellStyle name="40% - 着色 1 5" xfId="564"/>
    <cellStyle name="40% - 着色 1 5 2" xfId="565"/>
    <cellStyle name="40% - 着色 1 6" xfId="566"/>
    <cellStyle name="40% - 着色 2 2" xfId="567"/>
    <cellStyle name="40% - 着色 2 2 2" xfId="568"/>
    <cellStyle name="40% - 着色 2 2 2 2" xfId="569"/>
    <cellStyle name="40% - 着色 2 2 2 2 2" xfId="570"/>
    <cellStyle name="40% - 着色 2 2 2 3" xfId="571"/>
    <cellStyle name="40% - 着色 2 2 3" xfId="572"/>
    <cellStyle name="40% - 着色 2 2 3 2" xfId="573"/>
    <cellStyle name="40% - 着色 2 2 4" xfId="574"/>
    <cellStyle name="40% - 着色 2 3" xfId="575"/>
    <cellStyle name="40% - 着色 2 3 2" xfId="576"/>
    <cellStyle name="40% - 着色 2 3 2 2" xfId="577"/>
    <cellStyle name="40% - 着色 2 3 3" xfId="578"/>
    <cellStyle name="40% - 着色 2 4" xfId="579"/>
    <cellStyle name="40% - 着色 2 4 2" xfId="580"/>
    <cellStyle name="40% - 着色 2 4 2 2" xfId="581"/>
    <cellStyle name="40% - 着色 2 4 3" xfId="582"/>
    <cellStyle name="40% - 着色 2 5" xfId="583"/>
    <cellStyle name="40% - 着色 2 5 2" xfId="584"/>
    <cellStyle name="40% - 着色 2 6" xfId="585"/>
    <cellStyle name="40% - 着色 3 2" xfId="586"/>
    <cellStyle name="40% - 着色 3 2 2" xfId="587"/>
    <cellStyle name="40% - 着色 3 2 2 2" xfId="588"/>
    <cellStyle name="40% - 着色 3 2 2 2 2" xfId="589"/>
    <cellStyle name="40% - 着色 3 2 2 3" xfId="590"/>
    <cellStyle name="40% - 着色 3 2 3" xfId="591"/>
    <cellStyle name="40% - 着色 3 2 3 2" xfId="592"/>
    <cellStyle name="40% - 着色 3 2 4" xfId="593"/>
    <cellStyle name="40% - 着色 3 3" xfId="594"/>
    <cellStyle name="40% - 着色 3 3 2" xfId="595"/>
    <cellStyle name="40% - 着色 3 3 2 2" xfId="596"/>
    <cellStyle name="40% - 着色 3 3 3" xfId="597"/>
    <cellStyle name="40% - 着色 3 4" xfId="598"/>
    <cellStyle name="40% - 着色 3 4 2" xfId="599"/>
    <cellStyle name="40% - 着色 3 4 2 2" xfId="600"/>
    <cellStyle name="40% - 着色 3 4 3" xfId="601"/>
    <cellStyle name="40% - 着色 3 5" xfId="602"/>
    <cellStyle name="40% - 着色 3 5 2" xfId="603"/>
    <cellStyle name="40% - 着色 3 6" xfId="604"/>
    <cellStyle name="40% - 着色 4 2" xfId="605"/>
    <cellStyle name="40% - 着色 4 2 2" xfId="606"/>
    <cellStyle name="40% - 着色 4 2 2 2" xfId="607"/>
    <cellStyle name="40% - 着色 4 2 2 2 2" xfId="608"/>
    <cellStyle name="40% - 着色 4 2 2 3" xfId="609"/>
    <cellStyle name="40% - 着色 4 2 3" xfId="610"/>
    <cellStyle name="40% - 着色 4 2 3 2" xfId="611"/>
    <cellStyle name="40% - 着色 4 2 4" xfId="612"/>
    <cellStyle name="40% - 着色 4 3" xfId="613"/>
    <cellStyle name="40% - 着色 4 3 2" xfId="614"/>
    <cellStyle name="40% - 着色 4 3 2 2" xfId="615"/>
    <cellStyle name="40% - 着色 4 3 3" xfId="616"/>
    <cellStyle name="40% - 着色 4 4" xfId="617"/>
    <cellStyle name="40% - 着色 4 4 2" xfId="618"/>
    <cellStyle name="40% - 着色 4 4 2 2" xfId="619"/>
    <cellStyle name="40% - 着色 4 4 3" xfId="620"/>
    <cellStyle name="40% - 着色 4 5" xfId="621"/>
    <cellStyle name="40% - 着色 4 5 2" xfId="622"/>
    <cellStyle name="40% - 着色 4 6" xfId="623"/>
    <cellStyle name="40% - 着色 5 2" xfId="624"/>
    <cellStyle name="40% - 着色 5 2 2" xfId="625"/>
    <cellStyle name="40% - 着色 5 2 2 2" xfId="626"/>
    <cellStyle name="40% - 着色 5 2 2 2 2" xfId="627"/>
    <cellStyle name="40% - 着色 5 2 2 3" xfId="628"/>
    <cellStyle name="40% - 着色 5 2 3" xfId="629"/>
    <cellStyle name="40% - 着色 5 2 3 2" xfId="630"/>
    <cellStyle name="40% - 着色 5 2 4" xfId="631"/>
    <cellStyle name="40% - 着色 5 3" xfId="632"/>
    <cellStyle name="40% - 着色 5 3 2" xfId="633"/>
    <cellStyle name="40% - 着色 5 3 2 2" xfId="634"/>
    <cellStyle name="40% - 着色 5 3 3" xfId="635"/>
    <cellStyle name="40% - 着色 5 4" xfId="636"/>
    <cellStyle name="40% - 着色 5 4 2" xfId="637"/>
    <cellStyle name="40% - 着色 5 4 2 2" xfId="638"/>
    <cellStyle name="40% - 着色 5 4 3" xfId="639"/>
    <cellStyle name="40% - 着色 5 5" xfId="640"/>
    <cellStyle name="40% - 着色 5 5 2" xfId="641"/>
    <cellStyle name="40% - 着色 5 6" xfId="642"/>
    <cellStyle name="40% - 着色 6 2" xfId="643"/>
    <cellStyle name="40% - 着色 6 2 2" xfId="644"/>
    <cellStyle name="40% - 着色 6 2 2 2" xfId="645"/>
    <cellStyle name="40% - 着色 6 2 2 2 2" xfId="646"/>
    <cellStyle name="40% - 着色 6 2 2 3" xfId="647"/>
    <cellStyle name="40% - 着色 6 2 3" xfId="648"/>
    <cellStyle name="40% - 着色 6 2 3 2" xfId="649"/>
    <cellStyle name="40% - 着色 6 2 4" xfId="650"/>
    <cellStyle name="40% - 着色 6 3" xfId="651"/>
    <cellStyle name="40% - 着色 6 3 2" xfId="652"/>
    <cellStyle name="40% - 着色 6 3 2 2" xfId="653"/>
    <cellStyle name="40% - 着色 6 3 3" xfId="654"/>
    <cellStyle name="40% - 着色 6 4" xfId="655"/>
    <cellStyle name="40% - 着色 6 4 2" xfId="656"/>
    <cellStyle name="40% - 着色 6 4 2 2" xfId="657"/>
    <cellStyle name="40% - 着色 6 4 3" xfId="658"/>
    <cellStyle name="40% - 着色 6 5" xfId="659"/>
    <cellStyle name="40% - 着色 6 5 2" xfId="660"/>
    <cellStyle name="40% - 着色 6 6" xfId="661"/>
    <cellStyle name="60% - 强调文字颜色 1 2" xfId="662"/>
    <cellStyle name="60% - 强调文字颜色 1 2 2" xfId="663"/>
    <cellStyle name="60% - 强调文字颜色 1 2 2 2" xfId="664"/>
    <cellStyle name="60% - 强调文字颜色 1 2 3" xfId="665"/>
    <cellStyle name="60% - 强调文字颜色 1 3" xfId="666"/>
    <cellStyle name="60% - 强调文字颜色 1 3 2" xfId="667"/>
    <cellStyle name="60% - 强调文字颜色 1 3 2 2" xfId="668"/>
    <cellStyle name="60% - 强调文字颜色 1 3 3" xfId="669"/>
    <cellStyle name="60% - 强调文字颜色 1 4" xfId="670"/>
    <cellStyle name="60% - 强调文字颜色 1 4 2" xfId="671"/>
    <cellStyle name="60% - 强调文字颜色 1 4 2 2" xfId="672"/>
    <cellStyle name="60% - 强调文字颜色 1 4 3" xfId="673"/>
    <cellStyle name="60% - 强调文字颜色 1 5" xfId="674"/>
    <cellStyle name="60% - 强调文字颜色 1 5 2" xfId="675"/>
    <cellStyle name="60% - 强调文字颜色 1 6" xfId="676"/>
    <cellStyle name="60% - 强调文字颜色 1 6 2" xfId="677"/>
    <cellStyle name="60% - 强调文字颜色 1 7" xfId="678"/>
    <cellStyle name="60% - 强调文字颜色 1 7 2" xfId="679"/>
    <cellStyle name="60% - 强调文字颜色 2 2" xfId="680"/>
    <cellStyle name="60% - 强调文字颜色 2 2 2" xfId="681"/>
    <cellStyle name="60% - 强调文字颜色 2 2 2 2" xfId="682"/>
    <cellStyle name="60% - 强调文字颜色 2 2 3" xfId="683"/>
    <cellStyle name="60% - 强调文字颜色 2 3" xfId="684"/>
    <cellStyle name="60% - 强调文字颜色 2 3 2" xfId="685"/>
    <cellStyle name="60% - 强调文字颜色 2 3 2 2" xfId="686"/>
    <cellStyle name="60% - 强调文字颜色 2 3 3" xfId="687"/>
    <cellStyle name="60% - 强调文字颜色 2 4" xfId="688"/>
    <cellStyle name="60% - 强调文字颜色 2 4 2" xfId="689"/>
    <cellStyle name="60% - 强调文字颜色 2 4 2 2" xfId="690"/>
    <cellStyle name="60% - 强调文字颜色 2 4 3" xfId="691"/>
    <cellStyle name="60% - 强调文字颜色 2 5" xfId="692"/>
    <cellStyle name="60% - 强调文字颜色 2 5 2" xfId="693"/>
    <cellStyle name="60% - 强调文字颜色 2 6" xfId="694"/>
    <cellStyle name="60% - 强调文字颜色 2 6 2" xfId="695"/>
    <cellStyle name="60% - 强调文字颜色 2 7" xfId="696"/>
    <cellStyle name="60% - 强调文字颜色 2 7 2" xfId="697"/>
    <cellStyle name="60% - 强调文字颜色 3 2" xfId="698"/>
    <cellStyle name="60% - 强调文字颜色 3 2 2" xfId="699"/>
    <cellStyle name="60% - 强调文字颜色 3 2 2 2" xfId="700"/>
    <cellStyle name="60% - 强调文字颜色 3 2 3" xfId="701"/>
    <cellStyle name="60% - 强调文字颜色 3 3" xfId="702"/>
    <cellStyle name="60% - 强调文字颜色 3 3 2" xfId="703"/>
    <cellStyle name="60% - 强调文字颜色 3 3 2 2" xfId="704"/>
    <cellStyle name="60% - 强调文字颜色 3 3 3" xfId="705"/>
    <cellStyle name="60% - 强调文字颜色 3 4" xfId="706"/>
    <cellStyle name="60% - 强调文字颜色 3 4 2" xfId="707"/>
    <cellStyle name="60% - 强调文字颜色 3 4 2 2" xfId="708"/>
    <cellStyle name="60% - 强调文字颜色 3 4 3" xfId="709"/>
    <cellStyle name="60% - 强调文字颜色 3 5" xfId="710"/>
    <cellStyle name="60% - 强调文字颜色 3 5 2" xfId="711"/>
    <cellStyle name="60% - 强调文字颜色 3 6" xfId="712"/>
    <cellStyle name="60% - 强调文字颜色 3 6 2" xfId="713"/>
    <cellStyle name="60% - 强调文字颜色 3 7" xfId="714"/>
    <cellStyle name="60% - 强调文字颜色 3 7 2" xfId="715"/>
    <cellStyle name="60% - 强调文字颜色 4 2" xfId="716"/>
    <cellStyle name="60% - 强调文字颜色 4 2 2" xfId="717"/>
    <cellStyle name="60% - 强调文字颜色 4 2 2 2" xfId="718"/>
    <cellStyle name="60% - 强调文字颜色 4 2 3" xfId="719"/>
    <cellStyle name="60% - 强调文字颜色 4 3" xfId="720"/>
    <cellStyle name="60% - 强调文字颜色 4 3 2" xfId="721"/>
    <cellStyle name="60% - 强调文字颜色 4 3 2 2" xfId="722"/>
    <cellStyle name="60% - 强调文字颜色 4 3 3" xfId="723"/>
    <cellStyle name="60% - 强调文字颜色 4 4" xfId="724"/>
    <cellStyle name="60% - 强调文字颜色 4 4 2" xfId="725"/>
    <cellStyle name="60% - 强调文字颜色 4 4 2 2" xfId="726"/>
    <cellStyle name="60% - 强调文字颜色 4 4 3" xfId="727"/>
    <cellStyle name="60% - 强调文字颜色 4 5" xfId="728"/>
    <cellStyle name="60% - 强调文字颜色 4 5 2" xfId="729"/>
    <cellStyle name="60% - 强调文字颜色 4 6" xfId="730"/>
    <cellStyle name="60% - 强调文字颜色 4 6 2" xfId="731"/>
    <cellStyle name="60% - 强调文字颜色 4 7" xfId="732"/>
    <cellStyle name="60% - 强调文字颜色 4 7 2" xfId="733"/>
    <cellStyle name="60% - 强调文字颜色 5 2" xfId="734"/>
    <cellStyle name="60% - 强调文字颜色 5 2 2" xfId="735"/>
    <cellStyle name="60% - 强调文字颜色 5 2 2 2" xfId="736"/>
    <cellStyle name="60% - 强调文字颜色 5 2 3" xfId="737"/>
    <cellStyle name="60% - 强调文字颜色 5 3" xfId="738"/>
    <cellStyle name="60% - 强调文字颜色 5 3 2" xfId="739"/>
    <cellStyle name="60% - 强调文字颜色 5 3 2 2" xfId="740"/>
    <cellStyle name="60% - 强调文字颜色 5 3 3" xfId="741"/>
    <cellStyle name="60% - 强调文字颜色 5 4" xfId="742"/>
    <cellStyle name="60% - 强调文字颜色 5 4 2" xfId="743"/>
    <cellStyle name="60% - 强调文字颜色 5 4 2 2" xfId="744"/>
    <cellStyle name="60% - 强调文字颜色 5 4 3" xfId="745"/>
    <cellStyle name="60% - 强调文字颜色 5 5" xfId="746"/>
    <cellStyle name="60% - 强调文字颜色 5 5 2" xfId="747"/>
    <cellStyle name="60% - 强调文字颜色 5 6" xfId="748"/>
    <cellStyle name="60% - 强调文字颜色 5 6 2" xfId="749"/>
    <cellStyle name="60% - 强调文字颜色 5 7" xfId="750"/>
    <cellStyle name="60% - 强调文字颜色 5 7 2" xfId="751"/>
    <cellStyle name="60% - 强调文字颜色 6 2" xfId="752"/>
    <cellStyle name="60% - 强调文字颜色 6 2 2" xfId="753"/>
    <cellStyle name="60% - 强调文字颜色 6 2 2 2" xfId="754"/>
    <cellStyle name="60% - 强调文字颜色 6 2 3" xfId="755"/>
    <cellStyle name="60% - 强调文字颜色 6 3" xfId="756"/>
    <cellStyle name="60% - 强调文字颜色 6 3 2" xfId="757"/>
    <cellStyle name="60% - 强调文字颜色 6 3 2 2" xfId="758"/>
    <cellStyle name="60% - 强调文字颜色 6 3 3" xfId="759"/>
    <cellStyle name="60% - 强调文字颜色 6 4" xfId="760"/>
    <cellStyle name="60% - 强调文字颜色 6 4 2" xfId="761"/>
    <cellStyle name="60% - 强调文字颜色 6 4 2 2" xfId="762"/>
    <cellStyle name="60% - 强调文字颜色 6 4 3" xfId="763"/>
    <cellStyle name="60% - 强调文字颜色 6 5" xfId="764"/>
    <cellStyle name="60% - 强调文字颜色 6 5 2" xfId="765"/>
    <cellStyle name="60% - 强调文字颜色 6 6" xfId="766"/>
    <cellStyle name="60% - 强调文字颜色 6 6 2" xfId="767"/>
    <cellStyle name="60% - 强调文字颜色 6 7" xfId="768"/>
    <cellStyle name="60% - 强调文字颜色 6 7 2" xfId="769"/>
    <cellStyle name="60% - 着色 1 2" xfId="770"/>
    <cellStyle name="60% - 着色 1 2 2" xfId="771"/>
    <cellStyle name="60% - 着色 1 2 2 2" xfId="772"/>
    <cellStyle name="60% - 着色 1 2 3" xfId="773"/>
    <cellStyle name="60% - 着色 1 3" xfId="774"/>
    <cellStyle name="60% - 着色 1 3 2" xfId="775"/>
    <cellStyle name="60% - 着色 1 4" xfId="776"/>
    <cellStyle name="60% - 着色 1 4 2" xfId="777"/>
    <cellStyle name="60% - 着色 1 5" xfId="778"/>
    <cellStyle name="60% - 着色 2 2" xfId="779"/>
    <cellStyle name="60% - 着色 2 2 2" xfId="780"/>
    <cellStyle name="60% - 着色 2 2 2 2" xfId="781"/>
    <cellStyle name="60% - 着色 2 2 3" xfId="782"/>
    <cellStyle name="60% - 着色 2 3" xfId="783"/>
    <cellStyle name="60% - 着色 2 3 2" xfId="784"/>
    <cellStyle name="60% - 着色 2 4" xfId="785"/>
    <cellStyle name="60% - 着色 2 4 2" xfId="786"/>
    <cellStyle name="60% - 着色 2 5" xfId="787"/>
    <cellStyle name="60% - 着色 3 2" xfId="788"/>
    <cellStyle name="60% - 着色 3 2 2" xfId="789"/>
    <cellStyle name="60% - 着色 3 2 2 2" xfId="790"/>
    <cellStyle name="60% - 着色 3 2 3" xfId="791"/>
    <cellStyle name="60% - 着色 3 3" xfId="792"/>
    <cellStyle name="60% - 着色 3 3 2" xfId="793"/>
    <cellStyle name="60% - 着色 3 4" xfId="794"/>
    <cellStyle name="60% - 着色 3 4 2" xfId="795"/>
    <cellStyle name="60% - 着色 3 5" xfId="796"/>
    <cellStyle name="60% - 着色 4 2" xfId="797"/>
    <cellStyle name="60% - 着色 4 2 2" xfId="798"/>
    <cellStyle name="60% - 着色 4 2 2 2" xfId="799"/>
    <cellStyle name="60% - 着色 4 2 3" xfId="800"/>
    <cellStyle name="60% - 着色 4 3" xfId="801"/>
    <cellStyle name="60% - 着色 4 3 2" xfId="802"/>
    <cellStyle name="60% - 着色 4 4" xfId="803"/>
    <cellStyle name="60% - 着色 4 4 2" xfId="804"/>
    <cellStyle name="60% - 着色 4 5" xfId="805"/>
    <cellStyle name="60% - 着色 5 2" xfId="806"/>
    <cellStyle name="60% - 着色 5 2 2" xfId="807"/>
    <cellStyle name="60% - 着色 5 2 2 2" xfId="808"/>
    <cellStyle name="60% - 着色 5 2 3" xfId="809"/>
    <cellStyle name="60% - 着色 5 3" xfId="810"/>
    <cellStyle name="60% - 着色 5 3 2" xfId="811"/>
    <cellStyle name="60% - 着色 5 4" xfId="812"/>
    <cellStyle name="60% - 着色 5 4 2" xfId="813"/>
    <cellStyle name="60% - 着色 5 5" xfId="814"/>
    <cellStyle name="60% - 着色 6 2" xfId="815"/>
    <cellStyle name="60% - 着色 6 2 2" xfId="816"/>
    <cellStyle name="60% - 着色 6 2 2 2" xfId="817"/>
    <cellStyle name="60% - 着色 6 2 3" xfId="818"/>
    <cellStyle name="60% - 着色 6 3" xfId="819"/>
    <cellStyle name="60% - 着色 6 3 2" xfId="820"/>
    <cellStyle name="60% - 着色 6 4" xfId="821"/>
    <cellStyle name="60% - 着色 6 4 2" xfId="822"/>
    <cellStyle name="60% - 着色 6 5" xfId="823"/>
    <cellStyle name="RowLevel_1" xfId="824"/>
    <cellStyle name="百分比 2" xfId="825"/>
    <cellStyle name="百分比 2 2" xfId="826"/>
    <cellStyle name="百分比 2 2 2" xfId="827"/>
    <cellStyle name="百分比 2 2 2 2" xfId="828"/>
    <cellStyle name="百分比 2 2 3" xfId="829"/>
    <cellStyle name="百分比 2 3" xfId="830"/>
    <cellStyle name="百分比 2 3 2" xfId="831"/>
    <cellStyle name="百分比 2 4" xfId="832"/>
    <cellStyle name="百分比 2 4 2" xfId="833"/>
    <cellStyle name="百分比 2 5" xfId="834"/>
    <cellStyle name="百分比 2 5 2" xfId="835"/>
    <cellStyle name="百分比 2 5 2 2" xfId="836"/>
    <cellStyle name="百分比 2 5 3" xfId="837"/>
    <cellStyle name="百分比 2 6" xfId="838"/>
    <cellStyle name="百分比 2 6 2" xfId="839"/>
    <cellStyle name="百分比 2 7" xfId="840"/>
    <cellStyle name="百分比 3" xfId="841"/>
    <cellStyle name="百分比 3 2" xfId="842"/>
    <cellStyle name="百分比 3 2 2" xfId="843"/>
    <cellStyle name="百分比 3 2 2 2" xfId="844"/>
    <cellStyle name="百分比 3 2 3" xfId="845"/>
    <cellStyle name="百分比 3 3" xfId="846"/>
    <cellStyle name="百分比 3 3 2" xfId="847"/>
    <cellStyle name="百分比 3 4" xfId="848"/>
    <cellStyle name="百分比 3 4 2" xfId="849"/>
    <cellStyle name="百分比 3 5" xfId="850"/>
    <cellStyle name="百分比 3 5 2" xfId="851"/>
    <cellStyle name="百分比 3 6" xfId="852"/>
    <cellStyle name="百分比 4" xfId="853"/>
    <cellStyle name="百分比 4 2" xfId="854"/>
    <cellStyle name="百分比 4 2 2" xfId="855"/>
    <cellStyle name="百分比 4 3" xfId="856"/>
    <cellStyle name="百分比 5" xfId="857"/>
    <cellStyle name="百分比 5 2" xfId="858"/>
    <cellStyle name="百分比 5 2 2" xfId="859"/>
    <cellStyle name="百分比 5 3" xfId="860"/>
    <cellStyle name="百分比 6" xfId="861"/>
    <cellStyle name="百分比 6 2" xfId="862"/>
    <cellStyle name="百分比 6 2 2" xfId="863"/>
    <cellStyle name="百分比 6 3" xfId="864"/>
    <cellStyle name="百分比 7" xfId="865"/>
    <cellStyle name="百分比 7 2" xfId="866"/>
    <cellStyle name="百分比 8" xfId="867"/>
    <cellStyle name="标题 1 2" xfId="868"/>
    <cellStyle name="标题 1 2 2" xfId="869"/>
    <cellStyle name="标题 1 2 2 2" xfId="870"/>
    <cellStyle name="标题 1 2 3" xfId="871"/>
    <cellStyle name="标题 1 3" xfId="872"/>
    <cellStyle name="标题 1 3 2" xfId="873"/>
    <cellStyle name="标题 1 3 2 2" xfId="874"/>
    <cellStyle name="标题 1 3 3" xfId="875"/>
    <cellStyle name="标题 1 4" xfId="876"/>
    <cellStyle name="标题 1 4 2" xfId="877"/>
    <cellStyle name="标题 1 4 2 2" xfId="878"/>
    <cellStyle name="标题 1 4 3" xfId="879"/>
    <cellStyle name="标题 1 5" xfId="880"/>
    <cellStyle name="标题 1 5 2" xfId="881"/>
    <cellStyle name="标题 1 6" xfId="882"/>
    <cellStyle name="标题 1 6 2" xfId="883"/>
    <cellStyle name="标题 2 2" xfId="884"/>
    <cellStyle name="标题 2 2 2" xfId="885"/>
    <cellStyle name="标题 2 2 2 2" xfId="886"/>
    <cellStyle name="标题 2 2 3" xfId="887"/>
    <cellStyle name="标题 2 3" xfId="888"/>
    <cellStyle name="标题 2 3 2" xfId="889"/>
    <cellStyle name="标题 2 3 2 2" xfId="890"/>
    <cellStyle name="标题 2 3 3" xfId="891"/>
    <cellStyle name="标题 2 4" xfId="892"/>
    <cellStyle name="标题 2 4 2" xfId="893"/>
    <cellStyle name="标题 2 4 2 2" xfId="894"/>
    <cellStyle name="标题 2 4 3" xfId="895"/>
    <cellStyle name="标题 2 5" xfId="896"/>
    <cellStyle name="标题 2 5 2" xfId="897"/>
    <cellStyle name="标题 2 6" xfId="898"/>
    <cellStyle name="标题 2 6 2" xfId="899"/>
    <cellStyle name="标题 3 2" xfId="900"/>
    <cellStyle name="标题 3 2 2" xfId="901"/>
    <cellStyle name="标题 3 2 2 2" xfId="902"/>
    <cellStyle name="标题 3 2 3" xfId="903"/>
    <cellStyle name="标题 3 3" xfId="904"/>
    <cellStyle name="标题 3 3 2" xfId="905"/>
    <cellStyle name="标题 3 3 2 2" xfId="906"/>
    <cellStyle name="标题 3 3 3" xfId="907"/>
    <cellStyle name="标题 3 4" xfId="908"/>
    <cellStyle name="标题 3 4 2" xfId="909"/>
    <cellStyle name="标题 3 4 2 2" xfId="910"/>
    <cellStyle name="标题 3 4 3" xfId="911"/>
    <cellStyle name="标题 3 5" xfId="912"/>
    <cellStyle name="标题 3 5 2" xfId="913"/>
    <cellStyle name="标题 3 6" xfId="914"/>
    <cellStyle name="标题 3 6 2" xfId="915"/>
    <cellStyle name="标题 4 2" xfId="916"/>
    <cellStyle name="标题 4 2 2" xfId="917"/>
    <cellStyle name="标题 4 2 2 2" xfId="918"/>
    <cellStyle name="标题 4 2 3" xfId="919"/>
    <cellStyle name="标题 4 3" xfId="920"/>
    <cellStyle name="标题 4 3 2" xfId="921"/>
    <cellStyle name="标题 4 3 2 2" xfId="922"/>
    <cellStyle name="标题 4 3 3" xfId="923"/>
    <cellStyle name="标题 4 4" xfId="924"/>
    <cellStyle name="标题 4 4 2" xfId="925"/>
    <cellStyle name="标题 4 4 2 2" xfId="926"/>
    <cellStyle name="标题 4 4 3" xfId="927"/>
    <cellStyle name="标题 4 5" xfId="928"/>
    <cellStyle name="标题 4 5 2" xfId="929"/>
    <cellStyle name="标题 4 6" xfId="930"/>
    <cellStyle name="标题 4 6 2" xfId="931"/>
    <cellStyle name="标题 5" xfId="932"/>
    <cellStyle name="标题 5 2" xfId="933"/>
    <cellStyle name="标题 5 2 2" xfId="934"/>
    <cellStyle name="标题 5 3" xfId="935"/>
    <cellStyle name="标题 6" xfId="936"/>
    <cellStyle name="标题 6 2" xfId="937"/>
    <cellStyle name="标题 6 2 2" xfId="938"/>
    <cellStyle name="标题 6 3" xfId="939"/>
    <cellStyle name="标题 7" xfId="940"/>
    <cellStyle name="标题 7 2" xfId="941"/>
    <cellStyle name="标题 7 2 2" xfId="942"/>
    <cellStyle name="标题 7 3" xfId="943"/>
    <cellStyle name="标题 8" xfId="944"/>
    <cellStyle name="标题 8 2" xfId="945"/>
    <cellStyle name="标题 9" xfId="946"/>
    <cellStyle name="标题 9 2" xfId="947"/>
    <cellStyle name="差 2" xfId="948"/>
    <cellStyle name="差 2 2" xfId="949"/>
    <cellStyle name="差 2 2 2" xfId="950"/>
    <cellStyle name="差 2 3" xfId="951"/>
    <cellStyle name="差 3" xfId="952"/>
    <cellStyle name="差 3 2" xfId="953"/>
    <cellStyle name="差 3 2 2" xfId="954"/>
    <cellStyle name="差 3 3" xfId="955"/>
    <cellStyle name="差 4" xfId="956"/>
    <cellStyle name="差 4 2" xfId="957"/>
    <cellStyle name="差 4 2 2" xfId="958"/>
    <cellStyle name="差 4 3" xfId="959"/>
    <cellStyle name="差 5" xfId="960"/>
    <cellStyle name="差 5 2" xfId="961"/>
    <cellStyle name="差 6" xfId="962"/>
    <cellStyle name="差 6 2" xfId="963"/>
    <cellStyle name="差 7" xfId="964"/>
    <cellStyle name="差 7 2" xfId="965"/>
    <cellStyle name="差_2013见习培训经费表下半年(chen)2014年9月" xfId="966"/>
    <cellStyle name="差_2013见习培训经费表下半年(chen)2014年9月 2" xfId="967"/>
    <cellStyle name="差_2013见习培训经费表下半年(chen)2014年9月 2 2" xfId="968"/>
    <cellStyle name="差_2013见习培训经费表下半年(chen)2014年9月 2 2 2" xfId="969"/>
    <cellStyle name="差_2013见习培训经费表下半年(chen)2014年9月 2 3" xfId="970"/>
    <cellStyle name="差_2013见习培训经费表下半年(chen)2014年9月 3" xfId="971"/>
    <cellStyle name="差_2013见习培训经费表下半年(chen)2014年9月 3 2" xfId="972"/>
    <cellStyle name="差_2013见习培训经费表下半年(chen)2014年9月 4" xfId="973"/>
    <cellStyle name="差_2013见习培训经费表下半年(chen)2014年9月 4 2" xfId="974"/>
    <cellStyle name="差_2013见习培训经费表下半年(chen)2014年9月 5" xfId="975"/>
    <cellStyle name="差_2014年聘用学校导师带教经费表" xfId="976"/>
    <cellStyle name="差_2014年聘用学校导师带教经费表 2" xfId="977"/>
    <cellStyle name="差_2014年聘用学校导师带教经费表 2 2" xfId="978"/>
    <cellStyle name="差_2014年聘用学校导师带教经费表 2 2 2" xfId="979"/>
    <cellStyle name="差_2014年聘用学校导师带教经费表 2 3" xfId="980"/>
    <cellStyle name="差_2014年聘用学校导师带教经费表 3" xfId="981"/>
    <cellStyle name="差_2014年聘用学校导师带教经费表 3 2" xfId="982"/>
    <cellStyle name="差_2014年聘用学校导师带教经费表 3 2 2" xfId="983"/>
    <cellStyle name="差_2014年聘用学校导师带教经费表 3 3" xfId="984"/>
    <cellStyle name="差_2014年聘用学校导师带教经费表 4" xfId="985"/>
    <cellStyle name="差_2014年聘用学校导师带教经费表 4 2" xfId="986"/>
    <cellStyle name="差_2014年聘用学校导师带教经费表 4 2 2" xfId="987"/>
    <cellStyle name="差_2014年聘用学校导师带教经费表 4 3" xfId="988"/>
    <cellStyle name="差_2014年聘用学校导师带教经费表 5" xfId="989"/>
    <cellStyle name="差_2014年聘用学校导师带教经费表 5 2" xfId="990"/>
    <cellStyle name="差_2014年聘用学校导师带教经费表 6" xfId="991"/>
    <cellStyle name="差_2014年聘用学校导师带教经费表 6 2" xfId="992"/>
    <cellStyle name="差_2014年聘用学校导师带教经费表 7" xfId="993"/>
    <cellStyle name="差_2014年终考核奖完整版-给核算中心" xfId="994"/>
    <cellStyle name="差_2014年终考核奖完整版-给核算中心 2" xfId="995"/>
    <cellStyle name="差_2014年终考核奖完整版-给核算中心 2 2" xfId="996"/>
    <cellStyle name="差_2014年终考核奖完整版-给核算中心 2 2 2" xfId="997"/>
    <cellStyle name="差_2014年终考核奖完整版-给核算中心 2 3" xfId="998"/>
    <cellStyle name="差_2014年终考核奖完整版-给核算中心 3" xfId="999"/>
    <cellStyle name="差_2014年终考核奖完整版-给核算中心 3 2" xfId="1000"/>
    <cellStyle name="差_2014年终考核奖完整版-给核算中心 4" xfId="1001"/>
    <cellStyle name="差_2014年终考核奖完整版-给核算中心 4 2" xfId="1002"/>
    <cellStyle name="差_2014年终考核奖完整版-给核算中心 5" xfId="1003"/>
    <cellStyle name="差_2014优秀学校奖励测算表" xfId="1004"/>
    <cellStyle name="差_2014优秀学校奖励测算表 2" xfId="1005"/>
    <cellStyle name="差_2014优秀学校奖励测算表 2 2" xfId="1006"/>
    <cellStyle name="差_2014优秀学校奖励测算表 2 2 2" xfId="1007"/>
    <cellStyle name="差_2014优秀学校奖励测算表 2 3" xfId="1008"/>
    <cellStyle name="差_2014优秀学校奖励测算表 3" xfId="1009"/>
    <cellStyle name="差_2014优秀学校奖励测算表 3 2" xfId="1010"/>
    <cellStyle name="差_2014优秀学校奖励测算表 4" xfId="1011"/>
    <cellStyle name="差_2014优秀学校奖励测算表 4 2" xfId="1012"/>
    <cellStyle name="差_2014优秀学校奖励测算表 5" xfId="1013"/>
    <cellStyle name="差_2015年年终奖预发表-给核算中心" xfId="1014"/>
    <cellStyle name="差_2015年年终奖预发表-给核算中心 2" xfId="1015"/>
    <cellStyle name="差_2015年年终奖预发表-给核算中心 2 2" xfId="1016"/>
    <cellStyle name="差_2015年年终奖预发表-给核算中心 2 2 2" xfId="1017"/>
    <cellStyle name="差_2015年年终奖预发表-给核算中心 2 3" xfId="1018"/>
    <cellStyle name="差_2015年年终奖预发表-给核算中心 3" xfId="1019"/>
    <cellStyle name="差_2015年年终奖预发表-给核算中心 3 2" xfId="1020"/>
    <cellStyle name="差_2015年年终奖预发表-给核算中心 4" xfId="1021"/>
    <cellStyle name="差_2015年年终奖预发表-给核算中心 4 2" xfId="1022"/>
    <cellStyle name="差_2015年年终奖预发表-给核算中心 5" xfId="1023"/>
    <cellStyle name="差_2016年3月校长职级工资（核算中心）" xfId="1024"/>
    <cellStyle name="差_2016年3月校长职级工资（核算中心） 2" xfId="1025"/>
    <cellStyle name="差_2016年3月校长职级工资（核算中心） 2 2" xfId="1026"/>
    <cellStyle name="差_2016年3月校长职级工资（核算中心） 2 2 2" xfId="1027"/>
    <cellStyle name="差_2016年3月校长职级工资（核算中心） 2 3" xfId="1028"/>
    <cellStyle name="差_2016年3月校长职级工资（核算中心） 3" xfId="1029"/>
    <cellStyle name="差_2016年3月校长职级工资（核算中心） 3 2" xfId="1030"/>
    <cellStyle name="差_2016年3月校长职级工资（核算中心） 4" xfId="1031"/>
    <cellStyle name="差_2016年3月校长职级工资（核算中心） 4 2" xfId="1032"/>
    <cellStyle name="差_2016年3月校长职级工资（核算中心） 5" xfId="1033"/>
    <cellStyle name="差_2016统计人数汇总表（完稿版）9.12" xfId="1034"/>
    <cellStyle name="差_2016统计人数汇总表（完稿版）9.12 2" xfId="1035"/>
    <cellStyle name="差_2016统计人数汇总表（完稿版）9.12 2 2" xfId="1036"/>
    <cellStyle name="差_2016统计人数汇总表（完稿版）9.12 2 2 2" xfId="1037"/>
    <cellStyle name="差_2016统计人数汇总表（完稿版）9.12 2 3" xfId="1038"/>
    <cellStyle name="差_2016统计人数汇总表（完稿版）9.12 3" xfId="1039"/>
    <cellStyle name="差_2016统计人数汇总表（完稿版）9.12 3 2" xfId="1040"/>
    <cellStyle name="差_2016统计人数汇总表（完稿版）9.12 4" xfId="1041"/>
    <cellStyle name="差_2016统计人数汇总表（完稿版）9.12 4 2" xfId="1042"/>
    <cellStyle name="差_2016统计人数汇总表（完稿版）9.12 5" xfId="1043"/>
    <cellStyle name="差_A0汇总表（报计财科：项目津贴发放）" xfId="1044"/>
    <cellStyle name="差_A0汇总表（报计财科：项目津贴发放） 2" xfId="1045"/>
    <cellStyle name="差_A0汇总表（报计财科：项目津贴发放） 2 2" xfId="1046"/>
    <cellStyle name="差_A0汇总表（报计财科：项目津贴发放） 2 2 2" xfId="1047"/>
    <cellStyle name="差_A0汇总表（报计财科：项目津贴发放） 2 3" xfId="1048"/>
    <cellStyle name="差_A0汇总表（报计财科：项目津贴发放） 3" xfId="1049"/>
    <cellStyle name="差_A0汇总表（报计财科：项目津贴发放） 3 2" xfId="1050"/>
    <cellStyle name="差_A0汇总表（报计财科：项目津贴发放） 4" xfId="1051"/>
    <cellStyle name="差_A0汇总表（报计财科：项目津贴发放） 4 2" xfId="1052"/>
    <cellStyle name="差_A0汇总表（报计财科：项目津贴发放） 5" xfId="1053"/>
    <cellStyle name="差_统筹-校长（暂估）" xfId="1054"/>
    <cellStyle name="差_统筹-校长（暂估） 2" xfId="1055"/>
    <cellStyle name="差_统筹-校长（暂估） 2 2" xfId="1056"/>
    <cellStyle name="差_统筹-校长（暂估） 2 2 2" xfId="1057"/>
    <cellStyle name="差_统筹-校长（暂估） 2 3" xfId="1058"/>
    <cellStyle name="差_统筹-校长（暂估） 3" xfId="1059"/>
    <cellStyle name="差_统筹-校长（暂估） 3 2" xfId="1060"/>
    <cellStyle name="差_统筹-校长（暂估） 4" xfId="1061"/>
    <cellStyle name="差_统筹-校长（暂估） 4 2" xfId="1062"/>
    <cellStyle name="差_统筹-校长（暂估） 5" xfId="1063"/>
    <cellStyle name="差_校长、书记2015年增量部分发放清单" xfId="1064"/>
    <cellStyle name="差_校长、书记2015年增量部分发放清单 2" xfId="1065"/>
    <cellStyle name="差_校长、书记2015年增量部分发放清单 2 2" xfId="1066"/>
    <cellStyle name="差_校长、书记2015年增量部分发放清单 2 2 2" xfId="1067"/>
    <cellStyle name="差_校长、书记2015年增量部分发放清单 2 3" xfId="1068"/>
    <cellStyle name="差_校长、书记2015年增量部分发放清单 3" xfId="1069"/>
    <cellStyle name="差_校长、书记2015年增量部分发放清单 3 2" xfId="1070"/>
    <cellStyle name="差_校长、书记2015年增量部分发放清单 4" xfId="1071"/>
    <cellStyle name="差_校长、书记2015年增量部分发放清单 4 2" xfId="1072"/>
    <cellStyle name="差_校长、书记2015年增量部分发放清单 5" xfId="1073"/>
    <cellStyle name="差_校长职级、亚信会奖励、教师节奖励镇管" xfId="1074"/>
    <cellStyle name="差_校长职级、亚信会奖励、教师节奖励镇管 2" xfId="1075"/>
    <cellStyle name="差_校长职级、亚信会奖励、教师节奖励镇管 2 2" xfId="1076"/>
    <cellStyle name="差_校长职级、亚信会奖励、教师节奖励镇管 2 2 2" xfId="1077"/>
    <cellStyle name="差_校长职级、亚信会奖励、教师节奖励镇管 2 3" xfId="1078"/>
    <cellStyle name="差_校长职级、亚信会奖励、教师节奖励镇管 3" xfId="1079"/>
    <cellStyle name="差_校长职级、亚信会奖励、教师节奖励镇管 3 2" xfId="1080"/>
    <cellStyle name="差_校长职级、亚信会奖励、教师节奖励镇管 4" xfId="1081"/>
    <cellStyle name="差_校长职级、亚信会奖励、教师节奖励镇管 4 2" xfId="1082"/>
    <cellStyle name="差_校长职级、亚信会奖励、教师节奖励镇管 5" xfId="1083"/>
    <cellStyle name="差_镇管汇总" xfId="1084"/>
    <cellStyle name="差_镇管汇总 2" xfId="1085"/>
    <cellStyle name="差_镇管汇总 2 2" xfId="1086"/>
    <cellStyle name="差_镇管汇总 2 2 2" xfId="1087"/>
    <cellStyle name="差_镇管汇总 2 3" xfId="1088"/>
    <cellStyle name="差_镇管汇总 3" xfId="1089"/>
    <cellStyle name="差_镇管汇总 3 2" xfId="1090"/>
    <cellStyle name="差_镇管汇总 4" xfId="1091"/>
    <cellStyle name="差_镇管汇总 4 2" xfId="1092"/>
    <cellStyle name="差_镇管汇总 5" xfId="1093"/>
    <cellStyle name="常规" xfId="0" builtinId="0"/>
    <cellStyle name="常规 10" xfId="1094"/>
    <cellStyle name="常规 10 2" xfId="1095"/>
    <cellStyle name="常规 10 2 2" xfId="1096"/>
    <cellStyle name="常规 10 3" xfId="1097"/>
    <cellStyle name="常规 10 4" xfId="1098"/>
    <cellStyle name="常规 100" xfId="1"/>
    <cellStyle name="常规 107" xfId="2000"/>
    <cellStyle name="常规 11" xfId="1099"/>
    <cellStyle name="常规 11 2" xfId="1100"/>
    <cellStyle name="常规 11 2 2" xfId="1101"/>
    <cellStyle name="常规 11 3" xfId="1102"/>
    <cellStyle name="常规 11 4" xfId="1103"/>
    <cellStyle name="常规 11 9" xfId="2003"/>
    <cellStyle name="常规 111" xfId="2007"/>
    <cellStyle name="常规 12" xfId="1104"/>
    <cellStyle name="常规 12 2" xfId="1105"/>
    <cellStyle name="常规 12 2 2" xfId="1106"/>
    <cellStyle name="常规 12 3" xfId="1107"/>
    <cellStyle name="常规 12 4" xfId="1108"/>
    <cellStyle name="常规 13" xfId="1109"/>
    <cellStyle name="常规 13 2" xfId="1110"/>
    <cellStyle name="常规 14" xfId="1111"/>
    <cellStyle name="常规 14 2" xfId="1112"/>
    <cellStyle name="常规 15" xfId="1113"/>
    <cellStyle name="常规 15 2" xfId="1114"/>
    <cellStyle name="常规 16" xfId="1115"/>
    <cellStyle name="常规 16 2" xfId="1116"/>
    <cellStyle name="常规 17" xfId="1117"/>
    <cellStyle name="常规 17 2" xfId="1118"/>
    <cellStyle name="常规 172" xfId="2013"/>
    <cellStyle name="常规 18" xfId="1119"/>
    <cellStyle name="常规 18 2" xfId="1120"/>
    <cellStyle name="常规 19" xfId="1121"/>
    <cellStyle name="常规 19 2" xfId="1122"/>
    <cellStyle name="常规 2" xfId="1123"/>
    <cellStyle name="常规 2 10" xfId="1124"/>
    <cellStyle name="常规 2 10 2" xfId="1125"/>
    <cellStyle name="常规 2 11" xfId="1126"/>
    <cellStyle name="常规 2 11 2" xfId="1127"/>
    <cellStyle name="常规 2 12" xfId="1128"/>
    <cellStyle name="常规 2 2" xfId="1129"/>
    <cellStyle name="常规 2 2 2" xfId="1130"/>
    <cellStyle name="常规 2 2 2 2" xfId="1131"/>
    <cellStyle name="常规 2 2 2 2 2" xfId="1132"/>
    <cellStyle name="常规 2 2 2 2 2 2" xfId="1133"/>
    <cellStyle name="常规 2 2 2 2 3" xfId="1134"/>
    <cellStyle name="常规 2 2 2 3" xfId="1135"/>
    <cellStyle name="常规 2 2 2 3 2" xfId="1136"/>
    <cellStyle name="常规 2 2 2 4" xfId="1137"/>
    <cellStyle name="常规 2 2 3" xfId="1138"/>
    <cellStyle name="常规 2 2 3 2" xfId="1139"/>
    <cellStyle name="常规 2 2 3 2 2" xfId="1140"/>
    <cellStyle name="常规 2 2 3 3" xfId="1141"/>
    <cellStyle name="常规 2 2 4" xfId="1142"/>
    <cellStyle name="常规 2 2 4 2" xfId="1143"/>
    <cellStyle name="常规 2 2 4 2 2" xfId="1144"/>
    <cellStyle name="常规 2 2 4 3" xfId="1145"/>
    <cellStyle name="常规 2 2 5" xfId="1146"/>
    <cellStyle name="常规 2 2 5 2" xfId="1147"/>
    <cellStyle name="常规 2 2 6" xfId="1148"/>
    <cellStyle name="常规 2 24" xfId="2002"/>
    <cellStyle name="常规 2 3" xfId="1149"/>
    <cellStyle name="常规 2 3 2" xfId="1150"/>
    <cellStyle name="常规 2 3 2 2" xfId="1151"/>
    <cellStyle name="常规 2 3 2 2 2" xfId="1152"/>
    <cellStyle name="常规 2 3 2 3" xfId="1153"/>
    <cellStyle name="常规 2 3 3" xfId="1154"/>
    <cellStyle name="常规 2 3 3 2" xfId="1155"/>
    <cellStyle name="常规 2 3 4" xfId="1156"/>
    <cellStyle name="常规 2 3 4 2" xfId="1157"/>
    <cellStyle name="常规 2 4" xfId="1158"/>
    <cellStyle name="常规 2 4 2" xfId="1159"/>
    <cellStyle name="常规 2 4 2 2" xfId="1160"/>
    <cellStyle name="常规 2 4 2 2 2" xfId="1161"/>
    <cellStyle name="常规 2 4 2 3" xfId="1162"/>
    <cellStyle name="常规 2 4 3" xfId="1163"/>
    <cellStyle name="常规 2 4 3 2" xfId="1164"/>
    <cellStyle name="常规 2 4 4" xfId="1165"/>
    <cellStyle name="常规 2 5" xfId="1166"/>
    <cellStyle name="常规 2 5 2" xfId="1167"/>
    <cellStyle name="常规 2 5 2 2" xfId="1168"/>
    <cellStyle name="常规 2 5 3" xfId="1169"/>
    <cellStyle name="常规 2 6" xfId="1170"/>
    <cellStyle name="常规 2 6 2" xfId="1171"/>
    <cellStyle name="常规 2 7" xfId="1172"/>
    <cellStyle name="常规 2 8" xfId="1173"/>
    <cellStyle name="常规 2 8 2" xfId="1174"/>
    <cellStyle name="常规 2 8 2 2" xfId="1175"/>
    <cellStyle name="常规 2 8 3" xfId="1176"/>
    <cellStyle name="常规 2 9" xfId="1177"/>
    <cellStyle name="常规 2 9 2" xfId="1178"/>
    <cellStyle name="常规 2 9 2 2" xfId="1179"/>
    <cellStyle name="常规 2 9 3" xfId="1180"/>
    <cellStyle name="常规 2_统筹-校长（暂估）" xfId="1181"/>
    <cellStyle name="常规 20" xfId="1182"/>
    <cellStyle name="常规 21" xfId="1183"/>
    <cellStyle name="常规 21 2" xfId="1184"/>
    <cellStyle name="常规 22" xfId="1185"/>
    <cellStyle name="常规 23" xfId="1186"/>
    <cellStyle name="常规 23 2" xfId="1187"/>
    <cellStyle name="常规 24" xfId="1188"/>
    <cellStyle name="常规 25" xfId="1189"/>
    <cellStyle name="常规 25 2" xfId="1190"/>
    <cellStyle name="常规 26" xfId="1191"/>
    <cellStyle name="常规 26 2" xfId="1192"/>
    <cellStyle name="常规 27" xfId="1193"/>
    <cellStyle name="常规 27 2" xfId="1194"/>
    <cellStyle name="常规 28" xfId="1195"/>
    <cellStyle name="常规 28 2" xfId="1196"/>
    <cellStyle name="常规 29" xfId="1197"/>
    <cellStyle name="常规 29 2" xfId="1198"/>
    <cellStyle name="常规 292 2" xfId="2001"/>
    <cellStyle name="常规 293" xfId="2005"/>
    <cellStyle name="常规 3" xfId="1199"/>
    <cellStyle name="常规 3 2" xfId="1200"/>
    <cellStyle name="常规 3 2 2" xfId="1201"/>
    <cellStyle name="常规 3 2 2 2" xfId="1202"/>
    <cellStyle name="常规 3 2 2 2 2" xfId="1203"/>
    <cellStyle name="常规 3 2 2 3" xfId="1204"/>
    <cellStyle name="常规 3 2 3" xfId="1205"/>
    <cellStyle name="常规 3 2 3 2" xfId="1206"/>
    <cellStyle name="常规 3 2 4" xfId="1207"/>
    <cellStyle name="常规 3 2 4 2" xfId="1208"/>
    <cellStyle name="常规 3 2 5" xfId="1209"/>
    <cellStyle name="常规 3 2 5 2" xfId="1210"/>
    <cellStyle name="常规 3 2 6" xfId="1211"/>
    <cellStyle name="常规 3 2 7" xfId="1212"/>
    <cellStyle name="常规 3 3" xfId="1213"/>
    <cellStyle name="常规 3 3 2" xfId="1214"/>
    <cellStyle name="常规 3 3 2 2" xfId="1215"/>
    <cellStyle name="常规 3 3 2 2 2" xfId="1216"/>
    <cellStyle name="常规 3 3 2 3" xfId="1217"/>
    <cellStyle name="常规 3 3 3" xfId="1218"/>
    <cellStyle name="常规 3 3 3 2" xfId="1219"/>
    <cellStyle name="常规 3 3 4" xfId="1220"/>
    <cellStyle name="常规 3 3 4 2" xfId="1221"/>
    <cellStyle name="常规 3 3 5" xfId="1222"/>
    <cellStyle name="常规 3 3 5 2" xfId="1223"/>
    <cellStyle name="常规 3 3 6" xfId="1224"/>
    <cellStyle name="常规 3 4" xfId="1225"/>
    <cellStyle name="常规 3 4 2" xfId="1226"/>
    <cellStyle name="常规 3 4 2 2" xfId="1227"/>
    <cellStyle name="常规 3 4 2 2 2" xfId="1228"/>
    <cellStyle name="常规 3 4 2 3" xfId="1229"/>
    <cellStyle name="常规 3 4 3" xfId="1230"/>
    <cellStyle name="常规 3 4 3 2" xfId="1231"/>
    <cellStyle name="常规 3 4 4" xfId="1232"/>
    <cellStyle name="常规 3 4 4 2" xfId="1233"/>
    <cellStyle name="常规 3 4 9" xfId="2004"/>
    <cellStyle name="常规 3 5" xfId="1234"/>
    <cellStyle name="常规 3 5 2" xfId="1235"/>
    <cellStyle name="常规 3 5 2 2" xfId="1236"/>
    <cellStyle name="常规 3 5 3" xfId="1237"/>
    <cellStyle name="常规 3 6" xfId="1238"/>
    <cellStyle name="常规 3 7" xfId="1239"/>
    <cellStyle name="常规 3 7 2" xfId="1240"/>
    <cellStyle name="常规 3 7 2 2" xfId="1241"/>
    <cellStyle name="常规 3 7 3" xfId="1242"/>
    <cellStyle name="常规 3 8" xfId="1243"/>
    <cellStyle name="常规 3 8 2" xfId="1244"/>
    <cellStyle name="常规 3 9" xfId="1245"/>
    <cellStyle name="常规 3_统筹-校长（暂估）" xfId="1246"/>
    <cellStyle name="常规 30" xfId="1247"/>
    <cellStyle name="常规 30 2" xfId="1248"/>
    <cellStyle name="常规 31" xfId="1249"/>
    <cellStyle name="常规 31 2" xfId="1250"/>
    <cellStyle name="常规 32" xfId="1251"/>
    <cellStyle name="常规 32 2" xfId="1252"/>
    <cellStyle name="常规 33" xfId="1253"/>
    <cellStyle name="常规 33 2" xfId="1254"/>
    <cellStyle name="常规 34" xfId="1255"/>
    <cellStyle name="常规 34 2" xfId="1256"/>
    <cellStyle name="常规 35" xfId="1257"/>
    <cellStyle name="常规 35 2" xfId="1258"/>
    <cellStyle name="常规 36" xfId="1259"/>
    <cellStyle name="常规 36 2" xfId="1260"/>
    <cellStyle name="常规 37" xfId="1261"/>
    <cellStyle name="常规 37 2" xfId="1262"/>
    <cellStyle name="常规 38" xfId="1263"/>
    <cellStyle name="常规 38 2" xfId="1264"/>
    <cellStyle name="常规 39" xfId="1265"/>
    <cellStyle name="常规 39 2" xfId="1266"/>
    <cellStyle name="常规 4" xfId="1267"/>
    <cellStyle name="常规 4 2" xfId="1268"/>
    <cellStyle name="常规 4 2 2" xfId="1269"/>
    <cellStyle name="常规 4 2 2 2" xfId="1270"/>
    <cellStyle name="常规 4 2 3" xfId="1271"/>
    <cellStyle name="常规 4 3" xfId="1272"/>
    <cellStyle name="常规 4 3 2" xfId="1273"/>
    <cellStyle name="常规 4 4" xfId="1274"/>
    <cellStyle name="常规 4 4 2" xfId="1275"/>
    <cellStyle name="常规 4 5" xfId="1276"/>
    <cellStyle name="常规 4 5 2" xfId="1277"/>
    <cellStyle name="常规 4 6" xfId="1278"/>
    <cellStyle name="常规 4 6 2" xfId="1279"/>
    <cellStyle name="常规 4 7" xfId="1280"/>
    <cellStyle name="常规 4 8" xfId="1281"/>
    <cellStyle name="常规 40" xfId="1282"/>
    <cellStyle name="常规 40 2" xfId="1283"/>
    <cellStyle name="常规 41" xfId="1284"/>
    <cellStyle name="常规 41 2" xfId="1285"/>
    <cellStyle name="常规 42" xfId="1286"/>
    <cellStyle name="常规 42 2" xfId="1287"/>
    <cellStyle name="常规 43" xfId="1288"/>
    <cellStyle name="常规 43 2" xfId="1289"/>
    <cellStyle name="常规 44" xfId="1290"/>
    <cellStyle name="常规 44 2" xfId="1291"/>
    <cellStyle name="常规 45" xfId="1292"/>
    <cellStyle name="常规 45 2" xfId="1293"/>
    <cellStyle name="常规 46" xfId="1294"/>
    <cellStyle name="常规 46 2" xfId="1295"/>
    <cellStyle name="常规 47" xfId="1296"/>
    <cellStyle name="常规 47 2" xfId="1297"/>
    <cellStyle name="常规 48" xfId="1298"/>
    <cellStyle name="常规 48 2" xfId="1299"/>
    <cellStyle name="常规 49" xfId="1300"/>
    <cellStyle name="常规 49 2" xfId="1301"/>
    <cellStyle name="常规 5" xfId="1302"/>
    <cellStyle name="常规 5 2" xfId="1303"/>
    <cellStyle name="常规 5 2 2" xfId="1304"/>
    <cellStyle name="常规 5 2 2 2" xfId="1305"/>
    <cellStyle name="常规 5 2 3" xfId="1306"/>
    <cellStyle name="常规 5 3" xfId="1307"/>
    <cellStyle name="常规 5 3 2" xfId="1308"/>
    <cellStyle name="常规 5 4" xfId="1309"/>
    <cellStyle name="常规 5 4 2" xfId="1310"/>
    <cellStyle name="常规 5 5" xfId="1311"/>
    <cellStyle name="常规 5 5 2" xfId="1312"/>
    <cellStyle name="常规 5 6" xfId="1313"/>
    <cellStyle name="常规 50" xfId="1314"/>
    <cellStyle name="常规 50 2" xfId="1315"/>
    <cellStyle name="常规 51" xfId="1316"/>
    <cellStyle name="常规 51 2" xfId="1317"/>
    <cellStyle name="常规 52" xfId="1318"/>
    <cellStyle name="常规 52 2" xfId="1319"/>
    <cellStyle name="常规 53" xfId="1320"/>
    <cellStyle name="常规 53 2" xfId="1321"/>
    <cellStyle name="常规 54" xfId="1322"/>
    <cellStyle name="常规 54 2" xfId="1323"/>
    <cellStyle name="常规 55" xfId="1324"/>
    <cellStyle name="常规 55 2" xfId="1325"/>
    <cellStyle name="常规 56" xfId="1326"/>
    <cellStyle name="常规 56 2" xfId="1327"/>
    <cellStyle name="常规 57" xfId="1328"/>
    <cellStyle name="常规 57 2" xfId="1329"/>
    <cellStyle name="常规 58" xfId="1330"/>
    <cellStyle name="常规 58 2" xfId="1331"/>
    <cellStyle name="常规 59" xfId="1332"/>
    <cellStyle name="常规 59 2" xfId="1333"/>
    <cellStyle name="常规 6" xfId="1334"/>
    <cellStyle name="常规 6 2" xfId="1335"/>
    <cellStyle name="常规 6 2 2" xfId="1336"/>
    <cellStyle name="常规 6 2 2 2" xfId="1337"/>
    <cellStyle name="常规 6 2 3" xfId="1338"/>
    <cellStyle name="常规 6 3" xfId="1339"/>
    <cellStyle name="常规 6 3 2" xfId="1340"/>
    <cellStyle name="常规 6 4" xfId="1341"/>
    <cellStyle name="常规 6 4 2" xfId="1342"/>
    <cellStyle name="常规 6 5" xfId="1343"/>
    <cellStyle name="常规 6 5 2" xfId="1344"/>
    <cellStyle name="常规 6 6" xfId="1345"/>
    <cellStyle name="常规 60" xfId="1346"/>
    <cellStyle name="常规 60 2" xfId="1347"/>
    <cellStyle name="常规 61" xfId="1348"/>
    <cellStyle name="常规 61 2" xfId="1349"/>
    <cellStyle name="常规 62" xfId="1350"/>
    <cellStyle name="常规 62 2" xfId="1351"/>
    <cellStyle name="常规 63" xfId="1352"/>
    <cellStyle name="常规 63 2" xfId="1353"/>
    <cellStyle name="常规 64" xfId="1354"/>
    <cellStyle name="常规 64 2" xfId="1355"/>
    <cellStyle name="常规 65" xfId="1356"/>
    <cellStyle name="常规 66" xfId="1357"/>
    <cellStyle name="常规 67" xfId="1358"/>
    <cellStyle name="常规 68" xfId="1359"/>
    <cellStyle name="常规 69" xfId="1360"/>
    <cellStyle name="常规 7" xfId="1361"/>
    <cellStyle name="常规 7 2" xfId="1362"/>
    <cellStyle name="常规 7 2 2" xfId="1363"/>
    <cellStyle name="常规 7 2 2 2" xfId="1364"/>
    <cellStyle name="常规 7 2 3" xfId="1365"/>
    <cellStyle name="常规 7 3" xfId="1366"/>
    <cellStyle name="常规 7 3 2" xfId="1367"/>
    <cellStyle name="常规 7 4" xfId="1368"/>
    <cellStyle name="常规 7 4 2" xfId="1369"/>
    <cellStyle name="常规 7 5" xfId="1370"/>
    <cellStyle name="常规 7 5 2" xfId="1371"/>
    <cellStyle name="常规 7 6" xfId="1372"/>
    <cellStyle name="常规 70" xfId="1373"/>
    <cellStyle name="常规 71" xfId="1374"/>
    <cellStyle name="常规 72" xfId="1375"/>
    <cellStyle name="常规 73" xfId="1376"/>
    <cellStyle name="常规 74" xfId="1377"/>
    <cellStyle name="常规 75" xfId="1378"/>
    <cellStyle name="常规 76" xfId="1379"/>
    <cellStyle name="常规 77" xfId="1380"/>
    <cellStyle name="常规 78" xfId="1381"/>
    <cellStyle name="常规 79" xfId="1382"/>
    <cellStyle name="常规 8" xfId="1383"/>
    <cellStyle name="常规 8 2" xfId="1384"/>
    <cellStyle name="常规 8 2 2" xfId="1385"/>
    <cellStyle name="常规 8 2 2 2" xfId="1386"/>
    <cellStyle name="常规 8 2 3" xfId="1387"/>
    <cellStyle name="常规 8 3" xfId="1388"/>
    <cellStyle name="常规 8 3 2" xfId="1389"/>
    <cellStyle name="常规 8 4" xfId="1390"/>
    <cellStyle name="常规 8 4 2" xfId="1391"/>
    <cellStyle name="常规 8 5" xfId="1392"/>
    <cellStyle name="常规 8 5 2" xfId="1393"/>
    <cellStyle name="常规 8 6" xfId="1394"/>
    <cellStyle name="常规 80" xfId="1395"/>
    <cellStyle name="常规 81" xfId="1396"/>
    <cellStyle name="常规 82" xfId="1397"/>
    <cellStyle name="常规 83" xfId="1398"/>
    <cellStyle name="常规 84" xfId="1399"/>
    <cellStyle name="常规 85" xfId="1400"/>
    <cellStyle name="常规 86" xfId="1401"/>
    <cellStyle name="常规 87" xfId="1402"/>
    <cellStyle name="常规 88" xfId="1403"/>
    <cellStyle name="常规 89" xfId="1404"/>
    <cellStyle name="常规 9" xfId="1405"/>
    <cellStyle name="常规 9 2" xfId="1406"/>
    <cellStyle name="常规 9 2 2" xfId="1407"/>
    <cellStyle name="常规 9 2 2 2" xfId="1408"/>
    <cellStyle name="常规 9 2 2 2 2" xfId="1409"/>
    <cellStyle name="常规 9 2 2 3" xfId="1410"/>
    <cellStyle name="常规 9 2 3" xfId="1411"/>
    <cellStyle name="常规 9 2 3 2" xfId="1412"/>
    <cellStyle name="常规 9 2 4" xfId="1413"/>
    <cellStyle name="常规 9 3" xfId="1414"/>
    <cellStyle name="常规 9 3 2" xfId="1415"/>
    <cellStyle name="常规 9 3 2 2" xfId="1416"/>
    <cellStyle name="常规 9 3 3" xfId="1417"/>
    <cellStyle name="常规 9 4" xfId="1418"/>
    <cellStyle name="常规 9 4 2" xfId="1419"/>
    <cellStyle name="常规 9 4 2 2" xfId="1420"/>
    <cellStyle name="常规 9 4 3" xfId="1421"/>
    <cellStyle name="常规 9 5" xfId="1422"/>
    <cellStyle name="常规 9 5 2" xfId="1423"/>
    <cellStyle name="常规 9 6" xfId="1424"/>
    <cellStyle name="常规 90" xfId="1425"/>
    <cellStyle name="常规 91" xfId="1426"/>
    <cellStyle name="常规 92" xfId="1427"/>
    <cellStyle name="常规 93" xfId="1428"/>
    <cellStyle name="常规 94" xfId="1429"/>
    <cellStyle name="常规 95" xfId="1430"/>
    <cellStyle name="常规 96" xfId="1431"/>
    <cellStyle name="常规 97" xfId="1432"/>
    <cellStyle name="常规 98" xfId="1433"/>
    <cellStyle name="常规 99" xfId="1434"/>
    <cellStyle name="常规_Sheet1" xfId="2009"/>
    <cellStyle name="常规_Sheet1 2" xfId="2012"/>
    <cellStyle name="超链接" xfId="2006" builtinId="8"/>
    <cellStyle name="超链接 2" xfId="1435"/>
    <cellStyle name="好 2" xfId="1436"/>
    <cellStyle name="好 2 2" xfId="1437"/>
    <cellStyle name="好 2 2 2" xfId="1438"/>
    <cellStyle name="好 2 3" xfId="1439"/>
    <cellStyle name="好 3" xfId="1440"/>
    <cellStyle name="好 3 2" xfId="1441"/>
    <cellStyle name="好 3 2 2" xfId="1442"/>
    <cellStyle name="好 3 3" xfId="1443"/>
    <cellStyle name="好 4" xfId="1444"/>
    <cellStyle name="好 4 2" xfId="1445"/>
    <cellStyle name="好 4 2 2" xfId="1446"/>
    <cellStyle name="好 4 3" xfId="1447"/>
    <cellStyle name="好 5" xfId="1448"/>
    <cellStyle name="好 5 2" xfId="1449"/>
    <cellStyle name="好 6" xfId="1450"/>
    <cellStyle name="好 6 2" xfId="1451"/>
    <cellStyle name="好 7" xfId="1452"/>
    <cellStyle name="好 7 2" xfId="1453"/>
    <cellStyle name="好 8" xfId="1454"/>
    <cellStyle name="好_2013见习培训经费表下半年(chen)2014年9月" xfId="1455"/>
    <cellStyle name="好_2013见习培训经费表下半年(chen)2014年9月 2" xfId="1456"/>
    <cellStyle name="好_2013见习培训经费表下半年(chen)2014年9月 2 2" xfId="1457"/>
    <cellStyle name="好_2013见习培训经费表下半年(chen)2014年9月 2 2 2" xfId="1458"/>
    <cellStyle name="好_2013见习培训经费表下半年(chen)2014年9月 2 3" xfId="1459"/>
    <cellStyle name="好_2013见习培训经费表下半年(chen)2014年9月 3" xfId="1460"/>
    <cellStyle name="好_2013见习培训经费表下半年(chen)2014年9月 3 2" xfId="1461"/>
    <cellStyle name="好_2013见习培训经费表下半年(chen)2014年9月 4" xfId="1462"/>
    <cellStyle name="好_2013见习培训经费表下半年(chen)2014年9月 4 2" xfId="1463"/>
    <cellStyle name="好_2013见习培训经费表下半年(chen)2014年9月 5" xfId="1464"/>
    <cellStyle name="好_2014年聘用学校导师带教经费表" xfId="1465"/>
    <cellStyle name="好_2014年聘用学校导师带教经费表 2" xfId="1466"/>
    <cellStyle name="好_2014年聘用学校导师带教经费表 2 2" xfId="1467"/>
    <cellStyle name="好_2014年聘用学校导师带教经费表 2 2 2" xfId="1468"/>
    <cellStyle name="好_2014年聘用学校导师带教经费表 2 3" xfId="1469"/>
    <cellStyle name="好_2014年聘用学校导师带教经费表 3" xfId="1470"/>
    <cellStyle name="好_2014年聘用学校导师带教经费表 3 2" xfId="1471"/>
    <cellStyle name="好_2014年聘用学校导师带教经费表 3 2 2" xfId="1472"/>
    <cellStyle name="好_2014年聘用学校导师带教经费表 3 3" xfId="1473"/>
    <cellStyle name="好_2014年聘用学校导师带教经费表 4" xfId="1474"/>
    <cellStyle name="好_2014年聘用学校导师带教经费表 4 2" xfId="1475"/>
    <cellStyle name="好_2014年聘用学校导师带教经费表 4 2 2" xfId="1476"/>
    <cellStyle name="好_2014年聘用学校导师带教经费表 4 3" xfId="1477"/>
    <cellStyle name="好_2014年聘用学校导师带教经费表 5" xfId="1478"/>
    <cellStyle name="好_2014年聘用学校导师带教经费表 5 2" xfId="1479"/>
    <cellStyle name="好_2014年聘用学校导师带教经费表 6" xfId="1480"/>
    <cellStyle name="好_2014年聘用学校导师带教经费表 6 2" xfId="1481"/>
    <cellStyle name="好_2014年聘用学校导师带教经费表 7" xfId="1482"/>
    <cellStyle name="好_2014年终考核奖完整版-给核算中心" xfId="1483"/>
    <cellStyle name="好_2014年终考核奖完整版-给核算中心 2" xfId="1484"/>
    <cellStyle name="好_2014年终考核奖完整版-给核算中心 2 2" xfId="1485"/>
    <cellStyle name="好_2014年终考核奖完整版-给核算中心 2 2 2" xfId="1486"/>
    <cellStyle name="好_2014年终考核奖完整版-给核算中心 2 3" xfId="1487"/>
    <cellStyle name="好_2014年终考核奖完整版-给核算中心 3" xfId="1488"/>
    <cellStyle name="好_2014年终考核奖完整版-给核算中心 3 2" xfId="1489"/>
    <cellStyle name="好_2014年终考核奖完整版-给核算中心 4" xfId="1490"/>
    <cellStyle name="好_2014年终考核奖完整版-给核算中心 4 2" xfId="1491"/>
    <cellStyle name="好_2014年终考核奖完整版-给核算中心 5" xfId="1492"/>
    <cellStyle name="好_2014优秀学校奖励测算表" xfId="1493"/>
    <cellStyle name="好_2014优秀学校奖励测算表 2" xfId="1494"/>
    <cellStyle name="好_2014优秀学校奖励测算表 2 2" xfId="1495"/>
    <cellStyle name="好_2014优秀学校奖励测算表 2 2 2" xfId="1496"/>
    <cellStyle name="好_2014优秀学校奖励测算表 2 3" xfId="1497"/>
    <cellStyle name="好_2014优秀学校奖励测算表 3" xfId="1498"/>
    <cellStyle name="好_2014优秀学校奖励测算表 3 2" xfId="1499"/>
    <cellStyle name="好_2014优秀学校奖励测算表 4" xfId="1500"/>
    <cellStyle name="好_2014优秀学校奖励测算表 4 2" xfId="1501"/>
    <cellStyle name="好_2014优秀学校奖励测算表 5" xfId="1502"/>
    <cellStyle name="好_2015年年终奖预发表-给核算中心" xfId="1503"/>
    <cellStyle name="好_2015年年终奖预发表-给核算中心 2" xfId="1504"/>
    <cellStyle name="好_2015年年终奖预发表-给核算中心 2 2" xfId="1505"/>
    <cellStyle name="好_2015年年终奖预发表-给核算中心 2 2 2" xfId="1506"/>
    <cellStyle name="好_2015年年终奖预发表-给核算中心 2 3" xfId="1507"/>
    <cellStyle name="好_2015年年终奖预发表-给核算中心 3" xfId="1508"/>
    <cellStyle name="好_2015年年终奖预发表-给核算中心 3 2" xfId="1509"/>
    <cellStyle name="好_2015年年终奖预发表-给核算中心 4" xfId="1510"/>
    <cellStyle name="好_2015年年终奖预发表-给核算中心 4 2" xfId="1511"/>
    <cellStyle name="好_2015年年终奖预发表-给核算中心 5" xfId="1512"/>
    <cellStyle name="好_2016年3月校长职级工资（核算中心）" xfId="1513"/>
    <cellStyle name="好_2016年3月校长职级工资（核算中心） 2" xfId="1514"/>
    <cellStyle name="好_2016年3月校长职级工资（核算中心） 2 2" xfId="1515"/>
    <cellStyle name="好_2016年3月校长职级工资（核算中心） 2 2 2" xfId="1516"/>
    <cellStyle name="好_2016年3月校长职级工资（核算中心） 2 3" xfId="1517"/>
    <cellStyle name="好_2016年3月校长职级工资（核算中心） 3" xfId="1518"/>
    <cellStyle name="好_2016年3月校长职级工资（核算中心） 3 2" xfId="1519"/>
    <cellStyle name="好_2016年3月校长职级工资（核算中心） 4" xfId="1520"/>
    <cellStyle name="好_2016年3月校长职级工资（核算中心） 4 2" xfId="1521"/>
    <cellStyle name="好_2016年3月校长职级工资（核算中心） 5" xfId="1522"/>
    <cellStyle name="好_A0汇总表（报计财科：项目津贴发放）" xfId="1523"/>
    <cellStyle name="好_A0汇总表（报计财科：项目津贴发放） 2" xfId="1524"/>
    <cellStyle name="好_A0汇总表（报计财科：项目津贴发放） 2 2" xfId="1525"/>
    <cellStyle name="好_A0汇总表（报计财科：项目津贴发放） 2 2 2" xfId="1526"/>
    <cellStyle name="好_A0汇总表（报计财科：项目津贴发放） 2 3" xfId="1527"/>
    <cellStyle name="好_A0汇总表（报计财科：项目津贴发放） 3" xfId="1528"/>
    <cellStyle name="好_A0汇总表（报计财科：项目津贴发放） 3 2" xfId="1529"/>
    <cellStyle name="好_A0汇总表（报计财科：项目津贴发放） 4" xfId="1530"/>
    <cellStyle name="好_A0汇总表（报计财科：项目津贴发放） 4 2" xfId="1531"/>
    <cellStyle name="好_A0汇总表（报计财科：项目津贴发放） 5" xfId="1532"/>
    <cellStyle name="好_统筹-校长（暂估）" xfId="1533"/>
    <cellStyle name="好_统筹-校长（暂估） 2" xfId="1534"/>
    <cellStyle name="好_统筹-校长（暂估） 2 2" xfId="1535"/>
    <cellStyle name="好_统筹-校长（暂估） 2 2 2" xfId="1536"/>
    <cellStyle name="好_统筹-校长（暂估） 2 3" xfId="1537"/>
    <cellStyle name="好_统筹-校长（暂估） 3" xfId="1538"/>
    <cellStyle name="好_统筹-校长（暂估） 3 2" xfId="1539"/>
    <cellStyle name="好_统筹-校长（暂估） 4" xfId="1540"/>
    <cellStyle name="好_统筹-校长（暂估） 4 2" xfId="1541"/>
    <cellStyle name="好_统筹-校长（暂估） 5" xfId="1542"/>
    <cellStyle name="好_校长、书记2015年增量部分发放清单" xfId="1543"/>
    <cellStyle name="好_校长、书记2015年增量部分发放清单 2" xfId="1544"/>
    <cellStyle name="好_校长、书记2015年增量部分发放清单 2 2" xfId="1545"/>
    <cellStyle name="好_校长、书记2015年增量部分发放清单 2 2 2" xfId="1546"/>
    <cellStyle name="好_校长、书记2015年增量部分发放清单 2 3" xfId="1547"/>
    <cellStyle name="好_校长、书记2015年增量部分发放清单 3" xfId="1548"/>
    <cellStyle name="好_校长、书记2015年增量部分发放清单 3 2" xfId="1549"/>
    <cellStyle name="好_校长、书记2015年增量部分发放清单 4" xfId="1550"/>
    <cellStyle name="好_校长、书记2015年增量部分发放清单 4 2" xfId="1551"/>
    <cellStyle name="好_校长、书记2015年增量部分发放清单 5" xfId="1552"/>
    <cellStyle name="好_校长职级、亚信会奖励、教师节奖励镇管" xfId="1553"/>
    <cellStyle name="好_校长职级、亚信会奖励、教师节奖励镇管 2" xfId="1554"/>
    <cellStyle name="好_校长职级、亚信会奖励、教师节奖励镇管 2 2" xfId="1555"/>
    <cellStyle name="好_校长职级、亚信会奖励、教师节奖励镇管 2 2 2" xfId="1556"/>
    <cellStyle name="好_校长职级、亚信会奖励、教师节奖励镇管 2 3" xfId="1557"/>
    <cellStyle name="好_校长职级、亚信会奖励、教师节奖励镇管 3" xfId="1558"/>
    <cellStyle name="好_校长职级、亚信会奖励、教师节奖励镇管 3 2" xfId="1559"/>
    <cellStyle name="好_校长职级、亚信会奖励、教师节奖励镇管 4" xfId="1560"/>
    <cellStyle name="好_校长职级、亚信会奖励、教师节奖励镇管 4 2" xfId="1561"/>
    <cellStyle name="好_校长职级、亚信会奖励、教师节奖励镇管 5" xfId="1562"/>
    <cellStyle name="好_镇管汇总" xfId="1563"/>
    <cellStyle name="好_镇管汇总 2" xfId="1564"/>
    <cellStyle name="好_镇管汇总 2 2" xfId="1565"/>
    <cellStyle name="好_镇管汇总 2 2 2" xfId="1566"/>
    <cellStyle name="好_镇管汇总 2 3" xfId="1567"/>
    <cellStyle name="好_镇管汇总 3" xfId="1568"/>
    <cellStyle name="好_镇管汇总 3 2" xfId="1569"/>
    <cellStyle name="好_镇管汇总 4" xfId="1570"/>
    <cellStyle name="好_镇管汇总 4 2" xfId="1571"/>
    <cellStyle name="好_镇管汇总 5" xfId="1572"/>
    <cellStyle name="汇总 2" xfId="1573"/>
    <cellStyle name="汇总 2 2" xfId="1574"/>
    <cellStyle name="汇总 2 2 2" xfId="1575"/>
    <cellStyle name="汇总 2 3" xfId="1576"/>
    <cellStyle name="汇总 3" xfId="1577"/>
    <cellStyle name="汇总 3 2" xfId="1578"/>
    <cellStyle name="汇总 3 2 2" xfId="1579"/>
    <cellStyle name="汇总 3 3" xfId="1580"/>
    <cellStyle name="汇总 4" xfId="1581"/>
    <cellStyle name="汇总 4 2" xfId="1582"/>
    <cellStyle name="汇总 4 2 2" xfId="1583"/>
    <cellStyle name="汇总 4 3" xfId="1584"/>
    <cellStyle name="汇总 5" xfId="1585"/>
    <cellStyle name="汇总 5 2" xfId="1586"/>
    <cellStyle name="汇总 6" xfId="1587"/>
    <cellStyle name="汇总 6 2" xfId="1588"/>
    <cellStyle name="计算 2" xfId="1589"/>
    <cellStyle name="计算 2 2" xfId="1590"/>
    <cellStyle name="计算 2 2 2" xfId="1591"/>
    <cellStyle name="计算 2 3" xfId="1592"/>
    <cellStyle name="计算 3" xfId="1593"/>
    <cellStyle name="计算 3 2" xfId="1594"/>
    <cellStyle name="计算 3 2 2" xfId="1595"/>
    <cellStyle name="计算 3 3" xfId="1596"/>
    <cellStyle name="计算 4" xfId="1597"/>
    <cellStyle name="计算 4 2" xfId="1598"/>
    <cellStyle name="计算 4 2 2" xfId="1599"/>
    <cellStyle name="计算 4 3" xfId="1600"/>
    <cellStyle name="计算 5" xfId="1601"/>
    <cellStyle name="计算 5 2" xfId="1602"/>
    <cellStyle name="计算 6" xfId="1603"/>
    <cellStyle name="计算 6 2" xfId="1604"/>
    <cellStyle name="计算 7" xfId="1605"/>
    <cellStyle name="计算 7 2" xfId="1606"/>
    <cellStyle name="检查单元格 2" xfId="1607"/>
    <cellStyle name="检查单元格 2 2" xfId="1608"/>
    <cellStyle name="检查单元格 2 2 2" xfId="1609"/>
    <cellStyle name="检查单元格 2 3" xfId="1610"/>
    <cellStyle name="检查单元格 3" xfId="1611"/>
    <cellStyle name="检查单元格 3 2" xfId="1612"/>
    <cellStyle name="检查单元格 3 2 2" xfId="1613"/>
    <cellStyle name="检查单元格 3 3" xfId="1614"/>
    <cellStyle name="检查单元格 4" xfId="1615"/>
    <cellStyle name="检查单元格 4 2" xfId="1616"/>
    <cellStyle name="检查单元格 4 2 2" xfId="1617"/>
    <cellStyle name="检查单元格 4 3" xfId="1618"/>
    <cellStyle name="检查单元格 5" xfId="1619"/>
    <cellStyle name="检查单元格 5 2" xfId="1620"/>
    <cellStyle name="检查单元格 6" xfId="1621"/>
    <cellStyle name="检查单元格 6 2" xfId="1622"/>
    <cellStyle name="检查单元格 7" xfId="1623"/>
    <cellStyle name="检查单元格 7 2" xfId="1624"/>
    <cellStyle name="解释性文本 2" xfId="1625"/>
    <cellStyle name="解释性文本 2 2" xfId="1626"/>
    <cellStyle name="解释性文本 2 2 2" xfId="1627"/>
    <cellStyle name="解释性文本 2 3" xfId="1628"/>
    <cellStyle name="解释性文本 3" xfId="1629"/>
    <cellStyle name="解释性文本 3 2" xfId="1630"/>
    <cellStyle name="解释性文本 3 2 2" xfId="1631"/>
    <cellStyle name="解释性文本 3 3" xfId="1632"/>
    <cellStyle name="解释性文本 4" xfId="1633"/>
    <cellStyle name="解释性文本 4 2" xfId="1634"/>
    <cellStyle name="解释性文本 4 2 2" xfId="1635"/>
    <cellStyle name="解释性文本 4 3" xfId="1636"/>
    <cellStyle name="解释性文本 5" xfId="1637"/>
    <cellStyle name="解释性文本 5 2" xfId="1638"/>
    <cellStyle name="解释性文本 6" xfId="1639"/>
    <cellStyle name="解释性文本 6 2" xfId="1640"/>
    <cellStyle name="警告文本 2" xfId="1641"/>
    <cellStyle name="警告文本 2 2" xfId="1642"/>
    <cellStyle name="警告文本 2 2 2" xfId="1643"/>
    <cellStyle name="警告文本 2 3" xfId="1644"/>
    <cellStyle name="警告文本 3" xfId="1645"/>
    <cellStyle name="警告文本 3 2" xfId="1646"/>
    <cellStyle name="警告文本 3 2 2" xfId="1647"/>
    <cellStyle name="警告文本 3 3" xfId="1648"/>
    <cellStyle name="警告文本 4" xfId="1649"/>
    <cellStyle name="警告文本 4 2" xfId="1650"/>
    <cellStyle name="警告文本 4 2 2" xfId="1651"/>
    <cellStyle name="警告文本 4 3" xfId="1652"/>
    <cellStyle name="警告文本 5" xfId="1653"/>
    <cellStyle name="警告文本 5 2" xfId="1654"/>
    <cellStyle name="警告文本 6" xfId="1655"/>
    <cellStyle name="警告文本 6 2" xfId="1656"/>
    <cellStyle name="链接单元格 2" xfId="1657"/>
    <cellStyle name="链接单元格 2 2" xfId="1658"/>
    <cellStyle name="链接单元格 2 2 2" xfId="1659"/>
    <cellStyle name="链接单元格 2 3" xfId="1660"/>
    <cellStyle name="链接单元格 3" xfId="1661"/>
    <cellStyle name="链接单元格 3 2" xfId="1662"/>
    <cellStyle name="链接单元格 3 2 2" xfId="1663"/>
    <cellStyle name="链接单元格 3 3" xfId="1664"/>
    <cellStyle name="链接单元格 4" xfId="1665"/>
    <cellStyle name="链接单元格 4 2" xfId="1666"/>
    <cellStyle name="链接单元格 4 2 2" xfId="1667"/>
    <cellStyle name="链接单元格 4 3" xfId="1668"/>
    <cellStyle name="链接单元格 5" xfId="1669"/>
    <cellStyle name="链接单元格 5 2" xfId="1670"/>
    <cellStyle name="链接单元格 6" xfId="1671"/>
    <cellStyle name="链接单元格 6 2" xfId="1672"/>
    <cellStyle name="千位分隔 10" xfId="1673"/>
    <cellStyle name="千位分隔 10 2" xfId="1674"/>
    <cellStyle name="千位分隔 11" xfId="1675"/>
    <cellStyle name="千位分隔 12" xfId="1676"/>
    <cellStyle name="千位分隔 12 2" xfId="1677"/>
    <cellStyle name="千位分隔 13" xfId="1678"/>
    <cellStyle name="千位分隔 14" xfId="1679"/>
    <cellStyle name="千位分隔 14 2" xfId="1680"/>
    <cellStyle name="千位分隔 2" xfId="1681"/>
    <cellStyle name="千位分隔 2 2" xfId="1682"/>
    <cellStyle name="千位分隔 2 2 2" xfId="1683"/>
    <cellStyle name="千位分隔 2 2 2 2" xfId="1684"/>
    <cellStyle name="千位分隔 2 2 3" xfId="1685"/>
    <cellStyle name="千位分隔 2 2 4" xfId="1686"/>
    <cellStyle name="千位分隔 2 3" xfId="1687"/>
    <cellStyle name="千位分隔 2 3 2" xfId="1688"/>
    <cellStyle name="千位分隔 2 3 3" xfId="1689"/>
    <cellStyle name="千位分隔 2 4" xfId="1690"/>
    <cellStyle name="千位分隔 2 4 2" xfId="1691"/>
    <cellStyle name="千位分隔 2 4 2 2" xfId="1692"/>
    <cellStyle name="千位分隔 2 4 3" xfId="1693"/>
    <cellStyle name="千位分隔 2 5" xfId="1694"/>
    <cellStyle name="千位分隔 2 5 2" xfId="1695"/>
    <cellStyle name="千位分隔 2 6" xfId="1696"/>
    <cellStyle name="千位分隔 2 6 2" xfId="1697"/>
    <cellStyle name="千位分隔 2 7" xfId="1698"/>
    <cellStyle name="千位分隔 2 7 2" xfId="1699"/>
    <cellStyle name="千位分隔 2 8" xfId="1700"/>
    <cellStyle name="千位分隔 2 8 2" xfId="1701"/>
    <cellStyle name="千位分隔 2 9" xfId="1702"/>
    <cellStyle name="千位分隔 3" xfId="1703"/>
    <cellStyle name="千位分隔 3 2" xfId="1704"/>
    <cellStyle name="千位分隔 3 2 2" xfId="1705"/>
    <cellStyle name="千位分隔 3 2 2 2" xfId="1706"/>
    <cellStyle name="千位分隔 3 2 3" xfId="1707"/>
    <cellStyle name="千位分隔 3 3" xfId="1708"/>
    <cellStyle name="千位分隔 3 3 2" xfId="1709"/>
    <cellStyle name="千位分隔 3 4" xfId="1710"/>
    <cellStyle name="千位分隔 4" xfId="1711"/>
    <cellStyle name="千位分隔 4 2" xfId="1712"/>
    <cellStyle name="千位分隔 4 3" xfId="1713"/>
    <cellStyle name="千位分隔 5" xfId="1714"/>
    <cellStyle name="千位分隔 5 2" xfId="1715"/>
    <cellStyle name="千位分隔 5 2 2" xfId="1716"/>
    <cellStyle name="千位分隔 5 3" xfId="1717"/>
    <cellStyle name="千位分隔 6" xfId="1718"/>
    <cellStyle name="千位分隔 6 2" xfId="1719"/>
    <cellStyle name="千位分隔 6 2 2" xfId="1720"/>
    <cellStyle name="千位分隔 6 3" xfId="1721"/>
    <cellStyle name="千位分隔 7" xfId="1722"/>
    <cellStyle name="千位分隔 7 2" xfId="1723"/>
    <cellStyle name="千位分隔 8" xfId="1724"/>
    <cellStyle name="千位分隔 8 2" xfId="1725"/>
    <cellStyle name="千位分隔 9" xfId="1726"/>
    <cellStyle name="千位分隔[0]" xfId="2008" builtinId="6"/>
    <cellStyle name="千位分隔[0] 2" xfId="2011"/>
    <cellStyle name="强调文字颜色 1 2" xfId="1727"/>
    <cellStyle name="强调文字颜色 1 2 2" xfId="1728"/>
    <cellStyle name="强调文字颜色 1 2 2 2" xfId="1729"/>
    <cellStyle name="强调文字颜色 1 2 3" xfId="1730"/>
    <cellStyle name="强调文字颜色 1 3" xfId="1731"/>
    <cellStyle name="强调文字颜色 1 3 2" xfId="1732"/>
    <cellStyle name="强调文字颜色 1 3 2 2" xfId="1733"/>
    <cellStyle name="强调文字颜色 1 3 3" xfId="1734"/>
    <cellStyle name="强调文字颜色 1 4" xfId="1735"/>
    <cellStyle name="强调文字颜色 1 4 2" xfId="1736"/>
    <cellStyle name="强调文字颜色 1 4 2 2" xfId="1737"/>
    <cellStyle name="强调文字颜色 1 4 3" xfId="1738"/>
    <cellStyle name="强调文字颜色 1 5" xfId="1739"/>
    <cellStyle name="强调文字颜色 1 5 2" xfId="1740"/>
    <cellStyle name="强调文字颜色 1 6" xfId="1741"/>
    <cellStyle name="强调文字颜色 1 6 2" xfId="1742"/>
    <cellStyle name="强调文字颜色 1 7" xfId="1743"/>
    <cellStyle name="强调文字颜色 1 7 2" xfId="1744"/>
    <cellStyle name="强调文字颜色 2 2" xfId="1745"/>
    <cellStyle name="强调文字颜色 2 2 2" xfId="1746"/>
    <cellStyle name="强调文字颜色 2 2 2 2" xfId="1747"/>
    <cellStyle name="强调文字颜色 2 2 3" xfId="1748"/>
    <cellStyle name="强调文字颜色 2 3" xfId="1749"/>
    <cellStyle name="强调文字颜色 2 3 2" xfId="1750"/>
    <cellStyle name="强调文字颜色 2 3 2 2" xfId="1751"/>
    <cellStyle name="强调文字颜色 2 3 3" xfId="1752"/>
    <cellStyle name="强调文字颜色 2 4" xfId="1753"/>
    <cellStyle name="强调文字颜色 2 4 2" xfId="1754"/>
    <cellStyle name="强调文字颜色 2 4 2 2" xfId="1755"/>
    <cellStyle name="强调文字颜色 2 4 3" xfId="1756"/>
    <cellStyle name="强调文字颜色 2 5" xfId="1757"/>
    <cellStyle name="强调文字颜色 2 5 2" xfId="1758"/>
    <cellStyle name="强调文字颜色 2 6" xfId="1759"/>
    <cellStyle name="强调文字颜色 2 6 2" xfId="1760"/>
    <cellStyle name="强调文字颜色 2 7" xfId="1761"/>
    <cellStyle name="强调文字颜色 2 7 2" xfId="1762"/>
    <cellStyle name="强调文字颜色 3 2" xfId="1763"/>
    <cellStyle name="强调文字颜色 3 2 2" xfId="1764"/>
    <cellStyle name="强调文字颜色 3 2 2 2" xfId="1765"/>
    <cellStyle name="强调文字颜色 3 2 3" xfId="1766"/>
    <cellStyle name="强调文字颜色 3 3" xfId="1767"/>
    <cellStyle name="强调文字颜色 3 3 2" xfId="1768"/>
    <cellStyle name="强调文字颜色 3 3 2 2" xfId="1769"/>
    <cellStyle name="强调文字颜色 3 3 3" xfId="1770"/>
    <cellStyle name="强调文字颜色 3 4" xfId="1771"/>
    <cellStyle name="强调文字颜色 3 4 2" xfId="1772"/>
    <cellStyle name="强调文字颜色 3 4 2 2" xfId="1773"/>
    <cellStyle name="强调文字颜色 3 4 3" xfId="1774"/>
    <cellStyle name="强调文字颜色 3 5" xfId="1775"/>
    <cellStyle name="强调文字颜色 3 5 2" xfId="1776"/>
    <cellStyle name="强调文字颜色 3 6" xfId="1777"/>
    <cellStyle name="强调文字颜色 3 6 2" xfId="1778"/>
    <cellStyle name="强调文字颜色 3 7" xfId="1779"/>
    <cellStyle name="强调文字颜色 3 7 2" xfId="1780"/>
    <cellStyle name="强调文字颜色 4 2" xfId="1781"/>
    <cellStyle name="强调文字颜色 4 2 2" xfId="1782"/>
    <cellStyle name="强调文字颜色 4 2 2 2" xfId="1783"/>
    <cellStyle name="强调文字颜色 4 2 3" xfId="1784"/>
    <cellStyle name="强调文字颜色 4 3" xfId="1785"/>
    <cellStyle name="强调文字颜色 4 3 2" xfId="1786"/>
    <cellStyle name="强调文字颜色 4 3 2 2" xfId="1787"/>
    <cellStyle name="强调文字颜色 4 3 3" xfId="1788"/>
    <cellStyle name="强调文字颜色 4 4" xfId="1789"/>
    <cellStyle name="强调文字颜色 4 4 2" xfId="1790"/>
    <cellStyle name="强调文字颜色 4 4 2 2" xfId="1791"/>
    <cellStyle name="强调文字颜色 4 4 3" xfId="1792"/>
    <cellStyle name="强调文字颜色 4 5" xfId="1793"/>
    <cellStyle name="强调文字颜色 4 5 2" xfId="1794"/>
    <cellStyle name="强调文字颜色 4 6" xfId="1795"/>
    <cellStyle name="强调文字颜色 4 6 2" xfId="1796"/>
    <cellStyle name="强调文字颜色 4 7" xfId="1797"/>
    <cellStyle name="强调文字颜色 4 7 2" xfId="1798"/>
    <cellStyle name="强调文字颜色 5 2" xfId="1799"/>
    <cellStyle name="强调文字颜色 5 2 2" xfId="1800"/>
    <cellStyle name="强调文字颜色 5 2 2 2" xfId="1801"/>
    <cellStyle name="强调文字颜色 5 2 3" xfId="1802"/>
    <cellStyle name="强调文字颜色 5 3" xfId="1803"/>
    <cellStyle name="强调文字颜色 5 3 2" xfId="1804"/>
    <cellStyle name="强调文字颜色 5 3 2 2" xfId="1805"/>
    <cellStyle name="强调文字颜色 5 3 3" xfId="1806"/>
    <cellStyle name="强调文字颜色 5 4" xfId="1807"/>
    <cellStyle name="强调文字颜色 5 4 2" xfId="1808"/>
    <cellStyle name="强调文字颜色 5 4 2 2" xfId="1809"/>
    <cellStyle name="强调文字颜色 5 4 3" xfId="1810"/>
    <cellStyle name="强调文字颜色 5 5" xfId="1811"/>
    <cellStyle name="强调文字颜色 5 5 2" xfId="1812"/>
    <cellStyle name="强调文字颜色 5 6" xfId="1813"/>
    <cellStyle name="强调文字颜色 5 6 2" xfId="1814"/>
    <cellStyle name="强调文字颜色 5 7" xfId="1815"/>
    <cellStyle name="强调文字颜色 5 7 2" xfId="1816"/>
    <cellStyle name="强调文字颜色 6 2" xfId="1817"/>
    <cellStyle name="强调文字颜色 6 2 2" xfId="1818"/>
    <cellStyle name="强调文字颜色 6 2 2 2" xfId="1819"/>
    <cellStyle name="强调文字颜色 6 2 3" xfId="1820"/>
    <cellStyle name="强调文字颜色 6 3" xfId="1821"/>
    <cellStyle name="强调文字颜色 6 3 2" xfId="1822"/>
    <cellStyle name="强调文字颜色 6 3 2 2" xfId="1823"/>
    <cellStyle name="强调文字颜色 6 3 3" xfId="1824"/>
    <cellStyle name="强调文字颜色 6 4" xfId="1825"/>
    <cellStyle name="强调文字颜色 6 4 2" xfId="1826"/>
    <cellStyle name="强调文字颜色 6 4 2 2" xfId="1827"/>
    <cellStyle name="强调文字颜色 6 4 3" xfId="1828"/>
    <cellStyle name="强调文字颜色 6 5" xfId="1829"/>
    <cellStyle name="强调文字颜色 6 5 2" xfId="1830"/>
    <cellStyle name="强调文字颜色 6 6" xfId="1831"/>
    <cellStyle name="强调文字颜色 6 6 2" xfId="1832"/>
    <cellStyle name="强调文字颜色 6 7" xfId="1833"/>
    <cellStyle name="强调文字颜色 6 7 2" xfId="1834"/>
    <cellStyle name="适中 2" xfId="1835"/>
    <cellStyle name="适中 2 2" xfId="1836"/>
    <cellStyle name="适中 2 2 2" xfId="1837"/>
    <cellStyle name="适中 2 3" xfId="1838"/>
    <cellStyle name="适中 3" xfId="1839"/>
    <cellStyle name="适中 3 2" xfId="1840"/>
    <cellStyle name="适中 3 2 2" xfId="1841"/>
    <cellStyle name="适中 3 3" xfId="1842"/>
    <cellStyle name="适中 4" xfId="1843"/>
    <cellStyle name="适中 4 2" xfId="1844"/>
    <cellStyle name="适中 4 2 2" xfId="1845"/>
    <cellStyle name="适中 4 3" xfId="1846"/>
    <cellStyle name="适中 5" xfId="1847"/>
    <cellStyle name="适中 5 2" xfId="1848"/>
    <cellStyle name="适中 6" xfId="1849"/>
    <cellStyle name="适中 6 2" xfId="1850"/>
    <cellStyle name="适中 7" xfId="1851"/>
    <cellStyle name="适中 7 2" xfId="1852"/>
    <cellStyle name="输出 2" xfId="1853"/>
    <cellStyle name="输出 2 2" xfId="1854"/>
    <cellStyle name="输出 2 2 2" xfId="1855"/>
    <cellStyle name="输出 2 3" xfId="1856"/>
    <cellStyle name="输出 3" xfId="1857"/>
    <cellStyle name="输出 3 2" xfId="1858"/>
    <cellStyle name="输出 3 2 2" xfId="1859"/>
    <cellStyle name="输出 3 3" xfId="1860"/>
    <cellStyle name="输出 4" xfId="1861"/>
    <cellStyle name="输出 4 2" xfId="1862"/>
    <cellStyle name="输出 4 2 2" xfId="1863"/>
    <cellStyle name="输出 4 3" xfId="1864"/>
    <cellStyle name="输出 5" xfId="1865"/>
    <cellStyle name="输出 5 2" xfId="1866"/>
    <cellStyle name="输出 6" xfId="1867"/>
    <cellStyle name="输出 6 2" xfId="1868"/>
    <cellStyle name="输出 7" xfId="1869"/>
    <cellStyle name="输出 7 2" xfId="1870"/>
    <cellStyle name="输入 2" xfId="1871"/>
    <cellStyle name="输入 2 2" xfId="1872"/>
    <cellStyle name="输入 2 2 2" xfId="1873"/>
    <cellStyle name="输入 2 3" xfId="1874"/>
    <cellStyle name="输入 3" xfId="1875"/>
    <cellStyle name="输入 3 2" xfId="1876"/>
    <cellStyle name="输入 3 2 2" xfId="1877"/>
    <cellStyle name="输入 3 3" xfId="1878"/>
    <cellStyle name="输入 4" xfId="1879"/>
    <cellStyle name="输入 4 2" xfId="1880"/>
    <cellStyle name="输入 4 2 2" xfId="1881"/>
    <cellStyle name="输入 4 3" xfId="1882"/>
    <cellStyle name="输入 5" xfId="1883"/>
    <cellStyle name="输入 5 2" xfId="1884"/>
    <cellStyle name="输入 6" xfId="1885"/>
    <cellStyle name="输入 6 2" xfId="1886"/>
    <cellStyle name="输入 7" xfId="1887"/>
    <cellStyle name="输入 7 2" xfId="1888"/>
    <cellStyle name="说明文本" xfId="1889"/>
    <cellStyle name="说明文本 2" xfId="1890"/>
    <cellStyle name="说明文本 2 2" xfId="1891"/>
    <cellStyle name="说明文本 2 2 2" xfId="1892"/>
    <cellStyle name="说明文本 2 3" xfId="1893"/>
    <cellStyle name="说明文本 3" xfId="1894"/>
    <cellStyle name="说明文本 3 2" xfId="1895"/>
    <cellStyle name="说明文本 4" xfId="1896"/>
    <cellStyle name="说明文本 4 2" xfId="1897"/>
    <cellStyle name="说明文本 5" xfId="1898"/>
    <cellStyle name="无色" xfId="1899"/>
    <cellStyle name="无色 2" xfId="1900"/>
    <cellStyle name="无色 2 2" xfId="1901"/>
    <cellStyle name="无色 2 2 2" xfId="1902"/>
    <cellStyle name="无色 2 3" xfId="1903"/>
    <cellStyle name="无色 3" xfId="1904"/>
    <cellStyle name="无色 3 2" xfId="1905"/>
    <cellStyle name="无色 4" xfId="1906"/>
    <cellStyle name="无色 4 2" xfId="1907"/>
    <cellStyle name="无色 5" xfId="1908"/>
    <cellStyle name="样式 1" xfId="1909"/>
    <cellStyle name="着色 1 2" xfId="1910"/>
    <cellStyle name="着色 1 2 2" xfId="1911"/>
    <cellStyle name="着色 1 2 2 2" xfId="1912"/>
    <cellStyle name="着色 1 2 3" xfId="1913"/>
    <cellStyle name="着色 1 3" xfId="1914"/>
    <cellStyle name="着色 1 3 2" xfId="1915"/>
    <cellStyle name="着色 1 4" xfId="1916"/>
    <cellStyle name="着色 1 4 2" xfId="1917"/>
    <cellStyle name="着色 1 5" xfId="1918"/>
    <cellStyle name="着色 2 2" xfId="1919"/>
    <cellStyle name="着色 2 2 2" xfId="1920"/>
    <cellStyle name="着色 2 2 2 2" xfId="1921"/>
    <cellStyle name="着色 2 2 3" xfId="1922"/>
    <cellStyle name="着色 2 3" xfId="1923"/>
    <cellStyle name="着色 2 3 2" xfId="1924"/>
    <cellStyle name="着色 2 4" xfId="1925"/>
    <cellStyle name="着色 2 4 2" xfId="1926"/>
    <cellStyle name="着色 2 5" xfId="1927"/>
    <cellStyle name="着色 3 2" xfId="1928"/>
    <cellStyle name="着色 3 2 2" xfId="1929"/>
    <cellStyle name="着色 3 2 2 2" xfId="1930"/>
    <cellStyle name="着色 3 2 3" xfId="1931"/>
    <cellStyle name="着色 3 3" xfId="1932"/>
    <cellStyle name="着色 3 3 2" xfId="1933"/>
    <cellStyle name="着色 3 4" xfId="1934"/>
    <cellStyle name="着色 3 4 2" xfId="1935"/>
    <cellStyle name="着色 3 5" xfId="1936"/>
    <cellStyle name="着色 4 2" xfId="1937"/>
    <cellStyle name="着色 4 2 2" xfId="1938"/>
    <cellStyle name="着色 4 2 2 2" xfId="1939"/>
    <cellStyle name="着色 4 2 3" xfId="1940"/>
    <cellStyle name="着色 4 3" xfId="1941"/>
    <cellStyle name="着色 4 3 2" xfId="1942"/>
    <cellStyle name="着色 4 4" xfId="1943"/>
    <cellStyle name="着色 4 4 2" xfId="1944"/>
    <cellStyle name="着色 4 5" xfId="1945"/>
    <cellStyle name="着色 5 2" xfId="1946"/>
    <cellStyle name="着色 5 2 2" xfId="1947"/>
    <cellStyle name="着色 5 2 2 2" xfId="1948"/>
    <cellStyle name="着色 5 2 3" xfId="1949"/>
    <cellStyle name="着色 5 3" xfId="1950"/>
    <cellStyle name="着色 5 3 2" xfId="1951"/>
    <cellStyle name="着色 5 4" xfId="1952"/>
    <cellStyle name="着色 5 4 2" xfId="1953"/>
    <cellStyle name="着色 5 5" xfId="1954"/>
    <cellStyle name="着色 6 2" xfId="1955"/>
    <cellStyle name="着色 6 2 2" xfId="1956"/>
    <cellStyle name="着色 6 2 2 2" xfId="1957"/>
    <cellStyle name="着色 6 2 3" xfId="1958"/>
    <cellStyle name="着色 6 3" xfId="1959"/>
    <cellStyle name="着色 6 3 2" xfId="1960"/>
    <cellStyle name="着色 6 4" xfId="1961"/>
    <cellStyle name="着色 6 4 2" xfId="1962"/>
    <cellStyle name="着色 6 5" xfId="1963"/>
    <cellStyle name="注释 2" xfId="1964"/>
    <cellStyle name="注释 2 2" xfId="1965"/>
    <cellStyle name="注释 2 2 2" xfId="1966"/>
    <cellStyle name="注释 2 2 2 2" xfId="1967"/>
    <cellStyle name="注释 2 2 3" xfId="1968"/>
    <cellStyle name="注释 2 3" xfId="1969"/>
    <cellStyle name="注释 2 3 2" xfId="1970"/>
    <cellStyle name="注释 2 4" xfId="1971"/>
    <cellStyle name="注释 3" xfId="1972"/>
    <cellStyle name="注释 3 2" xfId="1973"/>
    <cellStyle name="注释 3 2 2" xfId="1974"/>
    <cellStyle name="注释 3 2 2 2" xfId="1975"/>
    <cellStyle name="注释 3 2 3" xfId="1976"/>
    <cellStyle name="注释 3 3" xfId="1977"/>
    <cellStyle name="注释 3 3 2" xfId="1978"/>
    <cellStyle name="注释 3 4" xfId="1979"/>
    <cellStyle name="注释 4" xfId="1980"/>
    <cellStyle name="注释 4 2" xfId="1981"/>
    <cellStyle name="注释 4 2 2" xfId="1982"/>
    <cellStyle name="注释 4 2 2 2" xfId="1983"/>
    <cellStyle name="注释 4 2 3" xfId="1984"/>
    <cellStyle name="注释 4 3" xfId="1985"/>
    <cellStyle name="注释 4 3 2" xfId="1986"/>
    <cellStyle name="注释 4 4" xfId="1987"/>
    <cellStyle name="注释 5" xfId="1988"/>
    <cellStyle name="注释 5 2" xfId="1989"/>
    <cellStyle name="注释 5 2 2" xfId="1990"/>
    <cellStyle name="注释 5 3" xfId="1991"/>
    <cellStyle name="注释 6" xfId="1992"/>
    <cellStyle name="注释 6 2" xfId="1993"/>
    <cellStyle name="注释 6 2 2" xfId="1994"/>
    <cellStyle name="注释 6 3" xfId="1995"/>
    <cellStyle name="注释 7" xfId="1996"/>
    <cellStyle name="注释 7 2" xfId="1997"/>
    <cellStyle name="注释 7 2 2" xfId="1998"/>
    <cellStyle name="注释 7 3" xfId="1999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2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723900</xdr:colOff>
      <xdr:row>56</xdr:row>
      <xdr:rowOff>19050</xdr:rowOff>
    </xdr:from>
    <xdr:to>
      <xdr:col>11</xdr:col>
      <xdr:colOff>723900</xdr:colOff>
      <xdr:row>56</xdr:row>
      <xdr:rowOff>66675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629775" y="14001750"/>
          <a:ext cx="0" cy="47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723900</xdr:colOff>
      <xdr:row>56</xdr:row>
      <xdr:rowOff>19050</xdr:rowOff>
    </xdr:from>
    <xdr:to>
      <xdr:col>7</xdr:col>
      <xdr:colOff>723900</xdr:colOff>
      <xdr:row>56</xdr:row>
      <xdr:rowOff>66675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00000000-0008-0000-18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391650" y="9582150"/>
          <a:ext cx="466725" cy="47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723900</xdr:colOff>
      <xdr:row>56</xdr:row>
      <xdr:rowOff>19050</xdr:rowOff>
    </xdr:from>
    <xdr:to>
      <xdr:col>6</xdr:col>
      <xdr:colOff>723900</xdr:colOff>
      <xdr:row>56</xdr:row>
      <xdr:rowOff>66675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00000000-0008-0000-19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201025" y="9582150"/>
          <a:ext cx="466725" cy="47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723900</xdr:colOff>
      <xdr:row>56</xdr:row>
      <xdr:rowOff>19050</xdr:rowOff>
    </xdr:from>
    <xdr:to>
      <xdr:col>7</xdr:col>
      <xdr:colOff>723900</xdr:colOff>
      <xdr:row>56</xdr:row>
      <xdr:rowOff>66675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00000000-0008-0000-1A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391650" y="9582150"/>
          <a:ext cx="466725" cy="47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723900</xdr:colOff>
      <xdr:row>56</xdr:row>
      <xdr:rowOff>19050</xdr:rowOff>
    </xdr:from>
    <xdr:to>
      <xdr:col>7</xdr:col>
      <xdr:colOff>723900</xdr:colOff>
      <xdr:row>56</xdr:row>
      <xdr:rowOff>66675</xdr:rowOff>
    </xdr:to>
    <xdr:pic>
      <xdr:nvPicPr>
        <xdr:cNvPr id="3" name="Picture 1">
          <a:extLst>
            <a:ext uri="{FF2B5EF4-FFF2-40B4-BE49-F238E27FC236}">
              <a16:creationId xmlns="" xmlns:a16="http://schemas.microsoft.com/office/drawing/2014/main" id="{00000000-0008-0000-1A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391650" y="9582150"/>
          <a:ext cx="47625" cy="47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723900</xdr:colOff>
      <xdr:row>56</xdr:row>
      <xdr:rowOff>19050</xdr:rowOff>
    </xdr:from>
    <xdr:to>
      <xdr:col>8</xdr:col>
      <xdr:colOff>628650</xdr:colOff>
      <xdr:row>56</xdr:row>
      <xdr:rowOff>66675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00000000-0008-0000-1B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334375" y="9734550"/>
          <a:ext cx="885825" cy="47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723900</xdr:colOff>
      <xdr:row>56</xdr:row>
      <xdr:rowOff>19050</xdr:rowOff>
    </xdr:from>
    <xdr:to>
      <xdr:col>7</xdr:col>
      <xdr:colOff>723900</xdr:colOff>
      <xdr:row>56</xdr:row>
      <xdr:rowOff>66675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00000000-0008-0000-1C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391650" y="9582150"/>
          <a:ext cx="466725" cy="47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723900</xdr:colOff>
      <xdr:row>56</xdr:row>
      <xdr:rowOff>19050</xdr:rowOff>
    </xdr:from>
    <xdr:to>
      <xdr:col>7</xdr:col>
      <xdr:colOff>723900</xdr:colOff>
      <xdr:row>56</xdr:row>
      <xdr:rowOff>66675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00000000-0008-0000-1D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391650" y="9582150"/>
          <a:ext cx="466725" cy="47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723900</xdr:colOff>
      <xdr:row>56</xdr:row>
      <xdr:rowOff>19050</xdr:rowOff>
    </xdr:from>
    <xdr:to>
      <xdr:col>7</xdr:col>
      <xdr:colOff>723900</xdr:colOff>
      <xdr:row>56</xdr:row>
      <xdr:rowOff>66675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00000000-0008-0000-1E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391650" y="9582150"/>
          <a:ext cx="466725" cy="47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723900</xdr:colOff>
      <xdr:row>56</xdr:row>
      <xdr:rowOff>19050</xdr:rowOff>
    </xdr:from>
    <xdr:to>
      <xdr:col>7</xdr:col>
      <xdr:colOff>723900</xdr:colOff>
      <xdr:row>56</xdr:row>
      <xdr:rowOff>66675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00000000-0008-0000-1F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391650" y="9582150"/>
          <a:ext cx="466725" cy="47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723900</xdr:colOff>
      <xdr:row>56</xdr:row>
      <xdr:rowOff>19050</xdr:rowOff>
    </xdr:from>
    <xdr:to>
      <xdr:col>7</xdr:col>
      <xdr:colOff>723900</xdr:colOff>
      <xdr:row>56</xdr:row>
      <xdr:rowOff>66675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00000000-0008-0000-2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391650" y="9582150"/>
          <a:ext cx="466725" cy="47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723900</xdr:colOff>
      <xdr:row>56</xdr:row>
      <xdr:rowOff>19050</xdr:rowOff>
    </xdr:from>
    <xdr:to>
      <xdr:col>8</xdr:col>
      <xdr:colOff>0</xdr:colOff>
      <xdr:row>56</xdr:row>
      <xdr:rowOff>66675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00000000-0008-0000-2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267700" y="10058400"/>
          <a:ext cx="0" cy="47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2023&#24180;/&#25945;&#32946;&#23616;&#39044;&#31639;&#24067;&#32622;/2023&#35843;&#25972;&#39044;&#31639;2024&#24180;&#21021;&#39044;&#31639;/2024&#24180;&#39044;&#31639;&#34920;&#24335;&#26032;/2024&#24180;&#24180;&#21021;&#39044;&#31639;&#29983;&#22343;&#23450;&#39069;+&#21442;&#32771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2024\2024&#24180;&#22522;&#26412;&#25903;&#20986;&#39044;&#31639;\2024&#24180;&#39044;&#31639;(&#39067;&#26725;&#65289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2024年年初镇管义务教育生均核定"/>
      <sheetName val="镇管幼儿园生均核定"/>
      <sheetName val="2024年初幼儿园生均"/>
      <sheetName val="Sheet2"/>
    </sheetNames>
    <sheetDataSet>
      <sheetData sheetId="0" refreshError="1"/>
      <sheetData sheetId="1" refreshError="1"/>
      <sheetData sheetId="2" refreshError="1">
        <row r="11">
          <cell r="I11">
            <v>1058200</v>
          </cell>
          <cell r="J11">
            <v>52910</v>
          </cell>
        </row>
        <row r="12">
          <cell r="I12">
            <v>963820</v>
          </cell>
          <cell r="J12">
            <v>48191</v>
          </cell>
        </row>
      </sheetData>
      <sheetData sheetId="3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绩效测算"/>
      <sheetName val="民办小区生补贴"/>
      <sheetName val="民办小区生补贴（街道）"/>
      <sheetName val="民办学校生均经费"/>
      <sheetName val="民办学校生均经费（街道）"/>
      <sheetName val="民办高中学费"/>
      <sheetName val="民办高中学费（街道）"/>
      <sheetName val="2024年基本支出预算表"/>
      <sheetName val="生均公用定额标准"/>
      <sheetName val="其他定额标准"/>
      <sheetName val="Sheet1"/>
      <sheetName val="审核稿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>
        <row r="18">
          <cell r="N18">
            <v>5155260</v>
          </cell>
        </row>
        <row r="32">
          <cell r="K32">
            <v>572000</v>
          </cell>
          <cell r="L32">
            <v>28314</v>
          </cell>
        </row>
        <row r="33">
          <cell r="K33">
            <v>715000</v>
          </cell>
          <cell r="L33">
            <v>19734</v>
          </cell>
        </row>
        <row r="34">
          <cell r="K34">
            <v>572000</v>
          </cell>
          <cell r="L34">
            <v>13728</v>
          </cell>
        </row>
        <row r="43">
          <cell r="K43">
            <v>858000</v>
          </cell>
          <cell r="L43">
            <v>35321</v>
          </cell>
        </row>
      </sheetData>
      <sheetData sheetId="9"/>
      <sheetData sheetId="10"/>
      <sheetData sheetId="11"/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0.bin"/><Relationship Id="rId1" Type="http://schemas.openxmlformats.org/officeDocument/2006/relationships/hyperlink" Target="file:///D:\Documents\Downloads\&#32489;&#25928;&#24037;&#36164;\2013&#32489;&#25928;\&#19978;&#25253;&#20154;&#20445;&#23616;&#25991;&#20214;\2013&#32489;&#25928;\2013.8&#26631;&#20934;&#35843;&#25972;\2013&#32489;&#25928;\2013&#32489;&#25928;\&#26700;&#38754;\&#26700;&#38754;&#22791;&#20221;2012.12.28\2013&#32489;&#25928;\2012&#20041;&#21153;&#25945;&#32946;&#32489;&#25928;\&#24180;&#24213;&#24635;&#37327;\&#23398;&#26657;\&#26126;&#24378;&#20108;&#23567;.xls" TargetMode="Externa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74"/>
  <sheetViews>
    <sheetView workbookViewId="0">
      <pane xSplit="4" ySplit="2" topLeftCell="E10" activePane="bottomRight" state="frozen"/>
      <selection pane="topRight" activeCell="E1" sqref="E1"/>
      <selection pane="bottomLeft" activeCell="A3" sqref="A3"/>
      <selection pane="bottomRight" activeCell="A19" sqref="A19:XFD19"/>
    </sheetView>
  </sheetViews>
  <sheetFormatPr defaultColWidth="9" defaultRowHeight="11.25"/>
  <cols>
    <col min="1" max="1" width="9" style="41"/>
    <col min="2" max="2" width="23.625" style="1" customWidth="1"/>
    <col min="3" max="3" width="11.5" style="1" customWidth="1"/>
    <col min="4" max="4" width="10.875" style="42" customWidth="1"/>
    <col min="5" max="5" width="16.625" style="1" customWidth="1"/>
    <col min="6" max="6" width="13.375" style="1" customWidth="1"/>
    <col min="7" max="7" width="13.625" style="1" customWidth="1"/>
    <col min="8" max="8" width="13.75" style="1" customWidth="1"/>
    <col min="9" max="9" width="11.5" style="1" customWidth="1"/>
    <col min="10" max="10" width="13.25" style="1" customWidth="1"/>
    <col min="11" max="11" width="14.25" style="1" customWidth="1"/>
    <col min="12" max="12" width="14.375" style="1" customWidth="1"/>
    <col min="13" max="13" width="16.375" style="1" customWidth="1"/>
    <col min="14" max="14" width="14.75" style="1" customWidth="1"/>
    <col min="15" max="16384" width="9" style="1"/>
  </cols>
  <sheetData>
    <row r="1" spans="1:14" ht="18.75">
      <c r="A1" s="482" t="s">
        <v>923</v>
      </c>
      <c r="B1" s="483"/>
      <c r="C1" s="483"/>
      <c r="D1" s="483"/>
      <c r="E1" s="483"/>
      <c r="F1" s="483"/>
      <c r="G1" s="483"/>
      <c r="H1" s="483"/>
      <c r="I1" s="483"/>
      <c r="J1" s="483"/>
      <c r="K1" s="483"/>
      <c r="L1" s="483"/>
      <c r="M1" s="483"/>
      <c r="N1" s="483"/>
    </row>
    <row r="2" spans="1:14" ht="18" customHeight="1">
      <c r="A2" s="2" t="s">
        <v>12</v>
      </c>
      <c r="B2" s="2" t="s">
        <v>13</v>
      </c>
      <c r="C2" s="2" t="s">
        <v>14</v>
      </c>
      <c r="D2" s="3" t="s">
        <v>15</v>
      </c>
      <c r="E2" s="3" t="s">
        <v>350</v>
      </c>
      <c r="F2" s="3" t="s">
        <v>351</v>
      </c>
      <c r="G2" s="3" t="s">
        <v>352</v>
      </c>
      <c r="H2" s="3" t="s">
        <v>353</v>
      </c>
      <c r="I2" s="3" t="s">
        <v>354</v>
      </c>
      <c r="J2" s="3" t="s">
        <v>355</v>
      </c>
      <c r="K2" s="3" t="s">
        <v>356</v>
      </c>
      <c r="L2" s="3" t="s">
        <v>357</v>
      </c>
      <c r="M2" s="3" t="s">
        <v>358</v>
      </c>
      <c r="N2" s="3" t="s">
        <v>21</v>
      </c>
    </row>
    <row r="3" spans="1:14" ht="18" customHeight="1">
      <c r="A3" s="5" t="s">
        <v>23</v>
      </c>
      <c r="B3" s="6" t="s">
        <v>24</v>
      </c>
      <c r="C3" s="6"/>
      <c r="D3" s="7" t="s">
        <v>25</v>
      </c>
      <c r="E3" s="8">
        <v>115243773.06</v>
      </c>
      <c r="F3" s="8">
        <v>91093743.899999991</v>
      </c>
      <c r="G3" s="8">
        <v>772163245.23000002</v>
      </c>
      <c r="H3" s="8">
        <v>468873907.25999993</v>
      </c>
      <c r="I3" s="8">
        <v>407710619.37</v>
      </c>
      <c r="J3" s="8">
        <v>313333809.94999999</v>
      </c>
      <c r="K3" s="8">
        <v>260432144.5</v>
      </c>
      <c r="L3" s="8">
        <v>458463426.98999995</v>
      </c>
      <c r="M3" s="8">
        <v>252166137.08000001</v>
      </c>
      <c r="N3" s="8">
        <f t="shared" ref="N3:N66" si="0">SUM(E3:M3)</f>
        <v>3139480807.3399997</v>
      </c>
    </row>
    <row r="4" spans="1:14" ht="18" customHeight="1">
      <c r="A4" s="5" t="s">
        <v>26</v>
      </c>
      <c r="B4" s="6" t="s">
        <v>0</v>
      </c>
      <c r="C4" s="6"/>
      <c r="D4" s="7" t="s">
        <v>25</v>
      </c>
      <c r="E4" s="8">
        <v>98063202.980000004</v>
      </c>
      <c r="F4" s="8">
        <v>76659498.690000013</v>
      </c>
      <c r="G4" s="8">
        <v>651465054.27999997</v>
      </c>
      <c r="H4" s="8">
        <v>389652575.18000001</v>
      </c>
      <c r="I4" s="8">
        <v>344356572.40000004</v>
      </c>
      <c r="J4" s="8">
        <v>266144568.24999997</v>
      </c>
      <c r="K4" s="8">
        <v>217154249.23999998</v>
      </c>
      <c r="L4" s="8">
        <v>387890671.96000004</v>
      </c>
      <c r="M4" s="8">
        <v>213304285.27999997</v>
      </c>
      <c r="N4" s="8">
        <f t="shared" si="0"/>
        <v>2644690678.2600002</v>
      </c>
    </row>
    <row r="5" spans="1:14" ht="18" customHeight="1">
      <c r="A5" s="5" t="s">
        <v>27</v>
      </c>
      <c r="B5" s="6" t="s">
        <v>28</v>
      </c>
      <c r="C5" s="6"/>
      <c r="D5" s="7" t="s">
        <v>25</v>
      </c>
      <c r="E5" s="8">
        <v>12856676</v>
      </c>
      <c r="F5" s="8">
        <v>9844728</v>
      </c>
      <c r="G5" s="8">
        <v>81381216</v>
      </c>
      <c r="H5" s="8">
        <v>46878717.199999996</v>
      </c>
      <c r="I5" s="8">
        <v>43332588</v>
      </c>
      <c r="J5" s="8">
        <v>32378276</v>
      </c>
      <c r="K5" s="8">
        <v>29133888</v>
      </c>
      <c r="L5" s="8">
        <v>49112724</v>
      </c>
      <c r="M5" s="8">
        <v>27842200</v>
      </c>
      <c r="N5" s="8">
        <f t="shared" si="0"/>
        <v>332761013.19999999</v>
      </c>
    </row>
    <row r="6" spans="1:14" ht="18" customHeight="1">
      <c r="A6" s="5" t="s">
        <v>29</v>
      </c>
      <c r="B6" s="6" t="s">
        <v>30</v>
      </c>
      <c r="C6" s="6" t="s">
        <v>31</v>
      </c>
      <c r="D6" s="7" t="s">
        <v>32</v>
      </c>
      <c r="E6" s="10">
        <v>7105868</v>
      </c>
      <c r="F6" s="10">
        <v>5916328</v>
      </c>
      <c r="G6" s="10">
        <v>47191620</v>
      </c>
      <c r="H6" s="10">
        <v>28299195.199999999</v>
      </c>
      <c r="I6" s="10">
        <v>24861276</v>
      </c>
      <c r="J6" s="10">
        <v>18775284</v>
      </c>
      <c r="K6" s="10">
        <v>15785292</v>
      </c>
      <c r="L6" s="10">
        <v>28686612</v>
      </c>
      <c r="M6" s="10">
        <v>15424499</v>
      </c>
      <c r="N6" s="8">
        <f t="shared" si="0"/>
        <v>192045974.19999999</v>
      </c>
    </row>
    <row r="7" spans="1:14" ht="18" customHeight="1">
      <c r="A7" s="5" t="s">
        <v>33</v>
      </c>
      <c r="B7" s="6" t="s">
        <v>34</v>
      </c>
      <c r="C7" s="6" t="s">
        <v>31</v>
      </c>
      <c r="D7" s="7" t="s">
        <v>32</v>
      </c>
      <c r="E7" s="10">
        <v>5750808</v>
      </c>
      <c r="F7" s="10">
        <v>3928400</v>
      </c>
      <c r="G7" s="10">
        <v>34189596</v>
      </c>
      <c r="H7" s="10">
        <v>18579522</v>
      </c>
      <c r="I7" s="10">
        <v>18471312</v>
      </c>
      <c r="J7" s="10">
        <v>13602992</v>
      </c>
      <c r="K7" s="10">
        <v>13348596</v>
      </c>
      <c r="L7" s="10">
        <v>20426112</v>
      </c>
      <c r="M7" s="10">
        <v>12417701</v>
      </c>
      <c r="N7" s="8">
        <f t="shared" si="0"/>
        <v>140715039</v>
      </c>
    </row>
    <row r="8" spans="1:14" ht="18" customHeight="1">
      <c r="A8" s="5" t="s">
        <v>35</v>
      </c>
      <c r="B8" s="6" t="s">
        <v>36</v>
      </c>
      <c r="C8" s="6"/>
      <c r="D8" s="7" t="s">
        <v>25</v>
      </c>
      <c r="E8" s="8">
        <v>1434612</v>
      </c>
      <c r="F8" s="8">
        <v>1149652</v>
      </c>
      <c r="G8" s="8">
        <v>9365316</v>
      </c>
      <c r="H8" s="8">
        <v>5720770</v>
      </c>
      <c r="I8" s="8">
        <v>5000190.5999999996</v>
      </c>
      <c r="J8" s="8">
        <v>3853647</v>
      </c>
      <c r="K8" s="8">
        <v>3132156</v>
      </c>
      <c r="L8" s="8">
        <v>5704824</v>
      </c>
      <c r="M8" s="8">
        <v>3048485</v>
      </c>
      <c r="N8" s="8">
        <f t="shared" si="0"/>
        <v>38409652.600000001</v>
      </c>
    </row>
    <row r="9" spans="1:14" ht="18" customHeight="1">
      <c r="A9" s="5" t="s">
        <v>37</v>
      </c>
      <c r="B9" s="6" t="s">
        <v>38</v>
      </c>
      <c r="C9" s="6" t="s">
        <v>31</v>
      </c>
      <c r="D9" s="7" t="s">
        <v>32</v>
      </c>
      <c r="E9" s="10">
        <v>30132</v>
      </c>
      <c r="F9" s="10">
        <v>30292</v>
      </c>
      <c r="G9" s="10">
        <v>114756</v>
      </c>
      <c r="H9" s="10">
        <v>118690</v>
      </c>
      <c r="I9" s="10">
        <v>79230.600000000006</v>
      </c>
      <c r="J9" s="10">
        <v>52047</v>
      </c>
      <c r="K9" s="10">
        <v>59196</v>
      </c>
      <c r="L9" s="10">
        <v>65784</v>
      </c>
      <c r="M9" s="10">
        <v>44165</v>
      </c>
      <c r="N9" s="8">
        <f t="shared" si="0"/>
        <v>594292.6</v>
      </c>
    </row>
    <row r="10" spans="1:14" ht="18" customHeight="1">
      <c r="A10" s="5" t="s">
        <v>39</v>
      </c>
      <c r="B10" s="6" t="s">
        <v>40</v>
      </c>
      <c r="C10" s="6"/>
      <c r="D10" s="7" t="s">
        <v>25</v>
      </c>
      <c r="E10" s="8">
        <v>1404480</v>
      </c>
      <c r="F10" s="8">
        <v>1119360</v>
      </c>
      <c r="G10" s="8">
        <v>9250560</v>
      </c>
      <c r="H10" s="8">
        <v>5602080</v>
      </c>
      <c r="I10" s="8">
        <v>4920960</v>
      </c>
      <c r="J10" s="8">
        <v>3801600</v>
      </c>
      <c r="K10" s="8">
        <v>3072960</v>
      </c>
      <c r="L10" s="8">
        <v>5639040</v>
      </c>
      <c r="M10" s="8">
        <v>3004320</v>
      </c>
      <c r="N10" s="8">
        <f t="shared" si="0"/>
        <v>37815360</v>
      </c>
    </row>
    <row r="11" spans="1:14" s="13" customFormat="1" ht="18" customHeight="1">
      <c r="A11" s="5" t="s">
        <v>41</v>
      </c>
      <c r="B11" s="12" t="s">
        <v>42</v>
      </c>
      <c r="C11" s="12" t="s">
        <v>31</v>
      </c>
      <c r="D11" s="9" t="s">
        <v>25</v>
      </c>
      <c r="E11" s="8">
        <v>1404480</v>
      </c>
      <c r="F11" s="8">
        <v>1119360</v>
      </c>
      <c r="G11" s="8">
        <v>9250560</v>
      </c>
      <c r="H11" s="8">
        <v>5602080</v>
      </c>
      <c r="I11" s="8">
        <v>4920960</v>
      </c>
      <c r="J11" s="8">
        <v>3801600</v>
      </c>
      <c r="K11" s="8">
        <v>3072960</v>
      </c>
      <c r="L11" s="8">
        <v>5639040</v>
      </c>
      <c r="M11" s="8">
        <v>3004320</v>
      </c>
      <c r="N11" s="8">
        <f t="shared" si="0"/>
        <v>37815360</v>
      </c>
    </row>
    <row r="12" spans="1:14" ht="18" customHeight="1">
      <c r="A12" s="5" t="s">
        <v>43</v>
      </c>
      <c r="B12" s="6" t="s">
        <v>44</v>
      </c>
      <c r="C12" s="6"/>
      <c r="D12" s="7" t="s">
        <v>45</v>
      </c>
      <c r="E12" s="8">
        <v>492837.84</v>
      </c>
      <c r="F12" s="8">
        <v>368321.05</v>
      </c>
      <c r="G12" s="8">
        <v>3148036.560000001</v>
      </c>
      <c r="H12" s="8">
        <v>1900109.42</v>
      </c>
      <c r="I12" s="8">
        <v>1688373.7599999998</v>
      </c>
      <c r="J12" s="8">
        <v>1303533.7699999998</v>
      </c>
      <c r="K12" s="8">
        <v>1041150.9400000003</v>
      </c>
      <c r="L12" s="8">
        <v>1774109.0000000002</v>
      </c>
      <c r="M12" s="8">
        <v>1052450.28</v>
      </c>
      <c r="N12" s="8">
        <f t="shared" si="0"/>
        <v>12768922.619999999</v>
      </c>
    </row>
    <row r="13" spans="1:14" s="44" customFormat="1" ht="18" customHeight="1">
      <c r="A13" s="14" t="s">
        <v>46</v>
      </c>
      <c r="B13" s="43" t="s">
        <v>47</v>
      </c>
      <c r="C13" s="43" t="s">
        <v>31</v>
      </c>
      <c r="D13" s="26" t="s">
        <v>48</v>
      </c>
      <c r="E13" s="18">
        <v>166886.84000000003</v>
      </c>
      <c r="F13" s="18">
        <v>124722.04999999999</v>
      </c>
      <c r="G13" s="18">
        <v>1066001.56</v>
      </c>
      <c r="H13" s="18">
        <v>643423.42000000004</v>
      </c>
      <c r="I13" s="18">
        <v>571723.76</v>
      </c>
      <c r="J13" s="18">
        <v>441407.77</v>
      </c>
      <c r="K13" s="18">
        <v>352558.94</v>
      </c>
      <c r="L13" s="18">
        <v>600757</v>
      </c>
      <c r="M13" s="18">
        <v>356385.27999999997</v>
      </c>
      <c r="N13" s="18">
        <f t="shared" si="0"/>
        <v>4323866.62</v>
      </c>
    </row>
    <row r="14" spans="1:14" s="44" customFormat="1" ht="18" customHeight="1">
      <c r="A14" s="14">
        <v>12</v>
      </c>
      <c r="B14" s="43" t="s">
        <v>50</v>
      </c>
      <c r="C14" s="43" t="s">
        <v>31</v>
      </c>
      <c r="D14" s="26" t="s">
        <v>48</v>
      </c>
      <c r="E14" s="18">
        <v>325951</v>
      </c>
      <c r="F14" s="18">
        <v>243599</v>
      </c>
      <c r="G14" s="18">
        <v>2082035</v>
      </c>
      <c r="H14" s="18">
        <v>1256686</v>
      </c>
      <c r="I14" s="18">
        <v>1116650</v>
      </c>
      <c r="J14" s="18">
        <v>862126</v>
      </c>
      <c r="K14" s="18">
        <v>688592</v>
      </c>
      <c r="L14" s="18">
        <v>1173352</v>
      </c>
      <c r="M14" s="18">
        <v>696065</v>
      </c>
      <c r="N14" s="18">
        <f t="shared" si="0"/>
        <v>8445056</v>
      </c>
    </row>
    <row r="15" spans="1:14" s="19" customFormat="1" ht="18" customHeight="1">
      <c r="A15" s="14" t="s">
        <v>51</v>
      </c>
      <c r="B15" s="24" t="s">
        <v>52</v>
      </c>
      <c r="C15" s="24"/>
      <c r="D15" s="45" t="s">
        <v>25</v>
      </c>
      <c r="E15" s="18">
        <v>53943500</v>
      </c>
      <c r="F15" s="18">
        <v>43373000</v>
      </c>
      <c r="G15" s="18">
        <v>370187400</v>
      </c>
      <c r="H15" s="18">
        <v>222051200</v>
      </c>
      <c r="I15" s="18">
        <v>193837100</v>
      </c>
      <c r="J15" s="18">
        <v>151017900</v>
      </c>
      <c r="K15" s="18">
        <v>121873800</v>
      </c>
      <c r="L15" s="18">
        <v>225697200</v>
      </c>
      <c r="M15" s="18">
        <v>118715300</v>
      </c>
      <c r="N15" s="18">
        <f t="shared" si="0"/>
        <v>1500696400</v>
      </c>
    </row>
    <row r="16" spans="1:14" s="19" customFormat="1" ht="18" customHeight="1">
      <c r="A16" s="14" t="s">
        <v>53</v>
      </c>
      <c r="B16" s="15" t="s">
        <v>54</v>
      </c>
      <c r="C16" s="15" t="s">
        <v>31</v>
      </c>
      <c r="D16" s="16" t="s">
        <v>55</v>
      </c>
      <c r="E16" s="17">
        <v>49628388</v>
      </c>
      <c r="F16" s="17">
        <v>39469663</v>
      </c>
      <c r="G16" s="17">
        <v>339997864</v>
      </c>
      <c r="H16" s="17">
        <v>203516648</v>
      </c>
      <c r="I16" s="17">
        <v>177179025</v>
      </c>
      <c r="J16" s="17">
        <v>138448669</v>
      </c>
      <c r="K16" s="17">
        <v>111913326</v>
      </c>
      <c r="L16" s="17">
        <v>206374828</v>
      </c>
      <c r="M16" s="17">
        <v>108227652</v>
      </c>
      <c r="N16" s="18">
        <f t="shared" si="0"/>
        <v>1374756063</v>
      </c>
    </row>
    <row r="17" spans="1:14" s="19" customFormat="1" ht="18" customHeight="1">
      <c r="A17" s="14" t="s">
        <v>56</v>
      </c>
      <c r="B17" s="15" t="s">
        <v>57</v>
      </c>
      <c r="C17" s="15" t="s">
        <v>31</v>
      </c>
      <c r="D17" s="16" t="s">
        <v>58</v>
      </c>
      <c r="E17" s="17">
        <v>1529112</v>
      </c>
      <c r="F17" s="17">
        <v>1541337</v>
      </c>
      <c r="G17" s="17">
        <v>6127536</v>
      </c>
      <c r="H17" s="17">
        <v>4768552</v>
      </c>
      <c r="I17" s="17">
        <v>5016075</v>
      </c>
      <c r="J17" s="17">
        <v>3119231</v>
      </c>
      <c r="K17" s="17">
        <v>2398474</v>
      </c>
      <c r="L17" s="17">
        <v>4644372</v>
      </c>
      <c r="M17" s="17">
        <v>3233648</v>
      </c>
      <c r="N17" s="18">
        <f t="shared" si="0"/>
        <v>32378337</v>
      </c>
    </row>
    <row r="18" spans="1:14" ht="18" customHeight="1">
      <c r="A18" s="5" t="s">
        <v>59</v>
      </c>
      <c r="B18" s="20" t="s">
        <v>60</v>
      </c>
      <c r="C18" s="20" t="s">
        <v>31</v>
      </c>
      <c r="D18" s="7" t="s">
        <v>25</v>
      </c>
      <c r="E18" s="21">
        <v>1596000</v>
      </c>
      <c r="F18" s="21">
        <v>1272000</v>
      </c>
      <c r="G18" s="21">
        <v>10512000</v>
      </c>
      <c r="H18" s="21">
        <v>6366000</v>
      </c>
      <c r="I18" s="21">
        <v>5592000</v>
      </c>
      <c r="J18" s="21">
        <v>4320000</v>
      </c>
      <c r="K18" s="21">
        <v>3492000</v>
      </c>
      <c r="L18" s="21">
        <v>6408000</v>
      </c>
      <c r="M18" s="21">
        <v>3414000</v>
      </c>
      <c r="N18" s="8">
        <f t="shared" si="0"/>
        <v>42972000</v>
      </c>
    </row>
    <row r="19" spans="1:14" ht="18" customHeight="1">
      <c r="A19" s="5" t="s">
        <v>61</v>
      </c>
      <c r="B19" s="20" t="s">
        <v>62</v>
      </c>
      <c r="C19" s="20" t="s">
        <v>31</v>
      </c>
      <c r="D19" s="7" t="s">
        <v>32</v>
      </c>
      <c r="E19" s="23">
        <v>1190000</v>
      </c>
      <c r="F19" s="23">
        <v>1090000</v>
      </c>
      <c r="G19" s="23">
        <v>13550000</v>
      </c>
      <c r="H19" s="23">
        <v>7400000</v>
      </c>
      <c r="I19" s="23">
        <v>6050000</v>
      </c>
      <c r="J19" s="23">
        <v>5130000</v>
      </c>
      <c r="K19" s="23">
        <v>4070000</v>
      </c>
      <c r="L19" s="23">
        <v>8270000</v>
      </c>
      <c r="M19" s="23">
        <v>3840000</v>
      </c>
      <c r="N19" s="8">
        <f t="shared" si="0"/>
        <v>50590000</v>
      </c>
    </row>
    <row r="20" spans="1:14" ht="18" customHeight="1">
      <c r="A20" s="5" t="s">
        <v>63</v>
      </c>
      <c r="B20" s="6" t="s">
        <v>64</v>
      </c>
      <c r="C20" s="6"/>
      <c r="D20" s="22" t="s">
        <v>25</v>
      </c>
      <c r="E20" s="21">
        <v>9126624</v>
      </c>
      <c r="F20" s="21">
        <v>6820737.0499999998</v>
      </c>
      <c r="G20" s="21">
        <v>58296960.009999998</v>
      </c>
      <c r="H20" s="21">
        <v>35187219.989999995</v>
      </c>
      <c r="I20" s="21">
        <v>31266144.04000001</v>
      </c>
      <c r="J20" s="21">
        <v>24139488.040000003</v>
      </c>
      <c r="K20" s="21">
        <v>19280568.009999998</v>
      </c>
      <c r="L20" s="21">
        <v>32853897.959999997</v>
      </c>
      <c r="M20" s="21">
        <v>19489820</v>
      </c>
      <c r="N20" s="8">
        <f t="shared" si="0"/>
        <v>236461459.09999999</v>
      </c>
    </row>
    <row r="21" spans="1:14" ht="18" customHeight="1">
      <c r="A21" s="5" t="s">
        <v>65</v>
      </c>
      <c r="B21" s="6" t="s">
        <v>66</v>
      </c>
      <c r="C21" s="6" t="s">
        <v>67</v>
      </c>
      <c r="D21" s="22" t="s">
        <v>25</v>
      </c>
      <c r="E21" s="21">
        <v>6519017.1400000006</v>
      </c>
      <c r="F21" s="21">
        <v>4871955.0299999993</v>
      </c>
      <c r="G21" s="21">
        <v>41640685.710000001</v>
      </c>
      <c r="H21" s="21">
        <v>25133728.57</v>
      </c>
      <c r="I21" s="21">
        <v>22332960</v>
      </c>
      <c r="J21" s="21">
        <v>17242491.439999998</v>
      </c>
      <c r="K21" s="21">
        <v>13771834.289999999</v>
      </c>
      <c r="L21" s="21">
        <v>23467070</v>
      </c>
      <c r="M21" s="21">
        <v>13921300</v>
      </c>
      <c r="N21" s="8">
        <f t="shared" si="0"/>
        <v>168901042.18000001</v>
      </c>
    </row>
    <row r="22" spans="1:14" ht="18" customHeight="1">
      <c r="A22" s="5" t="s">
        <v>68</v>
      </c>
      <c r="B22" s="6" t="s">
        <v>69</v>
      </c>
      <c r="C22" s="6" t="s">
        <v>67</v>
      </c>
      <c r="D22" s="22" t="s">
        <v>48</v>
      </c>
      <c r="E22" s="21">
        <v>2607606.8600000003</v>
      </c>
      <c r="F22" s="21">
        <v>1948782.0200000003</v>
      </c>
      <c r="G22" s="21">
        <v>16656274.300000001</v>
      </c>
      <c r="H22" s="21">
        <v>10053491.42</v>
      </c>
      <c r="I22" s="21">
        <v>8933184.040000001</v>
      </c>
      <c r="J22" s="21">
        <v>6896996.5999999996</v>
      </c>
      <c r="K22" s="21">
        <v>5508733.7199999997</v>
      </c>
      <c r="L22" s="21">
        <v>9386827.959999999</v>
      </c>
      <c r="M22" s="21">
        <v>5568520</v>
      </c>
      <c r="N22" s="8">
        <f t="shared" si="0"/>
        <v>67560416.920000002</v>
      </c>
    </row>
    <row r="23" spans="1:14" ht="18" customHeight="1">
      <c r="A23" s="5" t="s">
        <v>70</v>
      </c>
      <c r="B23" s="6" t="s">
        <v>71</v>
      </c>
      <c r="C23" s="6" t="s">
        <v>67</v>
      </c>
      <c r="D23" s="22" t="s">
        <v>48</v>
      </c>
      <c r="E23" s="21">
        <v>1303803.4300000002</v>
      </c>
      <c r="F23" s="21">
        <v>974391.01000000013</v>
      </c>
      <c r="G23" s="21">
        <v>8328137.1500000004</v>
      </c>
      <c r="H23" s="21">
        <v>5026745.71</v>
      </c>
      <c r="I23" s="21">
        <v>4466592.0200000005</v>
      </c>
      <c r="J23" s="21">
        <v>3448498.3</v>
      </c>
      <c r="K23" s="21">
        <v>2754366.86</v>
      </c>
      <c r="L23" s="21">
        <v>4693413.9799999995</v>
      </c>
      <c r="M23" s="21">
        <v>2784260</v>
      </c>
      <c r="N23" s="8">
        <f t="shared" si="0"/>
        <v>33780208.460000001</v>
      </c>
    </row>
    <row r="24" spans="1:14" ht="18" customHeight="1">
      <c r="A24" s="5" t="s">
        <v>72</v>
      </c>
      <c r="B24" s="6" t="s">
        <v>73</v>
      </c>
      <c r="C24" s="6" t="s">
        <v>67</v>
      </c>
      <c r="D24" s="22" t="s">
        <v>48</v>
      </c>
      <c r="E24" s="21">
        <v>1303803.4300000002</v>
      </c>
      <c r="F24" s="21">
        <v>974391.01000000013</v>
      </c>
      <c r="G24" s="21">
        <v>8328137.1500000004</v>
      </c>
      <c r="H24" s="21">
        <v>5026745.71</v>
      </c>
      <c r="I24" s="21">
        <v>4466592.0200000005</v>
      </c>
      <c r="J24" s="21">
        <v>3448498.3</v>
      </c>
      <c r="K24" s="21">
        <v>2754366.86</v>
      </c>
      <c r="L24" s="21">
        <v>4693413.9799999995</v>
      </c>
      <c r="M24" s="21">
        <v>2784260</v>
      </c>
      <c r="N24" s="8">
        <f t="shared" si="0"/>
        <v>33780208.460000001</v>
      </c>
    </row>
    <row r="25" spans="1:14" ht="18" customHeight="1">
      <c r="A25" s="5" t="s">
        <v>74</v>
      </c>
      <c r="B25" s="6" t="s">
        <v>75</v>
      </c>
      <c r="C25" s="6"/>
      <c r="D25" s="7" t="s">
        <v>25</v>
      </c>
      <c r="E25" s="8">
        <v>10430427.43</v>
      </c>
      <c r="F25" s="8">
        <v>7795128.0500000007</v>
      </c>
      <c r="G25" s="8">
        <v>66625097.149999999</v>
      </c>
      <c r="H25" s="8">
        <v>40213965.710000001</v>
      </c>
      <c r="I25" s="8">
        <v>35732736.019999996</v>
      </c>
      <c r="J25" s="8">
        <v>27587986.299999997</v>
      </c>
      <c r="K25" s="8">
        <v>22034934.859999999</v>
      </c>
      <c r="L25" s="8">
        <v>37547311.979999997</v>
      </c>
      <c r="M25" s="8">
        <v>22274080</v>
      </c>
      <c r="N25" s="8">
        <f t="shared" si="0"/>
        <v>270241667.5</v>
      </c>
    </row>
    <row r="26" spans="1:14" s="13" customFormat="1" ht="18" customHeight="1">
      <c r="A26" s="5" t="s">
        <v>76</v>
      </c>
      <c r="B26" s="12" t="s">
        <v>77</v>
      </c>
      <c r="C26" s="12" t="s">
        <v>78</v>
      </c>
      <c r="D26" s="9" t="s">
        <v>48</v>
      </c>
      <c r="E26" s="8">
        <v>10430427.43</v>
      </c>
      <c r="F26" s="8">
        <v>7795128.0500000007</v>
      </c>
      <c r="G26" s="8">
        <v>66625097.149999999</v>
      </c>
      <c r="H26" s="8">
        <v>40213965.710000001</v>
      </c>
      <c r="I26" s="8">
        <v>35732736.019999996</v>
      </c>
      <c r="J26" s="8">
        <v>27587986.299999997</v>
      </c>
      <c r="K26" s="8">
        <v>22034934.859999999</v>
      </c>
      <c r="L26" s="8">
        <v>37547311.979999997</v>
      </c>
      <c r="M26" s="8">
        <v>22274080</v>
      </c>
      <c r="N26" s="8">
        <f t="shared" si="0"/>
        <v>270241667.5</v>
      </c>
    </row>
    <row r="27" spans="1:14" ht="18" customHeight="1">
      <c r="A27" s="5" t="s">
        <v>79</v>
      </c>
      <c r="B27" s="6" t="s">
        <v>80</v>
      </c>
      <c r="C27" s="6"/>
      <c r="D27" s="7" t="s">
        <v>25</v>
      </c>
      <c r="E27" s="8">
        <v>5215213.71</v>
      </c>
      <c r="F27" s="8">
        <v>3897564.0200000005</v>
      </c>
      <c r="G27" s="8">
        <v>33312548.560000002</v>
      </c>
      <c r="H27" s="8">
        <v>20106982.859999999</v>
      </c>
      <c r="I27" s="8">
        <v>17866367.98</v>
      </c>
      <c r="J27" s="8">
        <v>13793993.140000001</v>
      </c>
      <c r="K27" s="8">
        <v>11017467.43</v>
      </c>
      <c r="L27" s="8">
        <v>18773656.02</v>
      </c>
      <c r="M27" s="8">
        <v>11137040</v>
      </c>
      <c r="N27" s="8">
        <f t="shared" si="0"/>
        <v>135120833.72000003</v>
      </c>
    </row>
    <row r="28" spans="1:14" s="13" customFormat="1" ht="18" customHeight="1">
      <c r="A28" s="5" t="s">
        <v>81</v>
      </c>
      <c r="B28" s="12" t="s">
        <v>82</v>
      </c>
      <c r="C28" s="12" t="s">
        <v>83</v>
      </c>
      <c r="D28" s="9" t="s">
        <v>48</v>
      </c>
      <c r="E28" s="8">
        <v>5215213.71</v>
      </c>
      <c r="F28" s="8">
        <v>3897564.0200000005</v>
      </c>
      <c r="G28" s="8">
        <v>33312548.560000002</v>
      </c>
      <c r="H28" s="8">
        <v>20106982.859999999</v>
      </c>
      <c r="I28" s="8">
        <v>17866367.98</v>
      </c>
      <c r="J28" s="8">
        <v>13793993.140000001</v>
      </c>
      <c r="K28" s="8">
        <v>11017467.43</v>
      </c>
      <c r="L28" s="8">
        <v>18773656.02</v>
      </c>
      <c r="M28" s="8">
        <v>11137040</v>
      </c>
      <c r="N28" s="8">
        <f t="shared" si="0"/>
        <v>135120833.72000003</v>
      </c>
    </row>
    <row r="29" spans="1:14" ht="18" customHeight="1">
      <c r="A29" s="5" t="s">
        <v>84</v>
      </c>
      <c r="B29" s="6" t="s">
        <v>85</v>
      </c>
      <c r="C29" s="6" t="s">
        <v>86</v>
      </c>
      <c r="D29" s="7" t="s">
        <v>87</v>
      </c>
      <c r="E29" s="23">
        <v>4563312</v>
      </c>
      <c r="F29" s="23">
        <v>3410368.52</v>
      </c>
      <c r="G29" s="23">
        <v>29148480</v>
      </c>
      <c r="H29" s="23">
        <v>17593610</v>
      </c>
      <c r="I29" s="23">
        <v>15633072</v>
      </c>
      <c r="J29" s="23">
        <v>12069744</v>
      </c>
      <c r="K29" s="23">
        <v>9640284</v>
      </c>
      <c r="L29" s="23">
        <v>16426949</v>
      </c>
      <c r="M29" s="23">
        <v>9744910</v>
      </c>
      <c r="N29" s="8">
        <f t="shared" si="0"/>
        <v>118230729.52</v>
      </c>
    </row>
    <row r="30" spans="1:14" ht="18" customHeight="1">
      <c r="A30" s="5" t="s">
        <v>88</v>
      </c>
      <c r="B30" s="6" t="s">
        <v>89</v>
      </c>
      <c r="C30" s="20" t="s">
        <v>31</v>
      </c>
      <c r="D30" s="9" t="s">
        <v>90</v>
      </c>
      <c r="E30" s="23">
        <v>0</v>
      </c>
      <c r="F30" s="23">
        <v>0</v>
      </c>
      <c r="G30" s="23">
        <v>0</v>
      </c>
      <c r="H30" s="23">
        <v>0</v>
      </c>
      <c r="I30" s="23">
        <v>0</v>
      </c>
      <c r="J30" s="23">
        <v>0</v>
      </c>
      <c r="K30" s="23">
        <v>0</v>
      </c>
      <c r="L30" s="23">
        <v>0</v>
      </c>
      <c r="M30" s="23">
        <v>0</v>
      </c>
      <c r="N30" s="8">
        <f t="shared" si="0"/>
        <v>0</v>
      </c>
    </row>
    <row r="31" spans="1:14" ht="18" customHeight="1">
      <c r="A31" s="5" t="s">
        <v>91</v>
      </c>
      <c r="B31" s="6" t="s">
        <v>92</v>
      </c>
      <c r="C31" s="6"/>
      <c r="D31" s="7" t="s">
        <v>25</v>
      </c>
      <c r="E31" s="8">
        <v>1980470</v>
      </c>
      <c r="F31" s="8">
        <v>1639850</v>
      </c>
      <c r="G31" s="8">
        <v>10835264.199999999</v>
      </c>
      <c r="H31" s="8">
        <v>7510740</v>
      </c>
      <c r="I31" s="8">
        <v>7929780</v>
      </c>
      <c r="J31" s="8">
        <v>4260680</v>
      </c>
      <c r="K31" s="8">
        <v>7730250</v>
      </c>
      <c r="L31" s="8">
        <v>6348440</v>
      </c>
      <c r="M31" s="8">
        <v>6685925</v>
      </c>
      <c r="N31" s="8">
        <f t="shared" si="0"/>
        <v>54921399.200000003</v>
      </c>
    </row>
    <row r="32" spans="1:14" ht="18" customHeight="1">
      <c r="A32" s="5" t="s">
        <v>93</v>
      </c>
      <c r="B32" s="6" t="s">
        <v>94</v>
      </c>
      <c r="C32" s="6" t="s">
        <v>95</v>
      </c>
      <c r="D32" s="22" t="s">
        <v>96</v>
      </c>
      <c r="E32" s="21">
        <v>1965230</v>
      </c>
      <c r="F32" s="21">
        <v>1624660</v>
      </c>
      <c r="G32" s="21">
        <v>10686405</v>
      </c>
      <c r="H32" s="21">
        <v>7460490</v>
      </c>
      <c r="I32" s="21">
        <v>7872540</v>
      </c>
      <c r="J32" s="21">
        <v>4234550</v>
      </c>
      <c r="K32" s="21">
        <v>7703520</v>
      </c>
      <c r="L32" s="21">
        <v>6300560</v>
      </c>
      <c r="M32" s="21">
        <v>6656315</v>
      </c>
      <c r="N32" s="8">
        <f t="shared" si="0"/>
        <v>54504270</v>
      </c>
    </row>
    <row r="33" spans="1:14" s="19" customFormat="1" ht="18" customHeight="1">
      <c r="A33" s="14" t="s">
        <v>97</v>
      </c>
      <c r="B33" s="24" t="s">
        <v>98</v>
      </c>
      <c r="C33" s="24" t="s">
        <v>95</v>
      </c>
      <c r="D33" s="16" t="s">
        <v>96</v>
      </c>
      <c r="E33" s="25">
        <v>1965230</v>
      </c>
      <c r="F33" s="25">
        <v>1624660</v>
      </c>
      <c r="G33" s="25">
        <v>10686405</v>
      </c>
      <c r="H33" s="25">
        <v>7460490</v>
      </c>
      <c r="I33" s="25">
        <v>7872540</v>
      </c>
      <c r="J33" s="25">
        <v>4234550</v>
      </c>
      <c r="K33" s="25">
        <v>7703520</v>
      </c>
      <c r="L33" s="25">
        <v>6300560</v>
      </c>
      <c r="M33" s="25">
        <v>6656315</v>
      </c>
      <c r="N33" s="18">
        <f t="shared" si="0"/>
        <v>54504270</v>
      </c>
    </row>
    <row r="34" spans="1:14" ht="18" customHeight="1">
      <c r="A34" s="5" t="s">
        <v>99</v>
      </c>
      <c r="B34" s="6" t="s">
        <v>100</v>
      </c>
      <c r="C34" s="6"/>
      <c r="D34" s="7" t="s">
        <v>25</v>
      </c>
      <c r="E34" s="8">
        <v>15240</v>
      </c>
      <c r="F34" s="8">
        <v>15190</v>
      </c>
      <c r="G34" s="8">
        <v>104040</v>
      </c>
      <c r="H34" s="8">
        <v>50250</v>
      </c>
      <c r="I34" s="8">
        <v>57240</v>
      </c>
      <c r="J34" s="8">
        <v>26130</v>
      </c>
      <c r="K34" s="8">
        <v>26730</v>
      </c>
      <c r="L34" s="8">
        <v>47880</v>
      </c>
      <c r="M34" s="8">
        <v>29610</v>
      </c>
      <c r="N34" s="8">
        <f t="shared" si="0"/>
        <v>372310</v>
      </c>
    </row>
    <row r="35" spans="1:14" ht="18" customHeight="1">
      <c r="A35" s="5" t="s">
        <v>101</v>
      </c>
      <c r="B35" s="6" t="s">
        <v>102</v>
      </c>
      <c r="C35" s="6" t="s">
        <v>31</v>
      </c>
      <c r="D35" s="7" t="s">
        <v>32</v>
      </c>
      <c r="E35" s="10">
        <v>15240</v>
      </c>
      <c r="F35" s="10">
        <v>15190</v>
      </c>
      <c r="G35" s="10">
        <v>104040</v>
      </c>
      <c r="H35" s="10">
        <v>50250</v>
      </c>
      <c r="I35" s="10">
        <v>57240</v>
      </c>
      <c r="J35" s="10">
        <v>26130</v>
      </c>
      <c r="K35" s="10">
        <v>26730</v>
      </c>
      <c r="L35" s="10">
        <v>47880</v>
      </c>
      <c r="M35" s="10">
        <v>29610</v>
      </c>
      <c r="N35" s="8">
        <f t="shared" si="0"/>
        <v>372310</v>
      </c>
    </row>
    <row r="36" spans="1:14" ht="18" customHeight="1">
      <c r="A36" s="5" t="s">
        <v>103</v>
      </c>
      <c r="B36" s="6" t="s">
        <v>104</v>
      </c>
      <c r="C36" s="6"/>
      <c r="D36" s="7" t="s">
        <v>25</v>
      </c>
      <c r="E36" s="8">
        <v>0</v>
      </c>
      <c r="F36" s="8">
        <v>0</v>
      </c>
      <c r="G36" s="8">
        <v>44819.199999999997</v>
      </c>
      <c r="H36" s="8">
        <v>0</v>
      </c>
      <c r="I36" s="8">
        <v>0</v>
      </c>
      <c r="J36" s="8">
        <v>0</v>
      </c>
      <c r="K36" s="8">
        <v>0</v>
      </c>
      <c r="L36" s="8">
        <v>0</v>
      </c>
      <c r="M36" s="8">
        <v>0</v>
      </c>
      <c r="N36" s="8">
        <f t="shared" si="0"/>
        <v>44819.199999999997</v>
      </c>
    </row>
    <row r="37" spans="1:14" ht="18" customHeight="1">
      <c r="A37" s="5" t="s">
        <v>105</v>
      </c>
      <c r="B37" s="6" t="s">
        <v>106</v>
      </c>
      <c r="C37" s="6" t="s">
        <v>31</v>
      </c>
      <c r="D37" s="22" t="s">
        <v>107</v>
      </c>
      <c r="E37" s="23">
        <v>0</v>
      </c>
      <c r="F37" s="23">
        <v>0</v>
      </c>
      <c r="G37" s="23">
        <v>44819.199999999997</v>
      </c>
      <c r="H37" s="23">
        <v>0</v>
      </c>
      <c r="I37" s="23">
        <v>0</v>
      </c>
      <c r="J37" s="23">
        <v>0</v>
      </c>
      <c r="K37" s="23">
        <v>0</v>
      </c>
      <c r="L37" s="23">
        <v>0</v>
      </c>
      <c r="M37" s="23">
        <v>0</v>
      </c>
      <c r="N37" s="8">
        <f t="shared" si="0"/>
        <v>44819.199999999997</v>
      </c>
    </row>
    <row r="38" spans="1:14" ht="18" customHeight="1">
      <c r="A38" s="5" t="s">
        <v>108</v>
      </c>
      <c r="B38" s="6" t="s">
        <v>109</v>
      </c>
      <c r="C38" s="6"/>
      <c r="D38" s="7" t="s">
        <v>25</v>
      </c>
      <c r="E38" s="8">
        <v>15200100.08</v>
      </c>
      <c r="F38" s="8">
        <v>12794395.209999999</v>
      </c>
      <c r="G38" s="8">
        <v>109862926.75</v>
      </c>
      <c r="H38" s="8">
        <v>71710592.080000013</v>
      </c>
      <c r="I38" s="8">
        <v>55424266.969999991</v>
      </c>
      <c r="J38" s="8">
        <v>42928561.700000003</v>
      </c>
      <c r="K38" s="8">
        <v>35547645.259999998</v>
      </c>
      <c r="L38" s="8">
        <v>64224315.029999994</v>
      </c>
      <c r="M38" s="8">
        <v>32175926.800000001</v>
      </c>
      <c r="N38" s="8">
        <f t="shared" si="0"/>
        <v>439868729.88</v>
      </c>
    </row>
    <row r="39" spans="1:14" ht="18" customHeight="1">
      <c r="A39" s="5" t="s">
        <v>110</v>
      </c>
      <c r="B39" s="6" t="s">
        <v>111</v>
      </c>
      <c r="C39" s="6"/>
      <c r="D39" s="7" t="s">
        <v>112</v>
      </c>
      <c r="E39" s="10">
        <v>10894560</v>
      </c>
      <c r="F39" s="10">
        <v>9184380</v>
      </c>
      <c r="G39" s="10">
        <v>85168920</v>
      </c>
      <c r="H39" s="10">
        <v>53546190</v>
      </c>
      <c r="I39" s="10">
        <v>40506780</v>
      </c>
      <c r="J39" s="10">
        <v>31726600</v>
      </c>
      <c r="K39" s="10">
        <v>25901340</v>
      </c>
      <c r="L39" s="10">
        <v>48154160</v>
      </c>
      <c r="M39" s="10">
        <v>22887230</v>
      </c>
      <c r="N39" s="8">
        <f t="shared" si="0"/>
        <v>327970160</v>
      </c>
    </row>
    <row r="40" spans="1:14" s="19" customFormat="1" ht="18" customHeight="1">
      <c r="A40" s="14" t="s">
        <v>113</v>
      </c>
      <c r="B40" s="24" t="s">
        <v>114</v>
      </c>
      <c r="C40" s="24" t="s">
        <v>115</v>
      </c>
      <c r="D40" s="27" t="s">
        <v>116</v>
      </c>
      <c r="E40" s="25">
        <v>491707</v>
      </c>
      <c r="F40" s="25">
        <v>425757</v>
      </c>
      <c r="G40" s="25">
        <v>4177079</v>
      </c>
      <c r="H40" s="25">
        <v>2587967.5</v>
      </c>
      <c r="I40" s="25">
        <v>1821232.5</v>
      </c>
      <c r="J40" s="25">
        <v>1567168</v>
      </c>
      <c r="K40" s="25">
        <v>1261033</v>
      </c>
      <c r="L40" s="25">
        <v>2331203</v>
      </c>
      <c r="M40" s="25">
        <v>1080874.5</v>
      </c>
      <c r="N40" s="18">
        <f t="shared" si="0"/>
        <v>15744021.5</v>
      </c>
    </row>
    <row r="41" spans="1:14" ht="18" customHeight="1">
      <c r="A41" s="5" t="s">
        <v>117</v>
      </c>
      <c r="B41" s="6" t="s">
        <v>118</v>
      </c>
      <c r="C41" s="6"/>
      <c r="D41" s="7"/>
      <c r="E41" s="8">
        <v>106400</v>
      </c>
      <c r="F41" s="8">
        <v>84800</v>
      </c>
      <c r="G41" s="8">
        <v>700800</v>
      </c>
      <c r="H41" s="8">
        <v>424400</v>
      </c>
      <c r="I41" s="8">
        <v>372800</v>
      </c>
      <c r="J41" s="8">
        <v>288000</v>
      </c>
      <c r="K41" s="8">
        <v>232800</v>
      </c>
      <c r="L41" s="8">
        <v>427200</v>
      </c>
      <c r="M41" s="8">
        <v>227600</v>
      </c>
      <c r="N41" s="8">
        <f t="shared" si="0"/>
        <v>2864800</v>
      </c>
    </row>
    <row r="42" spans="1:14" s="13" customFormat="1" ht="18" customHeight="1">
      <c r="A42" s="5" t="s">
        <v>119</v>
      </c>
      <c r="B42" s="12" t="s">
        <v>120</v>
      </c>
      <c r="C42" s="12" t="s">
        <v>31</v>
      </c>
      <c r="D42" s="28" t="s">
        <v>121</v>
      </c>
      <c r="E42" s="8">
        <v>106400</v>
      </c>
      <c r="F42" s="8">
        <v>84800</v>
      </c>
      <c r="G42" s="8">
        <v>700800</v>
      </c>
      <c r="H42" s="8">
        <v>424400</v>
      </c>
      <c r="I42" s="8">
        <v>372800</v>
      </c>
      <c r="J42" s="8">
        <v>288000</v>
      </c>
      <c r="K42" s="8">
        <v>232800</v>
      </c>
      <c r="L42" s="8">
        <v>427200</v>
      </c>
      <c r="M42" s="8">
        <v>227600</v>
      </c>
      <c r="N42" s="8">
        <f t="shared" si="0"/>
        <v>2864800</v>
      </c>
    </row>
    <row r="43" spans="1:14" ht="18" customHeight="1">
      <c r="A43" s="5" t="s">
        <v>122</v>
      </c>
      <c r="B43" s="6" t="s">
        <v>123</v>
      </c>
      <c r="C43" s="6"/>
      <c r="D43" s="7" t="s">
        <v>25</v>
      </c>
      <c r="E43" s="8">
        <v>845884.65</v>
      </c>
      <c r="F43" s="8">
        <v>787156.2</v>
      </c>
      <c r="G43" s="8">
        <v>3720506.3999999994</v>
      </c>
      <c r="H43" s="8">
        <v>4203953.25</v>
      </c>
      <c r="I43" s="8">
        <v>2736853.3499999996</v>
      </c>
      <c r="J43" s="8">
        <v>2185488</v>
      </c>
      <c r="K43" s="8">
        <v>1368249.5999999999</v>
      </c>
      <c r="L43" s="8">
        <v>3163942.05</v>
      </c>
      <c r="M43" s="8">
        <v>1499860.8</v>
      </c>
      <c r="N43" s="8">
        <f t="shared" si="0"/>
        <v>20511894.300000001</v>
      </c>
    </row>
    <row r="44" spans="1:14" s="13" customFormat="1" ht="18" customHeight="1">
      <c r="A44" s="5" t="s">
        <v>124</v>
      </c>
      <c r="B44" s="12" t="s">
        <v>125</v>
      </c>
      <c r="C44" s="12" t="s">
        <v>31</v>
      </c>
      <c r="D44" s="28" t="s">
        <v>126</v>
      </c>
      <c r="E44" s="8">
        <v>845884.65</v>
      </c>
      <c r="F44" s="8">
        <v>787156.2</v>
      </c>
      <c r="G44" s="8">
        <v>3720506.3999999994</v>
      </c>
      <c r="H44" s="8">
        <v>4203953.25</v>
      </c>
      <c r="I44" s="8">
        <v>2736853.3499999996</v>
      </c>
      <c r="J44" s="8">
        <v>2185488</v>
      </c>
      <c r="K44" s="8">
        <v>1368249.5999999999</v>
      </c>
      <c r="L44" s="8">
        <v>3163942.05</v>
      </c>
      <c r="M44" s="8">
        <v>1499860.8</v>
      </c>
      <c r="N44" s="8">
        <f t="shared" si="0"/>
        <v>20511894.300000001</v>
      </c>
    </row>
    <row r="45" spans="1:14" ht="18" customHeight="1">
      <c r="A45" s="5" t="s">
        <v>127</v>
      </c>
      <c r="B45" s="6" t="s">
        <v>128</v>
      </c>
      <c r="C45" s="6"/>
      <c r="D45" s="7" t="s">
        <v>25</v>
      </c>
      <c r="E45" s="8">
        <v>222832</v>
      </c>
      <c r="F45" s="8">
        <v>237688</v>
      </c>
      <c r="G45" s="8">
        <v>937693.20000000007</v>
      </c>
      <c r="H45" s="8">
        <v>1304503.1199999999</v>
      </c>
      <c r="I45" s="8">
        <v>715121.6</v>
      </c>
      <c r="J45" s="8">
        <v>634370.4</v>
      </c>
      <c r="K45" s="8">
        <v>535588.80000000005</v>
      </c>
      <c r="L45" s="8">
        <v>1032584</v>
      </c>
      <c r="M45" s="8">
        <v>331776</v>
      </c>
      <c r="N45" s="8">
        <f t="shared" si="0"/>
        <v>5952157.1200000001</v>
      </c>
    </row>
    <row r="46" spans="1:14" s="13" customFormat="1" ht="18" customHeight="1">
      <c r="A46" s="5" t="s">
        <v>129</v>
      </c>
      <c r="B46" s="12" t="s">
        <v>130</v>
      </c>
      <c r="C46" s="12" t="s">
        <v>31</v>
      </c>
      <c r="D46" s="28" t="s">
        <v>131</v>
      </c>
      <c r="E46" s="8">
        <v>222832</v>
      </c>
      <c r="F46" s="8">
        <v>237688</v>
      </c>
      <c r="G46" s="8">
        <v>937693.20000000007</v>
      </c>
      <c r="H46" s="8">
        <v>1304503.1199999999</v>
      </c>
      <c r="I46" s="8">
        <v>715121.6</v>
      </c>
      <c r="J46" s="8">
        <v>634370.4</v>
      </c>
      <c r="K46" s="8">
        <v>535588.80000000005</v>
      </c>
      <c r="L46" s="8">
        <v>1032584</v>
      </c>
      <c r="M46" s="8">
        <v>331776</v>
      </c>
      <c r="N46" s="8">
        <f t="shared" si="0"/>
        <v>5952157.1200000001</v>
      </c>
    </row>
    <row r="47" spans="1:14" ht="18" customHeight="1">
      <c r="A47" s="5" t="s">
        <v>132</v>
      </c>
      <c r="B47" s="6" t="s">
        <v>133</v>
      </c>
      <c r="C47" s="6"/>
      <c r="D47" s="7" t="s">
        <v>25</v>
      </c>
      <c r="E47" s="8">
        <v>1602720</v>
      </c>
      <c r="F47" s="8">
        <v>1291680</v>
      </c>
      <c r="G47" s="8">
        <v>10005120</v>
      </c>
      <c r="H47" s="8">
        <v>6307200</v>
      </c>
      <c r="I47" s="8">
        <v>5793120</v>
      </c>
      <c r="J47" s="8">
        <v>4099680</v>
      </c>
      <c r="K47" s="8">
        <v>4276800</v>
      </c>
      <c r="L47" s="8">
        <v>6056640</v>
      </c>
      <c r="M47" s="8">
        <v>3974400</v>
      </c>
      <c r="N47" s="8">
        <f t="shared" si="0"/>
        <v>43407360</v>
      </c>
    </row>
    <row r="48" spans="1:14" s="13" customFormat="1" ht="18" customHeight="1">
      <c r="A48" s="5" t="s">
        <v>134</v>
      </c>
      <c r="B48" s="12" t="s">
        <v>135</v>
      </c>
      <c r="C48" s="12" t="s">
        <v>31</v>
      </c>
      <c r="D48" s="28" t="s">
        <v>136</v>
      </c>
      <c r="E48" s="8">
        <v>1149120</v>
      </c>
      <c r="F48" s="8">
        <v>915840</v>
      </c>
      <c r="G48" s="8">
        <v>7568640</v>
      </c>
      <c r="H48" s="8">
        <v>4583520</v>
      </c>
      <c r="I48" s="8">
        <v>4026240</v>
      </c>
      <c r="J48" s="8">
        <v>3110400</v>
      </c>
      <c r="K48" s="8">
        <v>2514240</v>
      </c>
      <c r="L48" s="8">
        <v>4613760</v>
      </c>
      <c r="M48" s="8">
        <v>2458080</v>
      </c>
      <c r="N48" s="8">
        <f t="shared" si="0"/>
        <v>30939840</v>
      </c>
    </row>
    <row r="49" spans="1:14" s="13" customFormat="1" ht="18" customHeight="1">
      <c r="A49" s="5" t="s">
        <v>137</v>
      </c>
      <c r="B49" s="12" t="s">
        <v>138</v>
      </c>
      <c r="C49" s="12" t="s">
        <v>31</v>
      </c>
      <c r="D49" s="28" t="s">
        <v>139</v>
      </c>
      <c r="E49" s="8">
        <v>453600</v>
      </c>
      <c r="F49" s="8">
        <v>375840</v>
      </c>
      <c r="G49" s="8">
        <v>2436480</v>
      </c>
      <c r="H49" s="8">
        <v>1723680</v>
      </c>
      <c r="I49" s="8">
        <v>1766880</v>
      </c>
      <c r="J49" s="8">
        <v>989280</v>
      </c>
      <c r="K49" s="8">
        <v>1762560</v>
      </c>
      <c r="L49" s="8">
        <v>1442880</v>
      </c>
      <c r="M49" s="8">
        <v>1516320</v>
      </c>
      <c r="N49" s="8">
        <f t="shared" si="0"/>
        <v>12467520</v>
      </c>
    </row>
    <row r="50" spans="1:14" ht="18" customHeight="1">
      <c r="A50" s="5" t="s">
        <v>140</v>
      </c>
      <c r="B50" s="6" t="s">
        <v>141</v>
      </c>
      <c r="C50" s="6"/>
      <c r="D50" s="7" t="s">
        <v>25</v>
      </c>
      <c r="E50" s="8">
        <v>1303803.4300000002</v>
      </c>
      <c r="F50" s="8">
        <v>974391.01000000013</v>
      </c>
      <c r="G50" s="8">
        <v>8328137.1500000004</v>
      </c>
      <c r="H50" s="8">
        <v>5026745.71</v>
      </c>
      <c r="I50" s="8">
        <v>4466592.0200000005</v>
      </c>
      <c r="J50" s="8">
        <v>3448498.3</v>
      </c>
      <c r="K50" s="8">
        <v>2754366.86</v>
      </c>
      <c r="L50" s="8">
        <v>4693413.9799999995</v>
      </c>
      <c r="M50" s="8">
        <v>2784260</v>
      </c>
      <c r="N50" s="8">
        <f t="shared" si="0"/>
        <v>33780208.460000001</v>
      </c>
    </row>
    <row r="51" spans="1:14" s="13" customFormat="1" ht="18" customHeight="1">
      <c r="A51" s="5" t="s">
        <v>142</v>
      </c>
      <c r="B51" s="12" t="s">
        <v>143</v>
      </c>
      <c r="C51" s="12" t="s">
        <v>31</v>
      </c>
      <c r="D51" s="9" t="s">
        <v>48</v>
      </c>
      <c r="E51" s="8">
        <v>1303803.4300000002</v>
      </c>
      <c r="F51" s="8">
        <v>974391.01000000013</v>
      </c>
      <c r="G51" s="8">
        <v>8328137.1500000004</v>
      </c>
      <c r="H51" s="8">
        <v>5026745.71</v>
      </c>
      <c r="I51" s="8">
        <v>4466592.0200000005</v>
      </c>
      <c r="J51" s="8">
        <v>3448498.3</v>
      </c>
      <c r="K51" s="8">
        <v>2754366.86</v>
      </c>
      <c r="L51" s="8">
        <v>4693413.9799999995</v>
      </c>
      <c r="M51" s="8">
        <v>2784260</v>
      </c>
      <c r="N51" s="8">
        <f t="shared" si="0"/>
        <v>33780208.460000001</v>
      </c>
    </row>
    <row r="52" spans="1:14" ht="18" customHeight="1">
      <c r="A52" s="5" t="s">
        <v>144</v>
      </c>
      <c r="B52" s="6" t="s">
        <v>145</v>
      </c>
      <c r="C52" s="6"/>
      <c r="D52" s="7" t="s">
        <v>25</v>
      </c>
      <c r="E52" s="8">
        <v>64000</v>
      </c>
      <c r="F52" s="8">
        <v>32000</v>
      </c>
      <c r="G52" s="8">
        <v>320000</v>
      </c>
      <c r="H52" s="8">
        <v>224000</v>
      </c>
      <c r="I52" s="8">
        <v>320000</v>
      </c>
      <c r="J52" s="8">
        <v>64000</v>
      </c>
      <c r="K52" s="8">
        <v>128000</v>
      </c>
      <c r="L52" s="8">
        <v>320000</v>
      </c>
      <c r="M52" s="8">
        <v>224000</v>
      </c>
      <c r="N52" s="8">
        <f t="shared" si="0"/>
        <v>1696000</v>
      </c>
    </row>
    <row r="53" spans="1:14" ht="18" customHeight="1">
      <c r="A53" s="5" t="s">
        <v>146</v>
      </c>
      <c r="B53" s="6" t="s">
        <v>147</v>
      </c>
      <c r="C53" s="6" t="s">
        <v>31</v>
      </c>
      <c r="D53" s="29" t="s">
        <v>148</v>
      </c>
      <c r="E53" s="10">
        <v>64000</v>
      </c>
      <c r="F53" s="10">
        <v>32000</v>
      </c>
      <c r="G53" s="10">
        <v>320000</v>
      </c>
      <c r="H53" s="10">
        <v>224000</v>
      </c>
      <c r="I53" s="10">
        <v>320000</v>
      </c>
      <c r="J53" s="10">
        <v>64000</v>
      </c>
      <c r="K53" s="10">
        <v>128000</v>
      </c>
      <c r="L53" s="10">
        <v>320000</v>
      </c>
      <c r="M53" s="10">
        <v>224000</v>
      </c>
      <c r="N53" s="8">
        <f t="shared" si="0"/>
        <v>1696000</v>
      </c>
    </row>
    <row r="54" spans="1:14" ht="18" customHeight="1">
      <c r="A54" s="5" t="s">
        <v>149</v>
      </c>
      <c r="B54" s="6" t="s">
        <v>150</v>
      </c>
      <c r="C54" s="6"/>
      <c r="D54" s="7" t="s">
        <v>25</v>
      </c>
      <c r="E54" s="8">
        <v>53900</v>
      </c>
      <c r="F54" s="8">
        <v>42300</v>
      </c>
      <c r="G54" s="8">
        <v>301750</v>
      </c>
      <c r="H54" s="8">
        <v>269600</v>
      </c>
      <c r="I54" s="8">
        <v>232000</v>
      </c>
      <c r="J54" s="8">
        <v>129925</v>
      </c>
      <c r="K54" s="8">
        <v>190500</v>
      </c>
      <c r="L54" s="8">
        <v>184375</v>
      </c>
      <c r="M54" s="8">
        <v>172800</v>
      </c>
      <c r="N54" s="8">
        <f t="shared" si="0"/>
        <v>1577150</v>
      </c>
    </row>
    <row r="55" spans="1:14" ht="18" customHeight="1">
      <c r="A55" s="5" t="s">
        <v>151</v>
      </c>
      <c r="B55" s="6" t="s">
        <v>152</v>
      </c>
      <c r="C55" s="6" t="s">
        <v>31</v>
      </c>
      <c r="D55" s="7" t="s">
        <v>25</v>
      </c>
      <c r="E55" s="8">
        <v>42000</v>
      </c>
      <c r="F55" s="8">
        <v>34800</v>
      </c>
      <c r="G55" s="8">
        <v>225600</v>
      </c>
      <c r="H55" s="8">
        <v>159600</v>
      </c>
      <c r="I55" s="8">
        <v>163600</v>
      </c>
      <c r="J55" s="8">
        <v>91600</v>
      </c>
      <c r="K55" s="8">
        <v>163200</v>
      </c>
      <c r="L55" s="8">
        <v>133600</v>
      </c>
      <c r="M55" s="8">
        <v>140400</v>
      </c>
      <c r="N55" s="8">
        <f t="shared" si="0"/>
        <v>1154400</v>
      </c>
    </row>
    <row r="56" spans="1:14" s="13" customFormat="1" ht="18" customHeight="1">
      <c r="A56" s="5" t="s">
        <v>153</v>
      </c>
      <c r="B56" s="12" t="s">
        <v>154</v>
      </c>
      <c r="C56" s="12" t="s">
        <v>31</v>
      </c>
      <c r="D56" s="28" t="s">
        <v>155</v>
      </c>
      <c r="E56" s="8">
        <v>42000</v>
      </c>
      <c r="F56" s="8">
        <v>34800</v>
      </c>
      <c r="G56" s="8">
        <v>225600</v>
      </c>
      <c r="H56" s="8">
        <v>159600</v>
      </c>
      <c r="I56" s="8">
        <v>163600</v>
      </c>
      <c r="J56" s="8">
        <v>91600</v>
      </c>
      <c r="K56" s="8">
        <v>163200</v>
      </c>
      <c r="L56" s="8">
        <v>133600</v>
      </c>
      <c r="M56" s="8">
        <v>140400</v>
      </c>
      <c r="N56" s="8">
        <f t="shared" si="0"/>
        <v>1154400</v>
      </c>
    </row>
    <row r="57" spans="1:14" ht="18" customHeight="1">
      <c r="A57" s="5" t="s">
        <v>156</v>
      </c>
      <c r="B57" s="6" t="s">
        <v>157</v>
      </c>
      <c r="C57" s="6" t="s">
        <v>31</v>
      </c>
      <c r="D57" s="29" t="s">
        <v>158</v>
      </c>
      <c r="E57" s="30">
        <v>11900</v>
      </c>
      <c r="F57" s="30">
        <v>7500</v>
      </c>
      <c r="G57" s="30">
        <v>76150</v>
      </c>
      <c r="H57" s="30">
        <v>110000</v>
      </c>
      <c r="I57" s="30">
        <v>68400</v>
      </c>
      <c r="J57" s="30">
        <v>38325</v>
      </c>
      <c r="K57" s="30">
        <v>27300</v>
      </c>
      <c r="L57" s="30">
        <v>50775</v>
      </c>
      <c r="M57" s="30">
        <v>32400</v>
      </c>
      <c r="N57" s="8">
        <f t="shared" si="0"/>
        <v>422750</v>
      </c>
    </row>
    <row r="58" spans="1:14" ht="18" customHeight="1">
      <c r="A58" s="5" t="s">
        <v>159</v>
      </c>
      <c r="B58" s="6" t="s">
        <v>160</v>
      </c>
      <c r="C58" s="6"/>
      <c r="D58" s="7" t="s">
        <v>25</v>
      </c>
      <c r="E58" s="8">
        <v>106000</v>
      </c>
      <c r="F58" s="8">
        <v>160000</v>
      </c>
      <c r="G58" s="8">
        <v>380000</v>
      </c>
      <c r="H58" s="8">
        <v>404000</v>
      </c>
      <c r="I58" s="8">
        <v>281000</v>
      </c>
      <c r="J58" s="8">
        <v>352000</v>
      </c>
      <c r="K58" s="8">
        <v>160000</v>
      </c>
      <c r="L58" s="8">
        <v>192000</v>
      </c>
      <c r="M58" s="8">
        <v>74000</v>
      </c>
      <c r="N58" s="8">
        <f t="shared" si="0"/>
        <v>2109000</v>
      </c>
    </row>
    <row r="59" spans="1:14" ht="18" customHeight="1" thickBot="1">
      <c r="A59" s="5" t="s">
        <v>161</v>
      </c>
      <c r="B59" s="31" t="s">
        <v>162</v>
      </c>
      <c r="C59" s="6" t="s">
        <v>31</v>
      </c>
      <c r="D59" s="32" t="s">
        <v>163</v>
      </c>
      <c r="E59" s="33">
        <v>106000</v>
      </c>
      <c r="F59" s="34">
        <v>160000</v>
      </c>
      <c r="G59" s="33">
        <v>380000</v>
      </c>
      <c r="H59" s="33">
        <v>404000</v>
      </c>
      <c r="I59" s="33">
        <v>281000</v>
      </c>
      <c r="J59" s="33">
        <v>352000</v>
      </c>
      <c r="K59" s="33">
        <v>160000</v>
      </c>
      <c r="L59" s="33">
        <v>192000</v>
      </c>
      <c r="M59" s="33">
        <v>74000</v>
      </c>
      <c r="N59" s="8">
        <f t="shared" si="0"/>
        <v>2109000</v>
      </c>
    </row>
    <row r="60" spans="1:14" ht="18" customHeight="1" thickTop="1">
      <c r="A60" s="5" t="s">
        <v>164</v>
      </c>
      <c r="B60" s="36" t="s">
        <v>165</v>
      </c>
      <c r="C60" s="36"/>
      <c r="D60" s="37"/>
      <c r="E60" s="38">
        <v>0</v>
      </c>
      <c r="F60" s="38">
        <v>0</v>
      </c>
      <c r="G60" s="38">
        <v>0</v>
      </c>
      <c r="H60" s="38">
        <v>0</v>
      </c>
      <c r="I60" s="38">
        <v>0</v>
      </c>
      <c r="J60" s="38">
        <v>0</v>
      </c>
      <c r="K60" s="38">
        <v>0</v>
      </c>
      <c r="L60" s="38">
        <v>0</v>
      </c>
      <c r="M60" s="38">
        <v>0</v>
      </c>
      <c r="N60" s="8">
        <f t="shared" si="0"/>
        <v>0</v>
      </c>
    </row>
    <row r="61" spans="1:14" ht="18" customHeight="1">
      <c r="A61" s="5" t="s">
        <v>166</v>
      </c>
      <c r="B61" s="6" t="s">
        <v>167</v>
      </c>
      <c r="C61" s="6"/>
      <c r="D61" s="7" t="s">
        <v>168</v>
      </c>
      <c r="E61" s="8">
        <v>266</v>
      </c>
      <c r="F61" s="8">
        <v>212</v>
      </c>
      <c r="G61" s="8">
        <v>1752</v>
      </c>
      <c r="H61" s="8">
        <v>1061</v>
      </c>
      <c r="I61" s="8">
        <v>932</v>
      </c>
      <c r="J61" s="8">
        <v>720</v>
      </c>
      <c r="K61" s="8">
        <v>582</v>
      </c>
      <c r="L61" s="8">
        <v>1068</v>
      </c>
      <c r="M61" s="8">
        <v>569</v>
      </c>
      <c r="N61" s="8">
        <f t="shared" si="0"/>
        <v>7162</v>
      </c>
    </row>
    <row r="62" spans="1:14" ht="18" customHeight="1">
      <c r="A62" s="5" t="s">
        <v>169</v>
      </c>
      <c r="B62" s="40" t="s">
        <v>170</v>
      </c>
      <c r="C62" s="40"/>
      <c r="D62" s="22"/>
      <c r="E62" s="23">
        <v>55</v>
      </c>
      <c r="F62" s="23">
        <v>0</v>
      </c>
      <c r="G62" s="23">
        <v>597</v>
      </c>
      <c r="H62" s="23">
        <v>315</v>
      </c>
      <c r="I62" s="23">
        <v>278</v>
      </c>
      <c r="J62" s="23">
        <v>193</v>
      </c>
      <c r="K62" s="23">
        <v>200</v>
      </c>
      <c r="L62" s="23">
        <v>332</v>
      </c>
      <c r="M62" s="23">
        <v>179</v>
      </c>
      <c r="N62" s="8">
        <f t="shared" si="0"/>
        <v>2149</v>
      </c>
    </row>
    <row r="63" spans="1:14" ht="18" customHeight="1">
      <c r="A63" s="5" t="s">
        <v>171</v>
      </c>
      <c r="B63" s="40" t="s">
        <v>172</v>
      </c>
      <c r="C63" s="40"/>
      <c r="D63" s="7"/>
      <c r="E63" s="10">
        <v>64</v>
      </c>
      <c r="F63" s="10">
        <v>109</v>
      </c>
      <c r="G63" s="10">
        <v>758</v>
      </c>
      <c r="H63" s="10">
        <v>425</v>
      </c>
      <c r="I63" s="10">
        <v>327</v>
      </c>
      <c r="J63" s="10">
        <v>320</v>
      </c>
      <c r="K63" s="10">
        <v>207</v>
      </c>
      <c r="L63" s="10">
        <v>495</v>
      </c>
      <c r="M63" s="10">
        <v>205</v>
      </c>
      <c r="N63" s="8">
        <f t="shared" si="0"/>
        <v>2910</v>
      </c>
    </row>
    <row r="64" spans="1:14" ht="18" customHeight="1">
      <c r="A64" s="5" t="s">
        <v>173</v>
      </c>
      <c r="B64" s="40" t="s">
        <v>174</v>
      </c>
      <c r="C64" s="40"/>
      <c r="D64" s="22"/>
      <c r="E64" s="23">
        <v>141</v>
      </c>
      <c r="F64" s="23">
        <v>98</v>
      </c>
      <c r="G64" s="23">
        <v>390</v>
      </c>
      <c r="H64" s="23">
        <v>315</v>
      </c>
      <c r="I64" s="23">
        <v>323</v>
      </c>
      <c r="J64" s="23">
        <v>199</v>
      </c>
      <c r="K64" s="23">
        <v>168</v>
      </c>
      <c r="L64" s="23">
        <v>236</v>
      </c>
      <c r="M64" s="23">
        <v>184</v>
      </c>
      <c r="N64" s="8">
        <f t="shared" si="0"/>
        <v>2054</v>
      </c>
    </row>
    <row r="65" spans="1:14" ht="18" customHeight="1">
      <c r="A65" s="5" t="s">
        <v>175</v>
      </c>
      <c r="B65" s="40" t="s">
        <v>176</v>
      </c>
      <c r="C65" s="40"/>
      <c r="D65" s="22"/>
      <c r="E65" s="23">
        <v>6</v>
      </c>
      <c r="F65" s="23">
        <v>5</v>
      </c>
      <c r="G65" s="23">
        <v>7</v>
      </c>
      <c r="H65" s="23">
        <v>6</v>
      </c>
      <c r="I65" s="23">
        <v>4</v>
      </c>
      <c r="J65" s="23">
        <v>8</v>
      </c>
      <c r="K65" s="23">
        <v>7</v>
      </c>
      <c r="L65" s="23">
        <v>5</v>
      </c>
      <c r="M65" s="23">
        <v>1</v>
      </c>
      <c r="N65" s="8">
        <f t="shared" si="0"/>
        <v>49</v>
      </c>
    </row>
    <row r="66" spans="1:14" ht="18" customHeight="1">
      <c r="A66" s="5" t="s">
        <v>177</v>
      </c>
      <c r="B66" s="6" t="s">
        <v>178</v>
      </c>
      <c r="C66" s="6"/>
      <c r="D66" s="7" t="s">
        <v>179</v>
      </c>
      <c r="E66" s="8">
        <v>2975</v>
      </c>
      <c r="F66" s="8">
        <v>2700</v>
      </c>
      <c r="G66" s="8">
        <v>24570</v>
      </c>
      <c r="H66" s="8">
        <v>15583</v>
      </c>
      <c r="I66" s="8">
        <v>10968</v>
      </c>
      <c r="J66" s="8">
        <v>9458</v>
      </c>
      <c r="K66" s="8">
        <v>7414</v>
      </c>
      <c r="L66" s="8">
        <v>13844</v>
      </c>
      <c r="M66" s="8">
        <v>6414</v>
      </c>
      <c r="N66" s="8">
        <f t="shared" si="0"/>
        <v>93926</v>
      </c>
    </row>
    <row r="67" spans="1:14" ht="18" customHeight="1">
      <c r="A67" s="5" t="s">
        <v>180</v>
      </c>
      <c r="B67" s="40" t="s">
        <v>170</v>
      </c>
      <c r="C67" s="40"/>
      <c r="D67" s="22"/>
      <c r="E67" s="23">
        <v>731</v>
      </c>
      <c r="F67" s="23">
        <v>0</v>
      </c>
      <c r="G67" s="23">
        <v>8236</v>
      </c>
      <c r="H67" s="23">
        <v>4172</v>
      </c>
      <c r="I67" s="23">
        <v>3377</v>
      </c>
      <c r="J67" s="23">
        <v>2514</v>
      </c>
      <c r="K67" s="23">
        <v>2515</v>
      </c>
      <c r="L67" s="23">
        <v>4134</v>
      </c>
      <c r="M67" s="23">
        <v>1931</v>
      </c>
      <c r="N67" s="8">
        <f t="shared" ref="N67:N73" si="1">SUM(E67:M67)</f>
        <v>27610</v>
      </c>
    </row>
    <row r="68" spans="1:14" ht="18" customHeight="1">
      <c r="A68" s="5" t="s">
        <v>181</v>
      </c>
      <c r="B68" s="40" t="s">
        <v>172</v>
      </c>
      <c r="C68" s="40"/>
      <c r="D68" s="7"/>
      <c r="E68" s="10">
        <v>824</v>
      </c>
      <c r="F68" s="10">
        <v>1622</v>
      </c>
      <c r="G68" s="10">
        <v>12318</v>
      </c>
      <c r="H68" s="10">
        <v>6996</v>
      </c>
      <c r="I68" s="10">
        <v>4016</v>
      </c>
      <c r="J68" s="10">
        <v>4394</v>
      </c>
      <c r="K68" s="10">
        <v>3044</v>
      </c>
      <c r="L68" s="10">
        <v>7046</v>
      </c>
      <c r="M68" s="10">
        <v>2926</v>
      </c>
      <c r="N68" s="8">
        <f t="shared" si="1"/>
        <v>43186</v>
      </c>
    </row>
    <row r="69" spans="1:14" ht="18" customHeight="1">
      <c r="A69" s="5" t="s">
        <v>182</v>
      </c>
      <c r="B69" s="40" t="s">
        <v>174</v>
      </c>
      <c r="C69" s="40"/>
      <c r="D69" s="22"/>
      <c r="E69" s="23">
        <v>1420</v>
      </c>
      <c r="F69" s="23">
        <v>1078</v>
      </c>
      <c r="G69" s="23">
        <v>4016</v>
      </c>
      <c r="H69" s="23">
        <v>4415</v>
      </c>
      <c r="I69" s="23">
        <v>3575</v>
      </c>
      <c r="J69" s="23">
        <v>2550</v>
      </c>
      <c r="K69" s="23">
        <v>1855</v>
      </c>
      <c r="L69" s="23">
        <v>2664</v>
      </c>
      <c r="M69" s="23">
        <v>1557</v>
      </c>
      <c r="N69" s="8">
        <f t="shared" si="1"/>
        <v>23130</v>
      </c>
    </row>
    <row r="70" spans="1:14" ht="18" customHeight="1">
      <c r="A70" s="5" t="s">
        <v>183</v>
      </c>
      <c r="B70" s="40" t="s">
        <v>176</v>
      </c>
      <c r="C70" s="40"/>
      <c r="D70" s="22"/>
      <c r="E70" s="23">
        <v>0</v>
      </c>
      <c r="F70" s="23">
        <v>0</v>
      </c>
      <c r="G70" s="23">
        <v>0</v>
      </c>
      <c r="H70" s="23">
        <v>0</v>
      </c>
      <c r="I70" s="23">
        <v>0</v>
      </c>
      <c r="J70" s="23">
        <v>0</v>
      </c>
      <c r="K70" s="23">
        <v>0</v>
      </c>
      <c r="L70" s="23">
        <v>0</v>
      </c>
      <c r="M70" s="23">
        <v>0</v>
      </c>
      <c r="N70" s="8">
        <f t="shared" si="1"/>
        <v>0</v>
      </c>
    </row>
    <row r="71" spans="1:14" ht="18" customHeight="1">
      <c r="A71" s="5" t="s">
        <v>184</v>
      </c>
      <c r="B71" s="6" t="s">
        <v>185</v>
      </c>
      <c r="C71" s="6"/>
      <c r="D71" s="7"/>
      <c r="E71" s="10">
        <v>105</v>
      </c>
      <c r="F71" s="10">
        <v>87</v>
      </c>
      <c r="G71" s="10">
        <v>564</v>
      </c>
      <c r="H71" s="10">
        <v>399</v>
      </c>
      <c r="I71" s="10">
        <v>409</v>
      </c>
      <c r="J71" s="10">
        <v>229</v>
      </c>
      <c r="K71" s="10">
        <v>408</v>
      </c>
      <c r="L71" s="10">
        <v>334</v>
      </c>
      <c r="M71" s="10">
        <v>351</v>
      </c>
      <c r="N71" s="8">
        <f t="shared" si="1"/>
        <v>2886</v>
      </c>
    </row>
    <row r="72" spans="1:14" ht="18" customHeight="1">
      <c r="A72" s="5" t="s">
        <v>186</v>
      </c>
      <c r="B72" s="40" t="s">
        <v>187</v>
      </c>
      <c r="C72" s="40"/>
      <c r="D72" s="29"/>
      <c r="E72" s="10">
        <v>56392.310000000005</v>
      </c>
      <c r="F72" s="10">
        <v>52477.08</v>
      </c>
      <c r="G72" s="10">
        <v>248033.76</v>
      </c>
      <c r="H72" s="10">
        <v>280263.55000000005</v>
      </c>
      <c r="I72" s="10">
        <v>182456.89</v>
      </c>
      <c r="J72" s="10">
        <v>145699.19999999998</v>
      </c>
      <c r="K72" s="10">
        <v>91216.639999999999</v>
      </c>
      <c r="L72" s="10">
        <v>210929.47000000003</v>
      </c>
      <c r="M72" s="10">
        <v>99990.719999999987</v>
      </c>
      <c r="N72" s="8">
        <f t="shared" si="1"/>
        <v>1367459.6199999999</v>
      </c>
    </row>
    <row r="73" spans="1:14" ht="18" customHeight="1">
      <c r="A73" s="5" t="s">
        <v>188</v>
      </c>
      <c r="B73" s="40" t="s">
        <v>189</v>
      </c>
      <c r="C73" s="40"/>
      <c r="D73" s="29"/>
      <c r="E73" s="10">
        <v>27854</v>
      </c>
      <c r="F73" s="10">
        <v>29711</v>
      </c>
      <c r="G73" s="10">
        <v>117211.65000000001</v>
      </c>
      <c r="H73" s="10">
        <v>163062.88999999998</v>
      </c>
      <c r="I73" s="10">
        <v>89390.2</v>
      </c>
      <c r="J73" s="10">
        <v>79296.3</v>
      </c>
      <c r="K73" s="10">
        <v>66948.600000000006</v>
      </c>
      <c r="L73" s="10">
        <v>129073</v>
      </c>
      <c r="M73" s="10">
        <v>41472</v>
      </c>
      <c r="N73" s="8">
        <f t="shared" si="1"/>
        <v>744019.64</v>
      </c>
    </row>
    <row r="74" spans="1:14">
      <c r="N74" s="1">
        <f>N4/N61</f>
        <v>369267.05923764315</v>
      </c>
    </row>
  </sheetData>
  <protectedRanges>
    <protectedRange password="E9C1" sqref="D29 C30 A4:D5 B6:D28 B31:D73 A2:N3 A6:A73 N4:N73" name="区域1_1"/>
    <protectedRange password="E9C1" sqref="B29:C29 B30" name="区域1_1_1"/>
    <protectedRange password="E9C1" sqref="D30" name="区域1_2"/>
  </protectedRanges>
  <mergeCells count="1">
    <mergeCell ref="A1:N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8" orientation="landscape" r:id="rId1"/>
  <headerFooter>
    <oddFooter>第 &amp;P 页，共 &amp;N 页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H123"/>
  <sheetViews>
    <sheetView topLeftCell="A46" workbookViewId="0">
      <selection activeCell="D9" sqref="D9"/>
    </sheetView>
  </sheetViews>
  <sheetFormatPr defaultColWidth="9" defaultRowHeight="12"/>
  <cols>
    <col min="1" max="1" width="9" style="71" customWidth="1"/>
    <col min="2" max="2" width="34" style="66" customWidth="1"/>
    <col min="3" max="3" width="14" style="66" customWidth="1"/>
    <col min="4" max="4" width="13.375" style="66" customWidth="1"/>
    <col min="5" max="5" width="9.875" style="75" customWidth="1"/>
    <col min="6" max="7" width="10" style="66" customWidth="1"/>
    <col min="8" max="8" width="14" style="66" customWidth="1"/>
    <col min="9" max="16384" width="9" style="66"/>
  </cols>
  <sheetData>
    <row r="1" spans="1:8" ht="18.75">
      <c r="A1" s="484" t="s">
        <v>928</v>
      </c>
      <c r="B1" s="484"/>
      <c r="C1" s="484"/>
      <c r="D1" s="484"/>
      <c r="E1" s="484"/>
      <c r="F1" s="484"/>
      <c r="G1" s="484"/>
      <c r="H1" s="484"/>
    </row>
    <row r="2" spans="1:8">
      <c r="A2" s="67" t="s">
        <v>12</v>
      </c>
      <c r="B2" s="67" t="s">
        <v>359</v>
      </c>
      <c r="C2" s="67" t="s">
        <v>360</v>
      </c>
      <c r="D2" s="67" t="s">
        <v>361</v>
      </c>
      <c r="E2" s="72" t="s">
        <v>493</v>
      </c>
      <c r="F2" s="67" t="s">
        <v>362</v>
      </c>
      <c r="G2" s="67" t="s">
        <v>363</v>
      </c>
      <c r="H2" s="67" t="s">
        <v>364</v>
      </c>
    </row>
    <row r="3" spans="1:8">
      <c r="A3" s="67">
        <v>1</v>
      </c>
      <c r="B3" s="68" t="s">
        <v>365</v>
      </c>
      <c r="C3" s="68" t="s">
        <v>366</v>
      </c>
      <c r="D3" s="68" t="s">
        <v>367</v>
      </c>
      <c r="E3" s="73">
        <v>72</v>
      </c>
      <c r="F3" s="68">
        <v>191300</v>
      </c>
      <c r="G3" s="68">
        <v>10000</v>
      </c>
      <c r="H3" s="68">
        <f t="shared" ref="H3:H12" si="0">E3*(F3+G3)</f>
        <v>14493600</v>
      </c>
    </row>
    <row r="4" spans="1:8">
      <c r="A4" s="67">
        <v>2</v>
      </c>
      <c r="B4" s="68" t="s">
        <v>368</v>
      </c>
      <c r="C4" s="68" t="s">
        <v>366</v>
      </c>
      <c r="D4" s="68" t="s">
        <v>367</v>
      </c>
      <c r="E4" s="73">
        <v>57</v>
      </c>
      <c r="F4" s="68">
        <v>191300</v>
      </c>
      <c r="G4" s="68">
        <v>10000</v>
      </c>
      <c r="H4" s="68">
        <f t="shared" si="0"/>
        <v>11474100</v>
      </c>
    </row>
    <row r="5" spans="1:8">
      <c r="A5" s="67">
        <v>3</v>
      </c>
      <c r="B5" s="68" t="s">
        <v>369</v>
      </c>
      <c r="C5" s="68" t="s">
        <v>366</v>
      </c>
      <c r="D5" s="68" t="s">
        <v>370</v>
      </c>
      <c r="E5" s="74">
        <v>106</v>
      </c>
      <c r="F5" s="68">
        <v>191300</v>
      </c>
      <c r="G5" s="68">
        <v>10000</v>
      </c>
      <c r="H5" s="68">
        <f t="shared" si="0"/>
        <v>21337800</v>
      </c>
    </row>
    <row r="6" spans="1:8">
      <c r="A6" s="67">
        <v>4</v>
      </c>
      <c r="B6" s="68" t="s">
        <v>371</v>
      </c>
      <c r="C6" s="68" t="s">
        <v>366</v>
      </c>
      <c r="D6" s="68" t="s">
        <v>372</v>
      </c>
      <c r="E6" s="74">
        <v>80</v>
      </c>
      <c r="F6" s="68">
        <v>191300</v>
      </c>
      <c r="G6" s="68">
        <v>10000</v>
      </c>
      <c r="H6" s="68">
        <f t="shared" si="0"/>
        <v>16104000</v>
      </c>
    </row>
    <row r="7" spans="1:8">
      <c r="A7" s="67">
        <v>5</v>
      </c>
      <c r="B7" s="68" t="s">
        <v>373</v>
      </c>
      <c r="C7" s="68" t="s">
        <v>366</v>
      </c>
      <c r="D7" s="68" t="s">
        <v>372</v>
      </c>
      <c r="E7" s="74">
        <v>69</v>
      </c>
      <c r="F7" s="68">
        <v>191300</v>
      </c>
      <c r="G7" s="68">
        <v>10000</v>
      </c>
      <c r="H7" s="68">
        <f t="shared" si="0"/>
        <v>13889700</v>
      </c>
    </row>
    <row r="8" spans="1:8">
      <c r="A8" s="67">
        <v>6</v>
      </c>
      <c r="B8" s="68" t="s">
        <v>374</v>
      </c>
      <c r="C8" s="68" t="s">
        <v>366</v>
      </c>
      <c r="D8" s="68" t="s">
        <v>375</v>
      </c>
      <c r="E8" s="74">
        <v>54</v>
      </c>
      <c r="F8" s="68">
        <v>174600</v>
      </c>
      <c r="G8" s="68">
        <v>10000</v>
      </c>
      <c r="H8" s="68">
        <f t="shared" si="0"/>
        <v>9968400</v>
      </c>
    </row>
    <row r="9" spans="1:8">
      <c r="A9" s="67">
        <v>7</v>
      </c>
      <c r="B9" s="68" t="s">
        <v>376</v>
      </c>
      <c r="C9" s="68" t="s">
        <v>366</v>
      </c>
      <c r="D9" s="68" t="s">
        <v>375</v>
      </c>
      <c r="E9" s="74">
        <v>48</v>
      </c>
      <c r="F9" s="68">
        <v>174600</v>
      </c>
      <c r="G9" s="68">
        <v>10000</v>
      </c>
      <c r="H9" s="68">
        <f t="shared" si="0"/>
        <v>8860800</v>
      </c>
    </row>
    <row r="10" spans="1:8">
      <c r="A10" s="67">
        <v>8</v>
      </c>
      <c r="B10" s="68" t="s">
        <v>377</v>
      </c>
      <c r="C10" s="68" t="s">
        <v>366</v>
      </c>
      <c r="D10" s="68" t="s">
        <v>375</v>
      </c>
      <c r="E10" s="74">
        <v>37</v>
      </c>
      <c r="F10" s="68">
        <v>174600</v>
      </c>
      <c r="G10" s="68">
        <v>10000</v>
      </c>
      <c r="H10" s="68">
        <f t="shared" si="0"/>
        <v>6830200</v>
      </c>
    </row>
    <row r="11" spans="1:8">
      <c r="A11" s="67">
        <v>9</v>
      </c>
      <c r="B11" s="68" t="s">
        <v>378</v>
      </c>
      <c r="C11" s="68" t="s">
        <v>366</v>
      </c>
      <c r="D11" s="68" t="s">
        <v>375</v>
      </c>
      <c r="E11" s="74">
        <v>45</v>
      </c>
      <c r="F11" s="68">
        <v>174600</v>
      </c>
      <c r="G11" s="68">
        <v>10000</v>
      </c>
      <c r="H11" s="68">
        <f t="shared" si="0"/>
        <v>8307000</v>
      </c>
    </row>
    <row r="12" spans="1:8">
      <c r="A12" s="67">
        <v>10</v>
      </c>
      <c r="B12" s="68" t="s">
        <v>379</v>
      </c>
      <c r="C12" s="68" t="s">
        <v>366</v>
      </c>
      <c r="D12" s="68" t="s">
        <v>303</v>
      </c>
      <c r="E12" s="74">
        <v>1</v>
      </c>
      <c r="F12" s="68">
        <v>185700</v>
      </c>
      <c r="G12" s="68">
        <v>10000</v>
      </c>
      <c r="H12" s="68">
        <f t="shared" si="0"/>
        <v>195700</v>
      </c>
    </row>
    <row r="13" spans="1:8">
      <c r="A13" s="67"/>
      <c r="B13" s="68"/>
      <c r="C13" s="69" t="s">
        <v>380</v>
      </c>
      <c r="D13" s="68"/>
      <c r="E13" s="73">
        <f>SUM(E3:E12)</f>
        <v>569</v>
      </c>
      <c r="F13" s="68"/>
      <c r="G13" s="68"/>
      <c r="H13" s="68">
        <f>SUM(H3:H12)</f>
        <v>111461300</v>
      </c>
    </row>
    <row r="14" spans="1:8">
      <c r="A14" s="67">
        <v>1</v>
      </c>
      <c r="B14" s="68" t="s">
        <v>381</v>
      </c>
      <c r="C14" s="68" t="s">
        <v>382</v>
      </c>
      <c r="D14" s="68" t="s">
        <v>370</v>
      </c>
      <c r="E14" s="74">
        <v>117</v>
      </c>
      <c r="F14" s="68">
        <v>191300</v>
      </c>
      <c r="G14" s="68">
        <v>10000</v>
      </c>
      <c r="H14" s="68">
        <f t="shared" ref="H14:H21" si="1">E14*(F14+G14)</f>
        <v>23552100</v>
      </c>
    </row>
    <row r="15" spans="1:8">
      <c r="A15" s="67">
        <v>2</v>
      </c>
      <c r="B15" s="68" t="s">
        <v>383</v>
      </c>
      <c r="C15" s="68" t="s">
        <v>382</v>
      </c>
      <c r="D15" s="68" t="s">
        <v>370</v>
      </c>
      <c r="E15" s="74">
        <v>147</v>
      </c>
      <c r="F15" s="68">
        <v>191300</v>
      </c>
      <c r="G15" s="68">
        <v>10000</v>
      </c>
      <c r="H15" s="68">
        <f t="shared" si="1"/>
        <v>29591100</v>
      </c>
    </row>
    <row r="16" spans="1:8">
      <c r="A16" s="67">
        <v>3</v>
      </c>
      <c r="B16" s="68" t="s">
        <v>384</v>
      </c>
      <c r="C16" s="68" t="s">
        <v>382</v>
      </c>
      <c r="D16" s="68" t="s">
        <v>370</v>
      </c>
      <c r="E16" s="74">
        <v>143</v>
      </c>
      <c r="F16" s="68">
        <v>191300</v>
      </c>
      <c r="G16" s="68">
        <v>10000</v>
      </c>
      <c r="H16" s="68">
        <f t="shared" si="1"/>
        <v>28785900</v>
      </c>
    </row>
    <row r="17" spans="1:8">
      <c r="A17" s="67">
        <v>4</v>
      </c>
      <c r="B17" s="68" t="s">
        <v>385</v>
      </c>
      <c r="C17" s="68" t="s">
        <v>382</v>
      </c>
      <c r="D17" s="68" t="s">
        <v>375</v>
      </c>
      <c r="E17" s="74">
        <v>36</v>
      </c>
      <c r="F17" s="68">
        <v>174600</v>
      </c>
      <c r="G17" s="68">
        <v>10000</v>
      </c>
      <c r="H17" s="68">
        <f t="shared" si="1"/>
        <v>6645600</v>
      </c>
    </row>
    <row r="18" spans="1:8">
      <c r="A18" s="67">
        <v>5</v>
      </c>
      <c r="B18" s="68" t="s">
        <v>386</v>
      </c>
      <c r="C18" s="68" t="s">
        <v>382</v>
      </c>
      <c r="D18" s="68" t="s">
        <v>375</v>
      </c>
      <c r="E18" s="74">
        <v>59</v>
      </c>
      <c r="F18" s="68">
        <v>174600</v>
      </c>
      <c r="G18" s="68">
        <v>10000</v>
      </c>
      <c r="H18" s="68">
        <f t="shared" si="1"/>
        <v>10891400</v>
      </c>
    </row>
    <row r="19" spans="1:8">
      <c r="A19" s="67">
        <v>6</v>
      </c>
      <c r="B19" s="68" t="s">
        <v>387</v>
      </c>
      <c r="C19" s="68" t="s">
        <v>382</v>
      </c>
      <c r="D19" s="68" t="s">
        <v>375</v>
      </c>
      <c r="E19" s="74">
        <v>30</v>
      </c>
      <c r="F19" s="68">
        <v>174600</v>
      </c>
      <c r="G19" s="68">
        <v>10000</v>
      </c>
      <c r="H19" s="68">
        <f t="shared" si="1"/>
        <v>5538000</v>
      </c>
    </row>
    <row r="20" spans="1:8">
      <c r="A20" s="67">
        <v>7</v>
      </c>
      <c r="B20" s="68" t="s">
        <v>388</v>
      </c>
      <c r="C20" s="68" t="s">
        <v>382</v>
      </c>
      <c r="D20" s="68" t="s">
        <v>375</v>
      </c>
      <c r="E20" s="74">
        <v>43</v>
      </c>
      <c r="F20" s="68">
        <v>174600</v>
      </c>
      <c r="G20" s="68">
        <v>10000</v>
      </c>
      <c r="H20" s="68">
        <f t="shared" si="1"/>
        <v>7937800</v>
      </c>
    </row>
    <row r="21" spans="1:8">
      <c r="A21" s="67">
        <v>8</v>
      </c>
      <c r="B21" s="68" t="s">
        <v>389</v>
      </c>
      <c r="C21" s="68" t="s">
        <v>382</v>
      </c>
      <c r="D21" s="68" t="s">
        <v>303</v>
      </c>
      <c r="E21" s="74">
        <v>7</v>
      </c>
      <c r="F21" s="68">
        <v>185700</v>
      </c>
      <c r="G21" s="68">
        <v>10000</v>
      </c>
      <c r="H21" s="68">
        <f t="shared" si="1"/>
        <v>1369900</v>
      </c>
    </row>
    <row r="22" spans="1:8">
      <c r="A22" s="67"/>
      <c r="B22" s="68"/>
      <c r="C22" s="69" t="s">
        <v>390</v>
      </c>
      <c r="D22" s="68"/>
      <c r="E22" s="74">
        <f>SUM(E14:E21)</f>
        <v>582</v>
      </c>
      <c r="F22" s="70"/>
      <c r="G22" s="70"/>
      <c r="H22" s="68">
        <f>SUM(H14:H21)</f>
        <v>114311800</v>
      </c>
    </row>
    <row r="23" spans="1:8">
      <c r="A23" s="67">
        <v>1</v>
      </c>
      <c r="B23" s="68" t="s">
        <v>391</v>
      </c>
      <c r="C23" s="68" t="s">
        <v>392</v>
      </c>
      <c r="D23" s="68" t="s">
        <v>367</v>
      </c>
      <c r="E23" s="74">
        <v>78</v>
      </c>
      <c r="F23" s="68">
        <v>191300</v>
      </c>
      <c r="G23" s="68">
        <v>10000</v>
      </c>
      <c r="H23" s="68">
        <f t="shared" ref="H23:H34" si="2">E23*(F23+G23)</f>
        <v>15701400</v>
      </c>
    </row>
    <row r="24" spans="1:8">
      <c r="A24" s="67">
        <v>2</v>
      </c>
      <c r="B24" s="68" t="s">
        <v>393</v>
      </c>
      <c r="C24" s="68" t="s">
        <v>392</v>
      </c>
      <c r="D24" s="68" t="s">
        <v>370</v>
      </c>
      <c r="E24" s="74">
        <v>160</v>
      </c>
      <c r="F24" s="68">
        <v>191300</v>
      </c>
      <c r="G24" s="68">
        <v>10000</v>
      </c>
      <c r="H24" s="68">
        <f t="shared" si="2"/>
        <v>32208000</v>
      </c>
    </row>
    <row r="25" spans="1:8">
      <c r="A25" s="67">
        <v>3</v>
      </c>
      <c r="B25" s="68" t="s">
        <v>394</v>
      </c>
      <c r="C25" s="68" t="s">
        <v>392</v>
      </c>
      <c r="D25" s="68" t="s">
        <v>370</v>
      </c>
      <c r="E25" s="74">
        <v>103</v>
      </c>
      <c r="F25" s="68">
        <v>191300</v>
      </c>
      <c r="G25" s="68">
        <v>10000</v>
      </c>
      <c r="H25" s="68">
        <f t="shared" si="2"/>
        <v>20733900</v>
      </c>
    </row>
    <row r="26" spans="1:8">
      <c r="A26" s="67">
        <v>4</v>
      </c>
      <c r="B26" s="68" t="s">
        <v>395</v>
      </c>
      <c r="C26" s="68" t="s">
        <v>392</v>
      </c>
      <c r="D26" s="68" t="s">
        <v>372</v>
      </c>
      <c r="E26" s="74">
        <v>172</v>
      </c>
      <c r="F26" s="68">
        <v>191300</v>
      </c>
      <c r="G26" s="68">
        <v>10000</v>
      </c>
      <c r="H26" s="68">
        <f t="shared" si="2"/>
        <v>34623600</v>
      </c>
    </row>
    <row r="27" spans="1:8">
      <c r="A27" s="67">
        <v>5</v>
      </c>
      <c r="B27" s="68" t="s">
        <v>396</v>
      </c>
      <c r="C27" s="68" t="s">
        <v>392</v>
      </c>
      <c r="D27" s="68" t="s">
        <v>375</v>
      </c>
      <c r="E27" s="74">
        <v>29</v>
      </c>
      <c r="F27" s="68">
        <v>174600</v>
      </c>
      <c r="G27" s="68">
        <v>10000</v>
      </c>
      <c r="H27" s="68">
        <f t="shared" si="2"/>
        <v>5353400</v>
      </c>
    </row>
    <row r="28" spans="1:8">
      <c r="A28" s="67">
        <v>6</v>
      </c>
      <c r="B28" s="68" t="s">
        <v>397</v>
      </c>
      <c r="C28" s="68" t="s">
        <v>392</v>
      </c>
      <c r="D28" s="68" t="s">
        <v>375</v>
      </c>
      <c r="E28" s="74">
        <v>24</v>
      </c>
      <c r="F28" s="68">
        <v>174600</v>
      </c>
      <c r="G28" s="68">
        <v>10000</v>
      </c>
      <c r="H28" s="68">
        <f t="shared" si="2"/>
        <v>4430400</v>
      </c>
    </row>
    <row r="29" spans="1:8">
      <c r="A29" s="67">
        <v>7</v>
      </c>
      <c r="B29" s="68" t="s">
        <v>398</v>
      </c>
      <c r="C29" s="68" t="s">
        <v>392</v>
      </c>
      <c r="D29" s="68" t="s">
        <v>375</v>
      </c>
      <c r="E29" s="74">
        <v>21</v>
      </c>
      <c r="F29" s="68">
        <v>174600</v>
      </c>
      <c r="G29" s="68">
        <v>10000</v>
      </c>
      <c r="H29" s="68">
        <f t="shared" si="2"/>
        <v>3876600</v>
      </c>
    </row>
    <row r="30" spans="1:8">
      <c r="A30" s="67">
        <v>8</v>
      </c>
      <c r="B30" s="68" t="s">
        <v>399</v>
      </c>
      <c r="C30" s="68" t="s">
        <v>392</v>
      </c>
      <c r="D30" s="68" t="s">
        <v>375</v>
      </c>
      <c r="E30" s="74">
        <v>26</v>
      </c>
      <c r="F30" s="68">
        <v>174600</v>
      </c>
      <c r="G30" s="68">
        <v>10000</v>
      </c>
      <c r="H30" s="68">
        <f t="shared" si="2"/>
        <v>4799600</v>
      </c>
    </row>
    <row r="31" spans="1:8">
      <c r="A31" s="67">
        <v>9</v>
      </c>
      <c r="B31" s="68" t="s">
        <v>400</v>
      </c>
      <c r="C31" s="68" t="s">
        <v>392</v>
      </c>
      <c r="D31" s="68" t="s">
        <v>375</v>
      </c>
      <c r="E31" s="74">
        <v>51</v>
      </c>
      <c r="F31" s="68">
        <v>174600</v>
      </c>
      <c r="G31" s="68">
        <v>10000</v>
      </c>
      <c r="H31" s="68">
        <f t="shared" si="2"/>
        <v>9414600</v>
      </c>
    </row>
    <row r="32" spans="1:8">
      <c r="A32" s="67">
        <v>10</v>
      </c>
      <c r="B32" s="68" t="s">
        <v>401</v>
      </c>
      <c r="C32" s="68" t="s">
        <v>392</v>
      </c>
      <c r="D32" s="68" t="s">
        <v>375</v>
      </c>
      <c r="E32" s="74">
        <v>25</v>
      </c>
      <c r="F32" s="68">
        <v>174600</v>
      </c>
      <c r="G32" s="68">
        <v>10000</v>
      </c>
      <c r="H32" s="68">
        <f t="shared" si="2"/>
        <v>4615000</v>
      </c>
    </row>
    <row r="33" spans="1:8">
      <c r="A33" s="67">
        <v>11</v>
      </c>
      <c r="B33" s="68" t="s">
        <v>402</v>
      </c>
      <c r="C33" s="68" t="s">
        <v>392</v>
      </c>
      <c r="D33" s="68" t="s">
        <v>375</v>
      </c>
      <c r="E33" s="74">
        <v>23</v>
      </c>
      <c r="F33" s="68">
        <v>174600</v>
      </c>
      <c r="G33" s="68">
        <v>10000</v>
      </c>
      <c r="H33" s="68">
        <f t="shared" si="2"/>
        <v>4245800</v>
      </c>
    </row>
    <row r="34" spans="1:8">
      <c r="A34" s="67">
        <v>12</v>
      </c>
      <c r="B34" s="68" t="s">
        <v>403</v>
      </c>
      <c r="C34" s="68" t="s">
        <v>392</v>
      </c>
      <c r="D34" s="68" t="s">
        <v>303</v>
      </c>
      <c r="E34" s="74">
        <v>8</v>
      </c>
      <c r="F34" s="68">
        <v>185700</v>
      </c>
      <c r="G34" s="68">
        <v>10000</v>
      </c>
      <c r="H34" s="68">
        <f t="shared" si="2"/>
        <v>1565600</v>
      </c>
    </row>
    <row r="35" spans="1:8">
      <c r="A35" s="67"/>
      <c r="B35" s="68"/>
      <c r="C35" s="69" t="s">
        <v>404</v>
      </c>
      <c r="D35" s="68"/>
      <c r="E35" s="74">
        <f>SUM(E23:E34)</f>
        <v>720</v>
      </c>
      <c r="F35" s="70"/>
      <c r="G35" s="70"/>
      <c r="H35" s="68">
        <f>SUM(H23:H34)</f>
        <v>141567900</v>
      </c>
    </row>
    <row r="36" spans="1:8">
      <c r="A36" s="67">
        <v>1</v>
      </c>
      <c r="B36" s="68" t="s">
        <v>405</v>
      </c>
      <c r="C36" s="68" t="s">
        <v>406</v>
      </c>
      <c r="D36" s="68" t="s">
        <v>367</v>
      </c>
      <c r="E36" s="74">
        <v>131</v>
      </c>
      <c r="F36" s="68">
        <v>191300</v>
      </c>
      <c r="G36" s="68">
        <v>10000</v>
      </c>
      <c r="H36" s="68">
        <f t="shared" ref="H36:H51" si="3">E36*(F36+G36)</f>
        <v>26370300</v>
      </c>
    </row>
    <row r="37" spans="1:8">
      <c r="A37" s="67">
        <v>2</v>
      </c>
      <c r="B37" s="68" t="s">
        <v>407</v>
      </c>
      <c r="C37" s="68" t="s">
        <v>406</v>
      </c>
      <c r="D37" s="68" t="s">
        <v>367</v>
      </c>
      <c r="E37" s="74">
        <v>68</v>
      </c>
      <c r="F37" s="68">
        <v>191300</v>
      </c>
      <c r="G37" s="68">
        <v>10000</v>
      </c>
      <c r="H37" s="68">
        <f t="shared" si="3"/>
        <v>13688400</v>
      </c>
    </row>
    <row r="38" spans="1:8">
      <c r="A38" s="67">
        <v>3</v>
      </c>
      <c r="B38" s="68" t="s">
        <v>408</v>
      </c>
      <c r="C38" s="68" t="s">
        <v>406</v>
      </c>
      <c r="D38" s="68" t="s">
        <v>367</v>
      </c>
      <c r="E38" s="74">
        <v>70</v>
      </c>
      <c r="F38" s="68">
        <v>191300</v>
      </c>
      <c r="G38" s="68">
        <v>10000</v>
      </c>
      <c r="H38" s="68">
        <f t="shared" si="3"/>
        <v>14091000</v>
      </c>
    </row>
    <row r="39" spans="1:8">
      <c r="A39" s="67">
        <v>4</v>
      </c>
      <c r="B39" s="68" t="s">
        <v>409</v>
      </c>
      <c r="C39" s="68" t="s">
        <v>406</v>
      </c>
      <c r="D39" s="68" t="s">
        <v>367</v>
      </c>
      <c r="E39" s="74">
        <v>80</v>
      </c>
      <c r="F39" s="68">
        <v>191300</v>
      </c>
      <c r="G39" s="68">
        <v>10000</v>
      </c>
      <c r="H39" s="68">
        <f t="shared" si="3"/>
        <v>16104000</v>
      </c>
    </row>
    <row r="40" spans="1:8">
      <c r="A40" s="67">
        <v>5</v>
      </c>
      <c r="B40" s="68" t="s">
        <v>410</v>
      </c>
      <c r="C40" s="68" t="s">
        <v>406</v>
      </c>
      <c r="D40" s="68" t="s">
        <v>372</v>
      </c>
      <c r="E40" s="74">
        <v>62</v>
      </c>
      <c r="F40" s="68">
        <v>191300</v>
      </c>
      <c r="G40" s="68">
        <v>10000</v>
      </c>
      <c r="H40" s="68">
        <f t="shared" si="3"/>
        <v>12480600</v>
      </c>
    </row>
    <row r="41" spans="1:8">
      <c r="A41" s="67">
        <v>6</v>
      </c>
      <c r="B41" s="68" t="s">
        <v>411</v>
      </c>
      <c r="C41" s="68" t="s">
        <v>406</v>
      </c>
      <c r="D41" s="68" t="s">
        <v>372</v>
      </c>
      <c r="E41" s="74">
        <v>117</v>
      </c>
      <c r="F41" s="68">
        <v>191300</v>
      </c>
      <c r="G41" s="68">
        <v>10000</v>
      </c>
      <c r="H41" s="68">
        <f t="shared" si="3"/>
        <v>23552100</v>
      </c>
    </row>
    <row r="42" spans="1:8">
      <c r="A42" s="67">
        <v>7</v>
      </c>
      <c r="B42" s="68" t="s">
        <v>412</v>
      </c>
      <c r="C42" s="68" t="s">
        <v>406</v>
      </c>
      <c r="D42" s="68" t="s">
        <v>372</v>
      </c>
      <c r="E42" s="74">
        <v>77</v>
      </c>
      <c r="F42" s="68">
        <v>191300</v>
      </c>
      <c r="G42" s="68">
        <v>10000</v>
      </c>
      <c r="H42" s="68">
        <f t="shared" si="3"/>
        <v>15500100</v>
      </c>
    </row>
    <row r="43" spans="1:8">
      <c r="A43" s="67">
        <v>8</v>
      </c>
      <c r="B43" s="68" t="s">
        <v>413</v>
      </c>
      <c r="C43" s="68" t="s">
        <v>406</v>
      </c>
      <c r="D43" s="68" t="s">
        <v>375</v>
      </c>
      <c r="E43" s="74">
        <v>56</v>
      </c>
      <c r="F43" s="68">
        <v>174600</v>
      </c>
      <c r="G43" s="68">
        <v>10000</v>
      </c>
      <c r="H43" s="68">
        <f t="shared" si="3"/>
        <v>10337600</v>
      </c>
    </row>
    <row r="44" spans="1:8">
      <c r="A44" s="67">
        <v>9</v>
      </c>
      <c r="B44" s="68" t="s">
        <v>414</v>
      </c>
      <c r="C44" s="68" t="s">
        <v>406</v>
      </c>
      <c r="D44" s="68" t="s">
        <v>375</v>
      </c>
      <c r="E44" s="74">
        <v>42</v>
      </c>
      <c r="F44" s="68">
        <v>174600</v>
      </c>
      <c r="G44" s="68">
        <v>10000</v>
      </c>
      <c r="H44" s="68">
        <f t="shared" si="3"/>
        <v>7753200</v>
      </c>
    </row>
    <row r="45" spans="1:8">
      <c r="A45" s="67">
        <v>10</v>
      </c>
      <c r="B45" s="68" t="s">
        <v>415</v>
      </c>
      <c r="C45" s="68" t="s">
        <v>406</v>
      </c>
      <c r="D45" s="68" t="s">
        <v>375</v>
      </c>
      <c r="E45" s="74">
        <v>68</v>
      </c>
      <c r="F45" s="68">
        <v>174600</v>
      </c>
      <c r="G45" s="68">
        <v>10000</v>
      </c>
      <c r="H45" s="68">
        <f t="shared" si="3"/>
        <v>12552800</v>
      </c>
    </row>
    <row r="46" spans="1:8">
      <c r="A46" s="67">
        <v>11</v>
      </c>
      <c r="B46" s="68" t="s">
        <v>416</v>
      </c>
      <c r="C46" s="68" t="s">
        <v>406</v>
      </c>
      <c r="D46" s="68" t="s">
        <v>375</v>
      </c>
      <c r="E46" s="74">
        <v>16</v>
      </c>
      <c r="F46" s="68">
        <v>174600</v>
      </c>
      <c r="G46" s="68">
        <v>10000</v>
      </c>
      <c r="H46" s="68">
        <f t="shared" si="3"/>
        <v>2953600</v>
      </c>
    </row>
    <row r="47" spans="1:8">
      <c r="A47" s="67">
        <v>12</v>
      </c>
      <c r="B47" s="68" t="s">
        <v>417</v>
      </c>
      <c r="C47" s="68" t="s">
        <v>406</v>
      </c>
      <c r="D47" s="68" t="s">
        <v>375</v>
      </c>
      <c r="E47" s="74">
        <v>48</v>
      </c>
      <c r="F47" s="68">
        <v>174600</v>
      </c>
      <c r="G47" s="68">
        <v>10000</v>
      </c>
      <c r="H47" s="68">
        <f t="shared" si="3"/>
        <v>8860800</v>
      </c>
    </row>
    <row r="48" spans="1:8">
      <c r="A48" s="67">
        <v>13</v>
      </c>
      <c r="B48" s="68" t="s">
        <v>418</v>
      </c>
      <c r="C48" s="68" t="s">
        <v>406</v>
      </c>
      <c r="D48" s="68" t="s">
        <v>375</v>
      </c>
      <c r="E48" s="74">
        <v>46</v>
      </c>
      <c r="F48" s="68">
        <v>174600</v>
      </c>
      <c r="G48" s="68">
        <v>10000</v>
      </c>
      <c r="H48" s="68">
        <f t="shared" si="3"/>
        <v>8491600</v>
      </c>
    </row>
    <row r="49" spans="1:8">
      <c r="A49" s="67">
        <v>14</v>
      </c>
      <c r="B49" s="68" t="s">
        <v>419</v>
      </c>
      <c r="C49" s="68" t="s">
        <v>406</v>
      </c>
      <c r="D49" s="68" t="s">
        <v>375</v>
      </c>
      <c r="E49" s="74">
        <v>39</v>
      </c>
      <c r="F49" s="68">
        <v>174600</v>
      </c>
      <c r="G49" s="68">
        <v>10000</v>
      </c>
      <c r="H49" s="68">
        <f t="shared" si="3"/>
        <v>7199400</v>
      </c>
    </row>
    <row r="50" spans="1:8">
      <c r="A50" s="67">
        <v>15</v>
      </c>
      <c r="B50" s="68" t="s">
        <v>420</v>
      </c>
      <c r="C50" s="68" t="s">
        <v>406</v>
      </c>
      <c r="D50" s="68" t="s">
        <v>375</v>
      </c>
      <c r="E50" s="74">
        <v>8</v>
      </c>
      <c r="F50" s="68">
        <v>174600</v>
      </c>
      <c r="G50" s="68">
        <v>10000</v>
      </c>
      <c r="H50" s="68">
        <f t="shared" si="3"/>
        <v>1476800</v>
      </c>
    </row>
    <row r="51" spans="1:8">
      <c r="A51" s="67">
        <v>16</v>
      </c>
      <c r="B51" s="68" t="s">
        <v>421</v>
      </c>
      <c r="C51" s="68" t="s">
        <v>406</v>
      </c>
      <c r="D51" s="68" t="s">
        <v>303</v>
      </c>
      <c r="E51" s="74">
        <v>4</v>
      </c>
      <c r="F51" s="68">
        <v>185700</v>
      </c>
      <c r="G51" s="68">
        <v>10000</v>
      </c>
      <c r="H51" s="68">
        <f t="shared" si="3"/>
        <v>782800</v>
      </c>
    </row>
    <row r="52" spans="1:8">
      <c r="A52" s="67"/>
      <c r="B52" s="68"/>
      <c r="C52" s="69" t="s">
        <v>422</v>
      </c>
      <c r="D52" s="68"/>
      <c r="E52" s="74">
        <f>SUM(E36:E51)</f>
        <v>932</v>
      </c>
      <c r="F52" s="70"/>
      <c r="G52" s="70"/>
      <c r="H52" s="68">
        <f>SUM(H36:H51)</f>
        <v>182195100</v>
      </c>
    </row>
    <row r="53" spans="1:8">
      <c r="A53" s="67">
        <v>1</v>
      </c>
      <c r="B53" s="68" t="s">
        <v>423</v>
      </c>
      <c r="C53" s="68" t="s">
        <v>424</v>
      </c>
      <c r="D53" s="68" t="s">
        <v>367</v>
      </c>
      <c r="E53" s="74">
        <v>82</v>
      </c>
      <c r="F53" s="68">
        <v>191300</v>
      </c>
      <c r="G53" s="68">
        <v>10000</v>
      </c>
      <c r="H53" s="68">
        <f t="shared" ref="H53:H71" si="4">E53*(F53+G53)</f>
        <v>16506600</v>
      </c>
    </row>
    <row r="54" spans="1:8">
      <c r="A54" s="67">
        <v>2</v>
      </c>
      <c r="B54" s="68" t="s">
        <v>425</v>
      </c>
      <c r="C54" s="68" t="s">
        <v>424</v>
      </c>
      <c r="D54" s="68" t="s">
        <v>367</v>
      </c>
      <c r="E54" s="74">
        <v>84</v>
      </c>
      <c r="F54" s="68">
        <v>191300</v>
      </c>
      <c r="G54" s="68">
        <v>10000</v>
      </c>
      <c r="H54" s="68">
        <f t="shared" si="4"/>
        <v>16909200</v>
      </c>
    </row>
    <row r="55" spans="1:8">
      <c r="A55" s="67">
        <v>3</v>
      </c>
      <c r="B55" s="68" t="s">
        <v>426</v>
      </c>
      <c r="C55" s="68" t="s">
        <v>424</v>
      </c>
      <c r="D55" s="68" t="s">
        <v>367</v>
      </c>
      <c r="E55" s="74">
        <v>81</v>
      </c>
      <c r="F55" s="68">
        <v>191300</v>
      </c>
      <c r="G55" s="68">
        <v>10000</v>
      </c>
      <c r="H55" s="68">
        <f t="shared" si="4"/>
        <v>16305300</v>
      </c>
    </row>
    <row r="56" spans="1:8">
      <c r="A56" s="67">
        <v>4</v>
      </c>
      <c r="B56" s="68" t="s">
        <v>427</v>
      </c>
      <c r="C56" s="68" t="s">
        <v>424</v>
      </c>
      <c r="D56" s="68" t="s">
        <v>370</v>
      </c>
      <c r="E56" s="74">
        <v>84</v>
      </c>
      <c r="F56" s="68">
        <v>191300</v>
      </c>
      <c r="G56" s="68">
        <v>10000</v>
      </c>
      <c r="H56" s="68">
        <f t="shared" si="4"/>
        <v>16909200</v>
      </c>
    </row>
    <row r="57" spans="1:8">
      <c r="A57" s="67">
        <v>5</v>
      </c>
      <c r="B57" s="68" t="s">
        <v>428</v>
      </c>
      <c r="C57" s="68" t="s">
        <v>424</v>
      </c>
      <c r="D57" s="68" t="s">
        <v>372</v>
      </c>
      <c r="E57" s="74">
        <v>98</v>
      </c>
      <c r="F57" s="68">
        <v>191300</v>
      </c>
      <c r="G57" s="68">
        <v>10000</v>
      </c>
      <c r="H57" s="68">
        <f t="shared" si="4"/>
        <v>19727400</v>
      </c>
    </row>
    <row r="58" spans="1:8">
      <c r="A58" s="67">
        <v>6</v>
      </c>
      <c r="B58" s="68" t="s">
        <v>429</v>
      </c>
      <c r="C58" s="68" t="s">
        <v>424</v>
      </c>
      <c r="D58" s="68" t="s">
        <v>372</v>
      </c>
      <c r="E58" s="74">
        <v>80</v>
      </c>
      <c r="F58" s="68">
        <v>191300</v>
      </c>
      <c r="G58" s="68">
        <v>10000</v>
      </c>
      <c r="H58" s="68">
        <f t="shared" si="4"/>
        <v>16104000</v>
      </c>
    </row>
    <row r="59" spans="1:8">
      <c r="A59" s="67">
        <v>7</v>
      </c>
      <c r="B59" s="68" t="s">
        <v>430</v>
      </c>
      <c r="C59" s="68" t="s">
        <v>424</v>
      </c>
      <c r="D59" s="68" t="s">
        <v>372</v>
      </c>
      <c r="E59" s="74">
        <v>89</v>
      </c>
      <c r="F59" s="68">
        <v>191300</v>
      </c>
      <c r="G59" s="68">
        <v>10000</v>
      </c>
      <c r="H59" s="68">
        <f t="shared" si="4"/>
        <v>17915700</v>
      </c>
    </row>
    <row r="60" spans="1:8">
      <c r="A60" s="67">
        <v>8</v>
      </c>
      <c r="B60" s="68" t="s">
        <v>431</v>
      </c>
      <c r="C60" s="68" t="s">
        <v>424</v>
      </c>
      <c r="D60" s="68" t="s">
        <v>372</v>
      </c>
      <c r="E60" s="74">
        <v>55</v>
      </c>
      <c r="F60" s="68">
        <v>191300</v>
      </c>
      <c r="G60" s="68">
        <v>10000</v>
      </c>
      <c r="H60" s="68">
        <f t="shared" si="4"/>
        <v>11071500</v>
      </c>
    </row>
    <row r="61" spans="1:8">
      <c r="A61" s="67">
        <v>9</v>
      </c>
      <c r="B61" s="68" t="s">
        <v>432</v>
      </c>
      <c r="C61" s="68" t="s">
        <v>424</v>
      </c>
      <c r="D61" s="68" t="s">
        <v>372</v>
      </c>
      <c r="E61" s="74">
        <v>64</v>
      </c>
      <c r="F61" s="68">
        <v>191300</v>
      </c>
      <c r="G61" s="68">
        <v>10000</v>
      </c>
      <c r="H61" s="68">
        <f t="shared" si="4"/>
        <v>12883200</v>
      </c>
    </row>
    <row r="62" spans="1:8">
      <c r="A62" s="67">
        <v>10</v>
      </c>
      <c r="B62" s="68" t="s">
        <v>433</v>
      </c>
      <c r="C62" s="68" t="s">
        <v>424</v>
      </c>
      <c r="D62" s="68" t="s">
        <v>375</v>
      </c>
      <c r="E62" s="74">
        <v>58</v>
      </c>
      <c r="F62" s="68">
        <v>174600</v>
      </c>
      <c r="G62" s="68">
        <v>10000</v>
      </c>
      <c r="H62" s="68">
        <f t="shared" si="4"/>
        <v>10706800</v>
      </c>
    </row>
    <row r="63" spans="1:8">
      <c r="A63" s="67">
        <v>11</v>
      </c>
      <c r="B63" s="68" t="s">
        <v>434</v>
      </c>
      <c r="C63" s="68" t="s">
        <v>424</v>
      </c>
      <c r="D63" s="68" t="s">
        <v>375</v>
      </c>
      <c r="E63" s="74">
        <v>60</v>
      </c>
      <c r="F63" s="68">
        <v>174600</v>
      </c>
      <c r="G63" s="68">
        <v>10000</v>
      </c>
      <c r="H63" s="68">
        <f t="shared" si="4"/>
        <v>11076000</v>
      </c>
    </row>
    <row r="64" spans="1:8">
      <c r="A64" s="67">
        <v>12</v>
      </c>
      <c r="B64" s="68" t="s">
        <v>435</v>
      </c>
      <c r="C64" s="68" t="s">
        <v>424</v>
      </c>
      <c r="D64" s="68" t="s">
        <v>375</v>
      </c>
      <c r="E64" s="74">
        <v>18</v>
      </c>
      <c r="F64" s="68">
        <v>174600</v>
      </c>
      <c r="G64" s="68">
        <v>10000</v>
      </c>
      <c r="H64" s="68">
        <f t="shared" si="4"/>
        <v>3322800</v>
      </c>
    </row>
    <row r="65" spans="1:8">
      <c r="A65" s="67">
        <v>13</v>
      </c>
      <c r="B65" s="68" t="s">
        <v>436</v>
      </c>
      <c r="C65" s="68" t="s">
        <v>424</v>
      </c>
      <c r="D65" s="68" t="s">
        <v>375</v>
      </c>
      <c r="E65" s="74">
        <v>55</v>
      </c>
      <c r="F65" s="68">
        <v>174600</v>
      </c>
      <c r="G65" s="68">
        <v>10000</v>
      </c>
      <c r="H65" s="68">
        <f t="shared" si="4"/>
        <v>10153000</v>
      </c>
    </row>
    <row r="66" spans="1:8">
      <c r="A66" s="67">
        <v>14</v>
      </c>
      <c r="B66" s="68" t="s">
        <v>437</v>
      </c>
      <c r="C66" s="68" t="s">
        <v>424</v>
      </c>
      <c r="D66" s="68" t="s">
        <v>375</v>
      </c>
      <c r="E66" s="74">
        <v>38</v>
      </c>
      <c r="F66" s="68">
        <v>174600</v>
      </c>
      <c r="G66" s="68">
        <v>10000</v>
      </c>
      <c r="H66" s="68">
        <f t="shared" si="4"/>
        <v>7014800</v>
      </c>
    </row>
    <row r="67" spans="1:8">
      <c r="A67" s="67">
        <v>15</v>
      </c>
      <c r="B67" s="68" t="s">
        <v>438</v>
      </c>
      <c r="C67" s="68" t="s">
        <v>424</v>
      </c>
      <c r="D67" s="68" t="s">
        <v>375</v>
      </c>
      <c r="E67" s="74">
        <v>23</v>
      </c>
      <c r="F67" s="68">
        <v>174600</v>
      </c>
      <c r="G67" s="68">
        <v>10000</v>
      </c>
      <c r="H67" s="68">
        <f t="shared" si="4"/>
        <v>4245800</v>
      </c>
    </row>
    <row r="68" spans="1:8">
      <c r="A68" s="67">
        <v>16</v>
      </c>
      <c r="B68" s="68" t="s">
        <v>439</v>
      </c>
      <c r="C68" s="68" t="s">
        <v>424</v>
      </c>
      <c r="D68" s="68" t="s">
        <v>375</v>
      </c>
      <c r="E68" s="74">
        <v>39</v>
      </c>
      <c r="F68" s="68">
        <v>174600</v>
      </c>
      <c r="G68" s="68">
        <v>10000</v>
      </c>
      <c r="H68" s="68">
        <f t="shared" si="4"/>
        <v>7199400</v>
      </c>
    </row>
    <row r="69" spans="1:8">
      <c r="A69" s="67">
        <v>17</v>
      </c>
      <c r="B69" s="68" t="s">
        <v>440</v>
      </c>
      <c r="C69" s="68" t="s">
        <v>424</v>
      </c>
      <c r="D69" s="68" t="s">
        <v>375</v>
      </c>
      <c r="E69" s="74">
        <v>24</v>
      </c>
      <c r="F69" s="68">
        <v>174600</v>
      </c>
      <c r="G69" s="68">
        <v>10000</v>
      </c>
      <c r="H69" s="68">
        <f t="shared" si="4"/>
        <v>4430400</v>
      </c>
    </row>
    <row r="70" spans="1:8">
      <c r="A70" s="67">
        <v>18</v>
      </c>
      <c r="B70" s="68" t="s">
        <v>441</v>
      </c>
      <c r="C70" s="68" t="s">
        <v>424</v>
      </c>
      <c r="D70" s="68" t="s">
        <v>370</v>
      </c>
      <c r="E70" s="74">
        <v>23</v>
      </c>
      <c r="F70" s="68">
        <v>191300</v>
      </c>
      <c r="G70" s="68">
        <v>10000</v>
      </c>
      <c r="H70" s="68">
        <f t="shared" si="4"/>
        <v>4629900</v>
      </c>
    </row>
    <row r="71" spans="1:8">
      <c r="A71" s="67">
        <v>19</v>
      </c>
      <c r="B71" s="68" t="s">
        <v>442</v>
      </c>
      <c r="C71" s="68" t="s">
        <v>424</v>
      </c>
      <c r="D71" s="68" t="s">
        <v>303</v>
      </c>
      <c r="E71" s="74">
        <v>6</v>
      </c>
      <c r="F71" s="68">
        <v>185700</v>
      </c>
      <c r="G71" s="68">
        <v>10000</v>
      </c>
      <c r="H71" s="68">
        <f t="shared" si="4"/>
        <v>1174200</v>
      </c>
    </row>
    <row r="72" spans="1:8">
      <c r="A72" s="67"/>
      <c r="B72" s="68"/>
      <c r="C72" s="69" t="s">
        <v>443</v>
      </c>
      <c r="D72" s="68"/>
      <c r="E72" s="74">
        <f>SUM(E53:E71)</f>
        <v>1061</v>
      </c>
      <c r="F72" s="70"/>
      <c r="G72" s="70"/>
      <c r="H72" s="68">
        <f>SUM(H53:H71)</f>
        <v>208285200</v>
      </c>
    </row>
    <row r="73" spans="1:8">
      <c r="A73" s="67">
        <v>1</v>
      </c>
      <c r="B73" s="68" t="s">
        <v>444</v>
      </c>
      <c r="C73" s="68" t="s">
        <v>445</v>
      </c>
      <c r="D73" s="68" t="s">
        <v>367</v>
      </c>
      <c r="E73" s="73">
        <v>76</v>
      </c>
      <c r="F73" s="68">
        <v>191300</v>
      </c>
      <c r="G73" s="68">
        <v>10000</v>
      </c>
      <c r="H73" s="68">
        <f t="shared" ref="H73:H92" si="5">E73*(F73+G73)</f>
        <v>15298800</v>
      </c>
    </row>
    <row r="74" spans="1:8">
      <c r="A74" s="67">
        <v>2</v>
      </c>
      <c r="B74" s="68" t="s">
        <v>446</v>
      </c>
      <c r="C74" s="68" t="s">
        <v>445</v>
      </c>
      <c r="D74" s="68" t="s">
        <v>370</v>
      </c>
      <c r="E74" s="73">
        <v>83</v>
      </c>
      <c r="F74" s="68">
        <v>191300</v>
      </c>
      <c r="G74" s="68">
        <v>10000</v>
      </c>
      <c r="H74" s="68">
        <f t="shared" si="5"/>
        <v>16707900</v>
      </c>
    </row>
    <row r="75" spans="1:8">
      <c r="A75" s="67">
        <v>3</v>
      </c>
      <c r="B75" s="68" t="s">
        <v>447</v>
      </c>
      <c r="C75" s="68" t="s">
        <v>445</v>
      </c>
      <c r="D75" s="68" t="s">
        <v>367</v>
      </c>
      <c r="E75" s="73">
        <v>269</v>
      </c>
      <c r="F75" s="68">
        <v>191300</v>
      </c>
      <c r="G75" s="68">
        <v>10000</v>
      </c>
      <c r="H75" s="68">
        <f t="shared" si="5"/>
        <v>54149700</v>
      </c>
    </row>
    <row r="76" spans="1:8">
      <c r="A76" s="67">
        <v>4</v>
      </c>
      <c r="B76" s="68" t="s">
        <v>448</v>
      </c>
      <c r="C76" s="68" t="s">
        <v>445</v>
      </c>
      <c r="D76" s="68" t="s">
        <v>367</v>
      </c>
      <c r="E76" s="73">
        <v>92</v>
      </c>
      <c r="F76" s="68">
        <v>191300</v>
      </c>
      <c r="G76" s="68">
        <v>10000</v>
      </c>
      <c r="H76" s="68">
        <f t="shared" si="5"/>
        <v>18519600</v>
      </c>
    </row>
    <row r="77" spans="1:8">
      <c r="A77" s="67">
        <v>5</v>
      </c>
      <c r="B77" s="68" t="s">
        <v>449</v>
      </c>
      <c r="C77" s="68" t="s">
        <v>445</v>
      </c>
      <c r="D77" s="68" t="s">
        <v>367</v>
      </c>
      <c r="E77" s="73">
        <v>100</v>
      </c>
      <c r="F77" s="68">
        <v>191300</v>
      </c>
      <c r="G77" s="68">
        <v>10000</v>
      </c>
      <c r="H77" s="68">
        <f t="shared" si="5"/>
        <v>20130000</v>
      </c>
    </row>
    <row r="78" spans="1:8">
      <c r="A78" s="67">
        <v>6</v>
      </c>
      <c r="B78" s="68" t="s">
        <v>450</v>
      </c>
      <c r="C78" s="68" t="s">
        <v>445</v>
      </c>
      <c r="D78" s="68" t="s">
        <v>372</v>
      </c>
      <c r="E78" s="73">
        <v>57</v>
      </c>
      <c r="F78" s="68">
        <v>191300</v>
      </c>
      <c r="G78" s="68">
        <v>10000</v>
      </c>
      <c r="H78" s="68">
        <f t="shared" si="5"/>
        <v>11474100</v>
      </c>
    </row>
    <row r="79" spans="1:8">
      <c r="A79" s="67">
        <v>7</v>
      </c>
      <c r="B79" s="68" t="s">
        <v>451</v>
      </c>
      <c r="C79" s="68" t="s">
        <v>445</v>
      </c>
      <c r="D79" s="68" t="s">
        <v>372</v>
      </c>
      <c r="E79" s="73">
        <v>356</v>
      </c>
      <c r="F79" s="68">
        <v>191300</v>
      </c>
      <c r="G79" s="68">
        <v>10000</v>
      </c>
      <c r="H79" s="68">
        <f t="shared" si="5"/>
        <v>71662800</v>
      </c>
    </row>
    <row r="80" spans="1:8">
      <c r="A80" s="67">
        <v>8</v>
      </c>
      <c r="B80" s="68" t="s">
        <v>452</v>
      </c>
      <c r="C80" s="68" t="s">
        <v>445</v>
      </c>
      <c r="D80" s="68" t="s">
        <v>372</v>
      </c>
      <c r="E80" s="73">
        <v>60</v>
      </c>
      <c r="F80" s="68">
        <v>191300</v>
      </c>
      <c r="G80" s="68">
        <v>10000</v>
      </c>
      <c r="H80" s="68">
        <f t="shared" si="5"/>
        <v>12078000</v>
      </c>
    </row>
    <row r="81" spans="1:8">
      <c r="A81" s="67">
        <v>9</v>
      </c>
      <c r="B81" s="68" t="s">
        <v>453</v>
      </c>
      <c r="C81" s="68" t="s">
        <v>445</v>
      </c>
      <c r="D81" s="68" t="s">
        <v>372</v>
      </c>
      <c r="E81" s="73">
        <v>134</v>
      </c>
      <c r="F81" s="68">
        <v>191300</v>
      </c>
      <c r="G81" s="68">
        <v>10000</v>
      </c>
      <c r="H81" s="68">
        <f t="shared" si="5"/>
        <v>26974200</v>
      </c>
    </row>
    <row r="82" spans="1:8">
      <c r="A82" s="67">
        <v>10</v>
      </c>
      <c r="B82" s="68" t="s">
        <v>454</v>
      </c>
      <c r="C82" s="68" t="s">
        <v>445</v>
      </c>
      <c r="D82" s="68" t="s">
        <v>372</v>
      </c>
      <c r="E82" s="73">
        <v>128</v>
      </c>
      <c r="F82" s="68">
        <v>191300</v>
      </c>
      <c r="G82" s="68">
        <v>10000</v>
      </c>
      <c r="H82" s="68">
        <f t="shared" si="5"/>
        <v>25766400</v>
      </c>
    </row>
    <row r="83" spans="1:8">
      <c r="A83" s="67">
        <v>11</v>
      </c>
      <c r="B83" s="68" t="s">
        <v>455</v>
      </c>
      <c r="C83" s="68" t="s">
        <v>445</v>
      </c>
      <c r="D83" s="68" t="s">
        <v>375</v>
      </c>
      <c r="E83" s="73">
        <v>42</v>
      </c>
      <c r="F83" s="68">
        <v>174600</v>
      </c>
      <c r="G83" s="68">
        <v>10000</v>
      </c>
      <c r="H83" s="68">
        <f t="shared" si="5"/>
        <v>7753200</v>
      </c>
    </row>
    <row r="84" spans="1:8">
      <c r="A84" s="67">
        <v>12</v>
      </c>
      <c r="B84" s="68" t="s">
        <v>456</v>
      </c>
      <c r="C84" s="68" t="s">
        <v>445</v>
      </c>
      <c r="D84" s="68" t="s">
        <v>375</v>
      </c>
      <c r="E84" s="73">
        <v>98</v>
      </c>
      <c r="F84" s="68">
        <v>174600</v>
      </c>
      <c r="G84" s="68">
        <v>10000</v>
      </c>
      <c r="H84" s="68">
        <f t="shared" si="5"/>
        <v>18090800</v>
      </c>
    </row>
    <row r="85" spans="1:8">
      <c r="A85" s="67">
        <v>13</v>
      </c>
      <c r="B85" s="68" t="s">
        <v>457</v>
      </c>
      <c r="C85" s="68" t="s">
        <v>445</v>
      </c>
      <c r="D85" s="68" t="s">
        <v>375</v>
      </c>
      <c r="E85" s="73">
        <v>44</v>
      </c>
      <c r="F85" s="68">
        <v>174600</v>
      </c>
      <c r="G85" s="68">
        <v>10000</v>
      </c>
      <c r="H85" s="68">
        <f t="shared" si="5"/>
        <v>8122400</v>
      </c>
    </row>
    <row r="86" spans="1:8">
      <c r="A86" s="67">
        <v>14</v>
      </c>
      <c r="B86" s="68" t="s">
        <v>458</v>
      </c>
      <c r="C86" s="68" t="s">
        <v>445</v>
      </c>
      <c r="D86" s="68" t="s">
        <v>375</v>
      </c>
      <c r="E86" s="73">
        <v>48</v>
      </c>
      <c r="F86" s="68">
        <v>174600</v>
      </c>
      <c r="G86" s="68">
        <v>10000</v>
      </c>
      <c r="H86" s="68">
        <f t="shared" si="5"/>
        <v>8860800</v>
      </c>
    </row>
    <row r="87" spans="1:8">
      <c r="A87" s="67">
        <v>15</v>
      </c>
      <c r="B87" s="68" t="s">
        <v>459</v>
      </c>
      <c r="C87" s="68" t="s">
        <v>445</v>
      </c>
      <c r="D87" s="68" t="s">
        <v>375</v>
      </c>
      <c r="E87" s="73">
        <v>22</v>
      </c>
      <c r="F87" s="68">
        <v>174600</v>
      </c>
      <c r="G87" s="68">
        <v>10000</v>
      </c>
      <c r="H87" s="68">
        <f t="shared" si="5"/>
        <v>4061200</v>
      </c>
    </row>
    <row r="88" spans="1:8">
      <c r="A88" s="67">
        <v>16</v>
      </c>
      <c r="B88" s="68" t="s">
        <v>460</v>
      </c>
      <c r="C88" s="68" t="s">
        <v>445</v>
      </c>
      <c r="D88" s="68" t="s">
        <v>375</v>
      </c>
      <c r="E88" s="73">
        <v>29</v>
      </c>
      <c r="F88" s="68">
        <v>174600</v>
      </c>
      <c r="G88" s="68">
        <v>10000</v>
      </c>
      <c r="H88" s="68">
        <f t="shared" si="5"/>
        <v>5353400</v>
      </c>
    </row>
    <row r="89" spans="1:8">
      <c r="A89" s="67">
        <v>17</v>
      </c>
      <c r="B89" s="68" t="s">
        <v>461</v>
      </c>
      <c r="C89" s="68" t="s">
        <v>445</v>
      </c>
      <c r="D89" s="68" t="s">
        <v>375</v>
      </c>
      <c r="E89" s="73">
        <v>19</v>
      </c>
      <c r="F89" s="68">
        <v>174600</v>
      </c>
      <c r="G89" s="68">
        <v>10000</v>
      </c>
      <c r="H89" s="68">
        <f t="shared" si="5"/>
        <v>3507400</v>
      </c>
    </row>
    <row r="90" spans="1:8">
      <c r="A90" s="67">
        <v>18</v>
      </c>
      <c r="B90" s="68" t="s">
        <v>462</v>
      </c>
      <c r="C90" s="68" t="s">
        <v>445</v>
      </c>
      <c r="D90" s="68" t="s">
        <v>375</v>
      </c>
      <c r="E90" s="73">
        <v>78</v>
      </c>
      <c r="F90" s="68">
        <v>174600</v>
      </c>
      <c r="G90" s="68">
        <v>10000</v>
      </c>
      <c r="H90" s="68">
        <f t="shared" si="5"/>
        <v>14398800</v>
      </c>
    </row>
    <row r="91" spans="1:8">
      <c r="A91" s="67">
        <v>19</v>
      </c>
      <c r="B91" s="68" t="s">
        <v>463</v>
      </c>
      <c r="C91" s="68" t="s">
        <v>445</v>
      </c>
      <c r="D91" s="68" t="s">
        <v>375</v>
      </c>
      <c r="E91" s="73">
        <v>10</v>
      </c>
      <c r="F91" s="68">
        <v>174600</v>
      </c>
      <c r="G91" s="68">
        <v>10000</v>
      </c>
      <c r="H91" s="68">
        <f t="shared" si="5"/>
        <v>1846000</v>
      </c>
    </row>
    <row r="92" spans="1:8">
      <c r="A92" s="67">
        <v>20</v>
      </c>
      <c r="B92" s="68" t="s">
        <v>464</v>
      </c>
      <c r="C92" s="68" t="s">
        <v>445</v>
      </c>
      <c r="D92" s="68" t="s">
        <v>303</v>
      </c>
      <c r="E92" s="73">
        <v>7</v>
      </c>
      <c r="F92" s="68">
        <v>185700</v>
      </c>
      <c r="G92" s="68">
        <v>10000</v>
      </c>
      <c r="H92" s="68">
        <f t="shared" si="5"/>
        <v>1369900</v>
      </c>
    </row>
    <row r="93" spans="1:8">
      <c r="A93" s="67"/>
      <c r="B93" s="68"/>
      <c r="C93" s="69" t="s">
        <v>465</v>
      </c>
      <c r="D93" s="68"/>
      <c r="E93" s="74">
        <f>SUM(E73:E92)</f>
        <v>1752</v>
      </c>
      <c r="F93" s="70"/>
      <c r="G93" s="70"/>
      <c r="H93" s="68">
        <f>SUM(H73:H92)</f>
        <v>346125400</v>
      </c>
    </row>
    <row r="94" spans="1:8">
      <c r="A94" s="67">
        <v>1</v>
      </c>
      <c r="B94" s="68" t="s">
        <v>466</v>
      </c>
      <c r="C94" s="68" t="s">
        <v>467</v>
      </c>
      <c r="D94" s="68" t="s">
        <v>370</v>
      </c>
      <c r="E94" s="73">
        <v>119</v>
      </c>
      <c r="F94" s="68">
        <v>191300</v>
      </c>
      <c r="G94" s="68">
        <v>10000</v>
      </c>
      <c r="H94" s="68">
        <f>E94*(F94+G94)</f>
        <v>23954700</v>
      </c>
    </row>
    <row r="95" spans="1:8">
      <c r="A95" s="67">
        <v>2</v>
      </c>
      <c r="B95" s="68" t="s">
        <v>468</v>
      </c>
      <c r="C95" s="68" t="s">
        <v>467</v>
      </c>
      <c r="D95" s="68" t="s">
        <v>375</v>
      </c>
      <c r="E95" s="73">
        <v>68</v>
      </c>
      <c r="F95" s="68">
        <v>174600</v>
      </c>
      <c r="G95" s="68">
        <v>10000</v>
      </c>
      <c r="H95" s="68">
        <f>E95*(F95+G95)</f>
        <v>12552800</v>
      </c>
    </row>
    <row r="96" spans="1:8">
      <c r="A96" s="67">
        <v>3</v>
      </c>
      <c r="B96" s="68" t="s">
        <v>469</v>
      </c>
      <c r="C96" s="68" t="s">
        <v>467</v>
      </c>
      <c r="D96" s="68" t="s">
        <v>375</v>
      </c>
      <c r="E96" s="73">
        <v>46</v>
      </c>
      <c r="F96" s="68">
        <v>174600</v>
      </c>
      <c r="G96" s="68">
        <v>10000</v>
      </c>
      <c r="H96" s="68">
        <f>E96*(F96+G96)</f>
        <v>8491600</v>
      </c>
    </row>
    <row r="97" spans="1:8">
      <c r="A97" s="67">
        <v>4</v>
      </c>
      <c r="B97" s="68" t="s">
        <v>470</v>
      </c>
      <c r="C97" s="68" t="s">
        <v>467</v>
      </c>
      <c r="D97" s="68" t="s">
        <v>375</v>
      </c>
      <c r="E97" s="73">
        <v>27</v>
      </c>
      <c r="F97" s="68">
        <v>174600</v>
      </c>
      <c r="G97" s="68">
        <v>10000</v>
      </c>
      <c r="H97" s="68">
        <f>E97*(F97+G97)</f>
        <v>4984200</v>
      </c>
    </row>
    <row r="98" spans="1:8">
      <c r="A98" s="67">
        <v>5</v>
      </c>
      <c r="B98" s="68" t="s">
        <v>471</v>
      </c>
      <c r="C98" s="68" t="s">
        <v>467</v>
      </c>
      <c r="D98" s="68" t="s">
        <v>303</v>
      </c>
      <c r="E98" s="73">
        <v>6</v>
      </c>
      <c r="F98" s="68">
        <v>185700</v>
      </c>
      <c r="G98" s="68">
        <v>10000</v>
      </c>
      <c r="H98" s="68">
        <f>E98*(F98+G98)</f>
        <v>1174200</v>
      </c>
    </row>
    <row r="99" spans="1:8">
      <c r="A99" s="67"/>
      <c r="B99" s="68"/>
      <c r="C99" s="69" t="s">
        <v>472</v>
      </c>
      <c r="D99" s="68"/>
      <c r="E99" s="74">
        <f>SUM(E94:E98)</f>
        <v>266</v>
      </c>
      <c r="F99" s="70"/>
      <c r="G99" s="70"/>
      <c r="H99" s="68">
        <f>SUM(H94:H98)</f>
        <v>51157500</v>
      </c>
    </row>
    <row r="100" spans="1:8">
      <c r="A100" s="67">
        <v>1</v>
      </c>
      <c r="B100" s="68" t="s">
        <v>190</v>
      </c>
      <c r="C100" s="68" t="s">
        <v>473</v>
      </c>
      <c r="D100" s="68" t="s">
        <v>372</v>
      </c>
      <c r="E100" s="73">
        <v>66</v>
      </c>
      <c r="F100" s="68">
        <v>191300</v>
      </c>
      <c r="G100" s="68">
        <v>10000</v>
      </c>
      <c r="H100" s="68">
        <f t="shared" ref="H100:H105" si="6">E100*(F100+G100)</f>
        <v>13285800</v>
      </c>
    </row>
    <row r="101" spans="1:8">
      <c r="A101" s="67">
        <v>2</v>
      </c>
      <c r="B101" s="68" t="s">
        <v>191</v>
      </c>
      <c r="C101" s="68" t="s">
        <v>473</v>
      </c>
      <c r="D101" s="68" t="s">
        <v>372</v>
      </c>
      <c r="E101" s="73">
        <v>43</v>
      </c>
      <c r="F101" s="68">
        <v>191300</v>
      </c>
      <c r="G101" s="68">
        <v>10000</v>
      </c>
      <c r="H101" s="68">
        <f t="shared" si="6"/>
        <v>8655900</v>
      </c>
    </row>
    <row r="102" spans="1:8">
      <c r="A102" s="67">
        <v>3</v>
      </c>
      <c r="B102" s="68" t="s">
        <v>192</v>
      </c>
      <c r="C102" s="68" t="s">
        <v>473</v>
      </c>
      <c r="D102" s="68" t="s">
        <v>375</v>
      </c>
      <c r="E102" s="73">
        <v>15</v>
      </c>
      <c r="F102" s="68">
        <v>174600</v>
      </c>
      <c r="G102" s="68">
        <v>10000</v>
      </c>
      <c r="H102" s="68">
        <f t="shared" si="6"/>
        <v>2769000</v>
      </c>
    </row>
    <row r="103" spans="1:8">
      <c r="A103" s="67">
        <v>4</v>
      </c>
      <c r="B103" s="68" t="s">
        <v>193</v>
      </c>
      <c r="C103" s="68" t="s">
        <v>473</v>
      </c>
      <c r="D103" s="68" t="s">
        <v>375</v>
      </c>
      <c r="E103" s="73">
        <v>32</v>
      </c>
      <c r="F103" s="68">
        <v>174600</v>
      </c>
      <c r="G103" s="68">
        <v>10000</v>
      </c>
      <c r="H103" s="68">
        <f t="shared" si="6"/>
        <v>5907200</v>
      </c>
    </row>
    <row r="104" spans="1:8">
      <c r="A104" s="67">
        <v>5</v>
      </c>
      <c r="B104" s="68" t="s">
        <v>194</v>
      </c>
      <c r="C104" s="68" t="s">
        <v>473</v>
      </c>
      <c r="D104" s="68" t="s">
        <v>375</v>
      </c>
      <c r="E104" s="73">
        <v>51</v>
      </c>
      <c r="F104" s="68">
        <v>174600</v>
      </c>
      <c r="G104" s="68">
        <v>10000</v>
      </c>
      <c r="H104" s="68">
        <f t="shared" si="6"/>
        <v>9414600</v>
      </c>
    </row>
    <row r="105" spans="1:8">
      <c r="A105" s="67">
        <v>6</v>
      </c>
      <c r="B105" s="68" t="s">
        <v>195</v>
      </c>
      <c r="C105" s="68" t="s">
        <v>473</v>
      </c>
      <c r="D105" s="68" t="s">
        <v>303</v>
      </c>
      <c r="E105" s="73">
        <v>5</v>
      </c>
      <c r="F105" s="68">
        <v>185700</v>
      </c>
      <c r="G105" s="68">
        <v>10000</v>
      </c>
      <c r="H105" s="68">
        <f t="shared" si="6"/>
        <v>978500</v>
      </c>
    </row>
    <row r="106" spans="1:8">
      <c r="A106" s="67"/>
      <c r="B106" s="68"/>
      <c r="C106" s="69" t="s">
        <v>474</v>
      </c>
      <c r="D106" s="68"/>
      <c r="E106" s="74">
        <f>SUM(E100:E105)</f>
        <v>212</v>
      </c>
      <c r="F106" s="70"/>
      <c r="G106" s="70"/>
      <c r="H106" s="68">
        <f>SUM(H100:H105)</f>
        <v>41011000</v>
      </c>
    </row>
    <row r="107" spans="1:8">
      <c r="A107" s="67">
        <v>1</v>
      </c>
      <c r="B107" s="68" t="s">
        <v>475</v>
      </c>
      <c r="C107" s="68" t="s">
        <v>476</v>
      </c>
      <c r="D107" s="68" t="s">
        <v>367</v>
      </c>
      <c r="E107" s="73">
        <v>115</v>
      </c>
      <c r="F107" s="68">
        <v>191300</v>
      </c>
      <c r="G107" s="68">
        <v>10000</v>
      </c>
      <c r="H107" s="68">
        <f t="shared" ref="H107:H121" si="7">E107*(F107+G107)</f>
        <v>23149500</v>
      </c>
    </row>
    <row r="108" spans="1:8">
      <c r="A108" s="67">
        <v>2</v>
      </c>
      <c r="B108" s="68" t="s">
        <v>477</v>
      </c>
      <c r="C108" s="68" t="s">
        <v>476</v>
      </c>
      <c r="D108" s="68" t="s">
        <v>367</v>
      </c>
      <c r="E108" s="73">
        <v>72</v>
      </c>
      <c r="F108" s="68">
        <v>191300</v>
      </c>
      <c r="G108" s="68">
        <v>10000</v>
      </c>
      <c r="H108" s="68">
        <f t="shared" si="7"/>
        <v>14493600</v>
      </c>
    </row>
    <row r="109" spans="1:8">
      <c r="A109" s="67">
        <v>3</v>
      </c>
      <c r="B109" s="68" t="s">
        <v>478</v>
      </c>
      <c r="C109" s="68" t="s">
        <v>476</v>
      </c>
      <c r="D109" s="68" t="s">
        <v>367</v>
      </c>
      <c r="E109" s="73">
        <v>81</v>
      </c>
      <c r="F109" s="68">
        <v>191300</v>
      </c>
      <c r="G109" s="68">
        <v>10000</v>
      </c>
      <c r="H109" s="68">
        <f t="shared" si="7"/>
        <v>16305300</v>
      </c>
    </row>
    <row r="110" spans="1:8">
      <c r="A110" s="67">
        <v>4</v>
      </c>
      <c r="B110" s="68" t="s">
        <v>479</v>
      </c>
      <c r="C110" s="68" t="s">
        <v>476</v>
      </c>
      <c r="D110" s="68" t="s">
        <v>370</v>
      </c>
      <c r="E110" s="73">
        <v>133</v>
      </c>
      <c r="F110" s="68">
        <v>191300</v>
      </c>
      <c r="G110" s="68">
        <v>10000</v>
      </c>
      <c r="H110" s="68">
        <f t="shared" si="7"/>
        <v>26772900</v>
      </c>
    </row>
    <row r="111" spans="1:8">
      <c r="A111" s="67">
        <v>5</v>
      </c>
      <c r="B111" s="68" t="s">
        <v>480</v>
      </c>
      <c r="C111" s="68" t="s">
        <v>476</v>
      </c>
      <c r="D111" s="68" t="s">
        <v>372</v>
      </c>
      <c r="E111" s="73">
        <v>78</v>
      </c>
      <c r="F111" s="68">
        <v>191300</v>
      </c>
      <c r="G111" s="68">
        <v>10000</v>
      </c>
      <c r="H111" s="68">
        <f t="shared" si="7"/>
        <v>15701400</v>
      </c>
    </row>
    <row r="112" spans="1:8">
      <c r="A112" s="67">
        <v>6</v>
      </c>
      <c r="B112" s="68" t="s">
        <v>481</v>
      </c>
      <c r="C112" s="68" t="s">
        <v>476</v>
      </c>
      <c r="D112" s="68" t="s">
        <v>372</v>
      </c>
      <c r="E112" s="73">
        <v>196</v>
      </c>
      <c r="F112" s="68">
        <v>191300</v>
      </c>
      <c r="G112" s="68">
        <v>10000</v>
      </c>
      <c r="H112" s="68">
        <f t="shared" si="7"/>
        <v>39454800</v>
      </c>
    </row>
    <row r="113" spans="1:8">
      <c r="A113" s="67">
        <v>7</v>
      </c>
      <c r="B113" s="68" t="s">
        <v>482</v>
      </c>
      <c r="C113" s="68" t="s">
        <v>476</v>
      </c>
      <c r="D113" s="68" t="s">
        <v>372</v>
      </c>
      <c r="E113" s="73">
        <v>93</v>
      </c>
      <c r="F113" s="68">
        <v>191300</v>
      </c>
      <c r="G113" s="68">
        <v>10000</v>
      </c>
      <c r="H113" s="68">
        <f t="shared" si="7"/>
        <v>18720900</v>
      </c>
    </row>
    <row r="114" spans="1:8">
      <c r="A114" s="67">
        <v>8</v>
      </c>
      <c r="B114" s="68" t="s">
        <v>483</v>
      </c>
      <c r="C114" s="68" t="s">
        <v>476</v>
      </c>
      <c r="D114" s="68" t="s">
        <v>372</v>
      </c>
      <c r="E114" s="73">
        <v>59</v>
      </c>
      <c r="F114" s="68">
        <v>191300</v>
      </c>
      <c r="G114" s="68">
        <v>10000</v>
      </c>
      <c r="H114" s="68">
        <f t="shared" si="7"/>
        <v>11876700</v>
      </c>
    </row>
    <row r="115" spans="1:8">
      <c r="A115" s="67">
        <v>9</v>
      </c>
      <c r="B115" s="68" t="s">
        <v>484</v>
      </c>
      <c r="C115" s="68" t="s">
        <v>476</v>
      </c>
      <c r="D115" s="68" t="s">
        <v>375</v>
      </c>
      <c r="E115" s="73">
        <v>46</v>
      </c>
      <c r="F115" s="68">
        <v>174600</v>
      </c>
      <c r="G115" s="68">
        <v>10000</v>
      </c>
      <c r="H115" s="68">
        <f t="shared" si="7"/>
        <v>8491600</v>
      </c>
    </row>
    <row r="116" spans="1:8">
      <c r="A116" s="67">
        <v>10</v>
      </c>
      <c r="B116" s="68" t="s">
        <v>485</v>
      </c>
      <c r="C116" s="68" t="s">
        <v>476</v>
      </c>
      <c r="D116" s="68" t="s">
        <v>375</v>
      </c>
      <c r="E116" s="73">
        <v>56</v>
      </c>
      <c r="F116" s="68">
        <v>174600</v>
      </c>
      <c r="G116" s="68">
        <v>10000</v>
      </c>
      <c r="H116" s="68">
        <f t="shared" si="7"/>
        <v>10337600</v>
      </c>
    </row>
    <row r="117" spans="1:8">
      <c r="A117" s="67">
        <v>11</v>
      </c>
      <c r="B117" s="68" t="s">
        <v>486</v>
      </c>
      <c r="C117" s="68" t="s">
        <v>476</v>
      </c>
      <c r="D117" s="68" t="s">
        <v>375</v>
      </c>
      <c r="E117" s="73">
        <v>43</v>
      </c>
      <c r="F117" s="68">
        <v>174600</v>
      </c>
      <c r="G117" s="68">
        <v>10000</v>
      </c>
      <c r="H117" s="68">
        <f t="shared" si="7"/>
        <v>7937800</v>
      </c>
    </row>
    <row r="118" spans="1:8">
      <c r="A118" s="67">
        <v>12</v>
      </c>
      <c r="B118" s="68" t="s">
        <v>487</v>
      </c>
      <c r="C118" s="68" t="s">
        <v>476</v>
      </c>
      <c r="D118" s="68" t="s">
        <v>375</v>
      </c>
      <c r="E118" s="73">
        <v>43</v>
      </c>
      <c r="F118" s="68">
        <v>174600</v>
      </c>
      <c r="G118" s="68">
        <v>10000</v>
      </c>
      <c r="H118" s="68">
        <f t="shared" si="7"/>
        <v>7937800</v>
      </c>
    </row>
    <row r="119" spans="1:8">
      <c r="A119" s="67">
        <v>13</v>
      </c>
      <c r="B119" s="68" t="s">
        <v>488</v>
      </c>
      <c r="C119" s="68" t="s">
        <v>476</v>
      </c>
      <c r="D119" s="68" t="s">
        <v>375</v>
      </c>
      <c r="E119" s="73">
        <v>32</v>
      </c>
      <c r="F119" s="68">
        <v>174600</v>
      </c>
      <c r="G119" s="68">
        <v>10000</v>
      </c>
      <c r="H119" s="68">
        <f t="shared" si="7"/>
        <v>5907200</v>
      </c>
    </row>
    <row r="120" spans="1:8">
      <c r="A120" s="67">
        <v>14</v>
      </c>
      <c r="B120" s="68" t="s">
        <v>489</v>
      </c>
      <c r="C120" s="68" t="s">
        <v>476</v>
      </c>
      <c r="D120" s="68" t="s">
        <v>375</v>
      </c>
      <c r="E120" s="73">
        <v>16</v>
      </c>
      <c r="F120" s="68">
        <v>174600</v>
      </c>
      <c r="G120" s="68">
        <v>10000</v>
      </c>
      <c r="H120" s="68">
        <f t="shared" si="7"/>
        <v>2953600</v>
      </c>
    </row>
    <row r="121" spans="1:8">
      <c r="A121" s="67">
        <v>15</v>
      </c>
      <c r="B121" s="68" t="s">
        <v>490</v>
      </c>
      <c r="C121" s="68" t="s">
        <v>476</v>
      </c>
      <c r="D121" s="68" t="s">
        <v>303</v>
      </c>
      <c r="E121" s="73">
        <v>5</v>
      </c>
      <c r="F121" s="68">
        <v>185700</v>
      </c>
      <c r="G121" s="68">
        <v>10000</v>
      </c>
      <c r="H121" s="68">
        <f t="shared" si="7"/>
        <v>978500</v>
      </c>
    </row>
    <row r="122" spans="1:8">
      <c r="A122" s="67"/>
      <c r="B122" s="68"/>
      <c r="C122" s="69" t="s">
        <v>491</v>
      </c>
      <c r="D122" s="68"/>
      <c r="E122" s="74">
        <f>SUM(E107:E121)</f>
        <v>1068</v>
      </c>
      <c r="F122" s="70"/>
      <c r="G122" s="70"/>
      <c r="H122" s="68">
        <f>SUM(H107:H121)</f>
        <v>211019200</v>
      </c>
    </row>
    <row r="123" spans="1:8">
      <c r="A123" s="67"/>
      <c r="B123" s="68"/>
      <c r="C123" s="69" t="s">
        <v>492</v>
      </c>
      <c r="D123" s="68"/>
      <c r="E123" s="74">
        <f>SUM(E122,E106,E99,E93,E72,E52,E35,E22,E13)</f>
        <v>7162</v>
      </c>
      <c r="F123" s="70"/>
      <c r="G123" s="70"/>
      <c r="H123" s="68">
        <f>H13+H22+H35+H52+H72+H93+H99+H106+H122</f>
        <v>1407134400</v>
      </c>
    </row>
  </sheetData>
  <mergeCells count="1">
    <mergeCell ref="A1:H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  <headerFooter>
    <oddFooter>第 &amp;P 页，共 &amp;N 页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:Q126"/>
  <sheetViews>
    <sheetView topLeftCell="B1" workbookViewId="0">
      <pane xSplit="4" ySplit="3" topLeftCell="F103" activePane="bottomRight" state="frozen"/>
      <selection activeCell="B1" sqref="B1"/>
      <selection pane="topRight" activeCell="F1" sqref="F1"/>
      <selection pane="bottomLeft" activeCell="B4" sqref="B4"/>
      <selection pane="bottomRight" activeCell="Q125" sqref="Q125"/>
    </sheetView>
  </sheetViews>
  <sheetFormatPr defaultRowHeight="13.5"/>
  <cols>
    <col min="1" max="1" width="0" hidden="1" customWidth="1"/>
    <col min="2" max="2" width="25.625" customWidth="1"/>
    <col min="3" max="3" width="6.5" hidden="1" customWidth="1"/>
    <col min="4" max="5" width="0" hidden="1" customWidth="1"/>
    <col min="6" max="17" width="12.625" customWidth="1"/>
  </cols>
  <sheetData>
    <row r="1" spans="1:17" ht="20.25">
      <c r="A1" s="485" t="s">
        <v>903</v>
      </c>
      <c r="B1" s="486"/>
      <c r="C1" s="486"/>
      <c r="D1" s="486"/>
      <c r="E1" s="486"/>
      <c r="F1" s="486"/>
      <c r="G1" s="486"/>
      <c r="H1" s="486"/>
      <c r="I1" s="486"/>
      <c r="J1" s="486"/>
      <c r="K1" s="486"/>
      <c r="L1" s="486"/>
      <c r="M1" s="486"/>
      <c r="N1" s="486"/>
      <c r="O1" s="486"/>
      <c r="P1" s="486"/>
      <c r="Q1" s="486"/>
    </row>
    <row r="2" spans="1:17">
      <c r="A2" s="487" t="s">
        <v>589</v>
      </c>
      <c r="B2" s="489" t="s">
        <v>885</v>
      </c>
      <c r="C2" s="489" t="s">
        <v>12</v>
      </c>
      <c r="D2" s="490" t="s">
        <v>886</v>
      </c>
      <c r="E2" s="491" t="s">
        <v>834</v>
      </c>
      <c r="F2" s="492" t="s">
        <v>904</v>
      </c>
      <c r="G2" s="493"/>
      <c r="H2" s="493"/>
      <c r="I2" s="493"/>
      <c r="J2" s="492" t="s">
        <v>905</v>
      </c>
      <c r="K2" s="493"/>
      <c r="L2" s="493"/>
      <c r="M2" s="493"/>
      <c r="N2" s="492" t="s">
        <v>887</v>
      </c>
      <c r="O2" s="493"/>
      <c r="P2" s="493"/>
      <c r="Q2" s="493"/>
    </row>
    <row r="3" spans="1:17" ht="22.5">
      <c r="A3" s="488"/>
      <c r="B3" s="488"/>
      <c r="C3" s="488"/>
      <c r="D3" s="488"/>
      <c r="E3" s="488"/>
      <c r="F3" s="198" t="s">
        <v>888</v>
      </c>
      <c r="G3" s="199" t="s">
        <v>889</v>
      </c>
      <c r="H3" s="200" t="s">
        <v>890</v>
      </c>
      <c r="I3" s="200" t="s">
        <v>891</v>
      </c>
      <c r="J3" s="198" t="s">
        <v>888</v>
      </c>
      <c r="K3" s="199" t="s">
        <v>889</v>
      </c>
      <c r="L3" s="200" t="s">
        <v>890</v>
      </c>
      <c r="M3" s="200" t="s">
        <v>891</v>
      </c>
      <c r="N3" s="198" t="s">
        <v>888</v>
      </c>
      <c r="O3" s="199" t="s">
        <v>889</v>
      </c>
      <c r="P3" s="200" t="s">
        <v>890</v>
      </c>
      <c r="Q3" s="200" t="s">
        <v>891</v>
      </c>
    </row>
    <row r="4" spans="1:17" s="205" customFormat="1" ht="20.100000000000001" customHeight="1">
      <c r="A4" s="200" t="s">
        <v>2</v>
      </c>
      <c r="B4" s="201" t="s">
        <v>466</v>
      </c>
      <c r="C4" s="201">
        <v>1</v>
      </c>
      <c r="D4" s="201" t="s">
        <v>892</v>
      </c>
      <c r="E4" s="201" t="s">
        <v>370</v>
      </c>
      <c r="F4" s="202">
        <v>23279527</v>
      </c>
      <c r="G4" s="202">
        <v>720264</v>
      </c>
      <c r="H4" s="203">
        <v>1276713</v>
      </c>
      <c r="I4" s="203">
        <f>F4+H4</f>
        <v>24556240</v>
      </c>
      <c r="J4" s="204">
        <v>24087600</v>
      </c>
      <c r="K4" s="204">
        <v>711264</v>
      </c>
      <c r="L4" s="204">
        <v>1266493</v>
      </c>
      <c r="M4" s="204">
        <f>J4+L4</f>
        <v>25354093</v>
      </c>
      <c r="N4" s="204">
        <f>F4-J4</f>
        <v>-808073</v>
      </c>
      <c r="O4" s="204">
        <f t="shared" ref="O4:Q21" si="0">G4-K4</f>
        <v>9000</v>
      </c>
      <c r="P4" s="204">
        <f t="shared" si="0"/>
        <v>10220</v>
      </c>
      <c r="Q4" s="204">
        <f t="shared" si="0"/>
        <v>-797853</v>
      </c>
    </row>
    <row r="5" spans="1:17" s="205" customFormat="1" ht="20.100000000000001" customHeight="1">
      <c r="A5" s="197" t="s">
        <v>2</v>
      </c>
      <c r="B5" s="201" t="s">
        <v>471</v>
      </c>
      <c r="C5" s="201">
        <v>2</v>
      </c>
      <c r="D5" s="201" t="s">
        <v>893</v>
      </c>
      <c r="E5" s="201" t="s">
        <v>894</v>
      </c>
      <c r="F5" s="202">
        <v>1142775</v>
      </c>
      <c r="G5" s="202"/>
      <c r="H5" s="203"/>
      <c r="I5" s="203">
        <f t="shared" ref="I5:I69" si="1">F5+H5</f>
        <v>1142775</v>
      </c>
      <c r="J5" s="204">
        <v>1170780</v>
      </c>
      <c r="K5" s="204"/>
      <c r="L5" s="204"/>
      <c r="M5" s="204">
        <f t="shared" ref="M5:M69" si="2">J5+L5</f>
        <v>1170780</v>
      </c>
      <c r="N5" s="204">
        <f t="shared" ref="N5:Q69" si="3">F5-J5</f>
        <v>-28005</v>
      </c>
      <c r="O5" s="204">
        <f t="shared" si="0"/>
        <v>0</v>
      </c>
      <c r="P5" s="204">
        <f t="shared" si="0"/>
        <v>0</v>
      </c>
      <c r="Q5" s="204">
        <f t="shared" si="0"/>
        <v>-28005</v>
      </c>
    </row>
    <row r="6" spans="1:17" s="205" customFormat="1" ht="20.100000000000001" customHeight="1">
      <c r="A6" s="197" t="s">
        <v>2</v>
      </c>
      <c r="B6" s="201" t="s">
        <v>468</v>
      </c>
      <c r="C6" s="201">
        <v>3</v>
      </c>
      <c r="D6" s="201" t="s">
        <v>893</v>
      </c>
      <c r="E6" s="201" t="s">
        <v>375</v>
      </c>
      <c r="F6" s="202">
        <v>11336224</v>
      </c>
      <c r="G6" s="202">
        <v>536564</v>
      </c>
      <c r="H6" s="203"/>
      <c r="I6" s="203">
        <f t="shared" si="1"/>
        <v>11336224</v>
      </c>
      <c r="J6" s="204">
        <v>12514040</v>
      </c>
      <c r="K6" s="204">
        <v>526564</v>
      </c>
      <c r="L6" s="204"/>
      <c r="M6" s="204">
        <f t="shared" si="2"/>
        <v>12514040</v>
      </c>
      <c r="N6" s="204">
        <f t="shared" si="3"/>
        <v>-1177816</v>
      </c>
      <c r="O6" s="204">
        <f t="shared" si="0"/>
        <v>10000</v>
      </c>
      <c r="P6" s="204">
        <f t="shared" si="0"/>
        <v>0</v>
      </c>
      <c r="Q6" s="204">
        <f t="shared" si="0"/>
        <v>-1177816</v>
      </c>
    </row>
    <row r="7" spans="1:17" s="205" customFormat="1" ht="20.100000000000001" customHeight="1">
      <c r="A7" s="197" t="s">
        <v>2</v>
      </c>
      <c r="B7" s="201" t="s">
        <v>469</v>
      </c>
      <c r="C7" s="201">
        <v>4</v>
      </c>
      <c r="D7" s="201" t="s">
        <v>893</v>
      </c>
      <c r="E7" s="201" t="s">
        <v>375</v>
      </c>
      <c r="F7" s="202">
        <v>7908843</v>
      </c>
      <c r="G7" s="202">
        <v>255064</v>
      </c>
      <c r="H7" s="203"/>
      <c r="I7" s="203">
        <f t="shared" si="1"/>
        <v>7908843</v>
      </c>
      <c r="J7" s="204">
        <v>8557395</v>
      </c>
      <c r="K7" s="204">
        <v>250064</v>
      </c>
      <c r="L7" s="204"/>
      <c r="M7" s="204">
        <f t="shared" si="2"/>
        <v>8557395</v>
      </c>
      <c r="N7" s="204">
        <f t="shared" si="3"/>
        <v>-648552</v>
      </c>
      <c r="O7" s="204">
        <f t="shared" si="0"/>
        <v>5000</v>
      </c>
      <c r="P7" s="204">
        <f t="shared" si="0"/>
        <v>0</v>
      </c>
      <c r="Q7" s="204">
        <f t="shared" si="0"/>
        <v>-648552</v>
      </c>
    </row>
    <row r="8" spans="1:17" s="205" customFormat="1" ht="20.100000000000001" customHeight="1">
      <c r="A8" s="197" t="s">
        <v>2</v>
      </c>
      <c r="B8" s="198" t="s">
        <v>470</v>
      </c>
      <c r="C8" s="201">
        <v>5</v>
      </c>
      <c r="D8" s="201" t="s">
        <v>893</v>
      </c>
      <c r="E8" s="201" t="s">
        <v>375</v>
      </c>
      <c r="F8" s="202">
        <v>4483505</v>
      </c>
      <c r="G8" s="202"/>
      <c r="H8" s="203"/>
      <c r="I8" s="203">
        <f t="shared" si="1"/>
        <v>4483505</v>
      </c>
      <c r="J8" s="204">
        <v>5060825</v>
      </c>
      <c r="K8" s="204"/>
      <c r="L8" s="204"/>
      <c r="M8" s="204">
        <f t="shared" si="2"/>
        <v>5060825</v>
      </c>
      <c r="N8" s="204">
        <f t="shared" si="3"/>
        <v>-577320</v>
      </c>
      <c r="O8" s="204">
        <f t="shared" si="0"/>
        <v>0</v>
      </c>
      <c r="P8" s="204">
        <f t="shared" si="0"/>
        <v>0</v>
      </c>
      <c r="Q8" s="204">
        <f t="shared" si="0"/>
        <v>-577320</v>
      </c>
    </row>
    <row r="9" spans="1:17" s="205" customFormat="1" ht="20.100000000000001" customHeight="1">
      <c r="A9" s="197"/>
      <c r="B9" s="198" t="s">
        <v>849</v>
      </c>
      <c r="C9" s="201"/>
      <c r="D9" s="201"/>
      <c r="E9" s="201"/>
      <c r="F9" s="202">
        <f>SUM(F4:F8)</f>
        <v>48150874</v>
      </c>
      <c r="G9" s="202">
        <f t="shared" ref="G9:Q9" si="4">SUM(G4:G8)</f>
        <v>1511892</v>
      </c>
      <c r="H9" s="202">
        <f t="shared" si="4"/>
        <v>1276713</v>
      </c>
      <c r="I9" s="202">
        <f t="shared" si="4"/>
        <v>49427587</v>
      </c>
      <c r="J9" s="202">
        <f t="shared" si="4"/>
        <v>51390640</v>
      </c>
      <c r="K9" s="202">
        <f t="shared" si="4"/>
        <v>1487892</v>
      </c>
      <c r="L9" s="202">
        <f t="shared" si="4"/>
        <v>1266493</v>
      </c>
      <c r="M9" s="202">
        <f t="shared" si="4"/>
        <v>52657133</v>
      </c>
      <c r="N9" s="202">
        <f t="shared" si="4"/>
        <v>-3239766</v>
      </c>
      <c r="O9" s="202">
        <f t="shared" si="4"/>
        <v>24000</v>
      </c>
      <c r="P9" s="202">
        <f t="shared" si="4"/>
        <v>10220</v>
      </c>
      <c r="Q9" s="202">
        <f t="shared" si="4"/>
        <v>-3229546</v>
      </c>
    </row>
    <row r="10" spans="1:17" s="205" customFormat="1" ht="20.100000000000001" customHeight="1">
      <c r="A10" s="197" t="s">
        <v>3</v>
      </c>
      <c r="B10" s="201" t="s">
        <v>895</v>
      </c>
      <c r="C10" s="201">
        <v>1</v>
      </c>
      <c r="D10" s="201" t="s">
        <v>892</v>
      </c>
      <c r="E10" s="201" t="s">
        <v>367</v>
      </c>
      <c r="F10" s="202">
        <v>15666180</v>
      </c>
      <c r="G10" s="202">
        <v>388788</v>
      </c>
      <c r="H10" s="203">
        <v>1075194</v>
      </c>
      <c r="I10" s="203">
        <f t="shared" si="1"/>
        <v>16741374</v>
      </c>
      <c r="J10" s="204">
        <v>15857670</v>
      </c>
      <c r="K10" s="204">
        <v>360416</v>
      </c>
      <c r="L10" s="204">
        <v>1300000</v>
      </c>
      <c r="M10" s="204">
        <f t="shared" si="2"/>
        <v>17157670</v>
      </c>
      <c r="N10" s="204">
        <f t="shared" si="3"/>
        <v>-191490</v>
      </c>
      <c r="O10" s="204">
        <f t="shared" si="0"/>
        <v>28372</v>
      </c>
      <c r="P10" s="204">
        <f t="shared" si="0"/>
        <v>-224806</v>
      </c>
      <c r="Q10" s="204">
        <f t="shared" si="0"/>
        <v>-416296</v>
      </c>
    </row>
    <row r="11" spans="1:17" s="205" customFormat="1" ht="20.100000000000001" customHeight="1">
      <c r="A11" s="197" t="s">
        <v>3</v>
      </c>
      <c r="B11" s="201" t="s">
        <v>190</v>
      </c>
      <c r="C11" s="201">
        <v>2</v>
      </c>
      <c r="D11" s="201" t="s">
        <v>892</v>
      </c>
      <c r="E11" s="201" t="s">
        <v>372</v>
      </c>
      <c r="F11" s="202">
        <v>12798559</v>
      </c>
      <c r="G11" s="202">
        <v>585083</v>
      </c>
      <c r="H11" s="203">
        <v>668329.5</v>
      </c>
      <c r="I11" s="203">
        <f t="shared" si="1"/>
        <v>13466888.5</v>
      </c>
      <c r="J11" s="204">
        <v>13448910</v>
      </c>
      <c r="K11" s="204">
        <v>575083</v>
      </c>
      <c r="L11" s="204">
        <v>700000</v>
      </c>
      <c r="M11" s="204">
        <f t="shared" si="2"/>
        <v>14148910</v>
      </c>
      <c r="N11" s="204">
        <f t="shared" si="3"/>
        <v>-650351</v>
      </c>
      <c r="O11" s="204">
        <f t="shared" si="0"/>
        <v>10000</v>
      </c>
      <c r="P11" s="204">
        <f t="shared" si="0"/>
        <v>-31670.5</v>
      </c>
      <c r="Q11" s="204">
        <f t="shared" si="0"/>
        <v>-682021.5</v>
      </c>
    </row>
    <row r="12" spans="1:17" s="205" customFormat="1" ht="20.100000000000001" customHeight="1">
      <c r="A12" s="197" t="s">
        <v>3</v>
      </c>
      <c r="B12" s="201" t="s">
        <v>191</v>
      </c>
      <c r="C12" s="201">
        <v>3</v>
      </c>
      <c r="D12" s="201" t="s">
        <v>892</v>
      </c>
      <c r="E12" s="201" t="s">
        <v>372</v>
      </c>
      <c r="F12" s="202">
        <v>6977351.0000000009</v>
      </c>
      <c r="G12" s="202">
        <v>325056</v>
      </c>
      <c r="H12" s="203">
        <v>538973</v>
      </c>
      <c r="I12" s="203">
        <f t="shared" si="1"/>
        <v>7516324.0000000009</v>
      </c>
      <c r="J12" s="204">
        <v>7527375</v>
      </c>
      <c r="K12" s="204">
        <v>314556</v>
      </c>
      <c r="L12" s="204">
        <v>550000</v>
      </c>
      <c r="M12" s="204">
        <f t="shared" si="2"/>
        <v>8077375</v>
      </c>
      <c r="N12" s="204">
        <f t="shared" si="3"/>
        <v>-550023.99999999907</v>
      </c>
      <c r="O12" s="204">
        <f t="shared" si="0"/>
        <v>10500</v>
      </c>
      <c r="P12" s="204">
        <f t="shared" si="0"/>
        <v>-11027</v>
      </c>
      <c r="Q12" s="204">
        <f t="shared" si="0"/>
        <v>-561050.99999999907</v>
      </c>
    </row>
    <row r="13" spans="1:17" s="205" customFormat="1" ht="20.100000000000001" customHeight="1">
      <c r="A13" s="197" t="s">
        <v>3</v>
      </c>
      <c r="B13" s="201" t="s">
        <v>195</v>
      </c>
      <c r="C13" s="201">
        <v>4</v>
      </c>
      <c r="D13" s="201" t="s">
        <v>893</v>
      </c>
      <c r="E13" s="201" t="s">
        <v>894</v>
      </c>
      <c r="F13" s="202">
        <v>1106697</v>
      </c>
      <c r="G13" s="202"/>
      <c r="H13" s="203"/>
      <c r="I13" s="203">
        <f t="shared" si="1"/>
        <v>1106697</v>
      </c>
      <c r="J13" s="204">
        <v>975650</v>
      </c>
      <c r="K13" s="204"/>
      <c r="L13" s="204"/>
      <c r="M13" s="204">
        <f t="shared" si="2"/>
        <v>975650</v>
      </c>
      <c r="N13" s="204">
        <f t="shared" si="3"/>
        <v>131047</v>
      </c>
      <c r="O13" s="204">
        <f t="shared" si="0"/>
        <v>0</v>
      </c>
      <c r="P13" s="204">
        <f t="shared" si="0"/>
        <v>0</v>
      </c>
      <c r="Q13" s="204">
        <f t="shared" si="0"/>
        <v>131047</v>
      </c>
    </row>
    <row r="14" spans="1:17" s="205" customFormat="1" ht="20.100000000000001" customHeight="1">
      <c r="A14" s="197" t="s">
        <v>3</v>
      </c>
      <c r="B14" s="201" t="s">
        <v>192</v>
      </c>
      <c r="C14" s="201">
        <v>5</v>
      </c>
      <c r="D14" s="201" t="s">
        <v>893</v>
      </c>
      <c r="E14" s="201" t="s">
        <v>375</v>
      </c>
      <c r="F14" s="202">
        <v>2432109</v>
      </c>
      <c r="G14" s="202"/>
      <c r="H14" s="203"/>
      <c r="I14" s="203">
        <f t="shared" si="1"/>
        <v>2432109</v>
      </c>
      <c r="J14" s="204">
        <v>2852465</v>
      </c>
      <c r="K14" s="204"/>
      <c r="L14" s="204"/>
      <c r="M14" s="204">
        <f t="shared" si="2"/>
        <v>2852465</v>
      </c>
      <c r="N14" s="204">
        <f t="shared" si="3"/>
        <v>-420356</v>
      </c>
      <c r="O14" s="204">
        <f t="shared" si="0"/>
        <v>0</v>
      </c>
      <c r="P14" s="204">
        <f t="shared" si="0"/>
        <v>0</v>
      </c>
      <c r="Q14" s="204">
        <f t="shared" si="0"/>
        <v>-420356</v>
      </c>
    </row>
    <row r="15" spans="1:17" s="205" customFormat="1" ht="20.100000000000001" customHeight="1">
      <c r="A15" s="197" t="s">
        <v>3</v>
      </c>
      <c r="B15" s="201" t="s">
        <v>193</v>
      </c>
      <c r="C15" s="201">
        <v>6</v>
      </c>
      <c r="D15" s="201" t="s">
        <v>893</v>
      </c>
      <c r="E15" s="201" t="s">
        <v>375</v>
      </c>
      <c r="F15" s="202">
        <v>5774565</v>
      </c>
      <c r="G15" s="202">
        <v>291076</v>
      </c>
      <c r="H15" s="203"/>
      <c r="I15" s="203">
        <f t="shared" si="1"/>
        <v>5774565</v>
      </c>
      <c r="J15" s="204">
        <v>5980975</v>
      </c>
      <c r="K15" s="204">
        <v>286076</v>
      </c>
      <c r="L15" s="204"/>
      <c r="M15" s="204">
        <f t="shared" si="2"/>
        <v>5980975</v>
      </c>
      <c r="N15" s="204">
        <f t="shared" si="3"/>
        <v>-206410</v>
      </c>
      <c r="O15" s="204">
        <f t="shared" si="0"/>
        <v>5000</v>
      </c>
      <c r="P15" s="204">
        <f t="shared" si="0"/>
        <v>0</v>
      </c>
      <c r="Q15" s="204">
        <f t="shared" si="0"/>
        <v>-206410</v>
      </c>
    </row>
    <row r="16" spans="1:17" s="205" customFormat="1" ht="20.100000000000001" customHeight="1">
      <c r="A16" s="197" t="s">
        <v>3</v>
      </c>
      <c r="B16" s="201" t="s">
        <v>194</v>
      </c>
      <c r="C16" s="201">
        <v>7</v>
      </c>
      <c r="D16" s="201" t="s">
        <v>893</v>
      </c>
      <c r="E16" s="201" t="s">
        <v>375</v>
      </c>
      <c r="F16" s="202">
        <v>8630746</v>
      </c>
      <c r="G16" s="202">
        <v>290560</v>
      </c>
      <c r="H16" s="203"/>
      <c r="I16" s="203">
        <f t="shared" si="1"/>
        <v>8630746</v>
      </c>
      <c r="J16" s="204">
        <v>9201500</v>
      </c>
      <c r="K16" s="204">
        <v>285560</v>
      </c>
      <c r="L16" s="204"/>
      <c r="M16" s="204">
        <f t="shared" si="2"/>
        <v>9201500</v>
      </c>
      <c r="N16" s="204">
        <f t="shared" si="3"/>
        <v>-570754</v>
      </c>
      <c r="O16" s="204">
        <f t="shared" si="0"/>
        <v>5000</v>
      </c>
      <c r="P16" s="204">
        <f t="shared" si="0"/>
        <v>0</v>
      </c>
      <c r="Q16" s="204">
        <f t="shared" si="0"/>
        <v>-570754</v>
      </c>
    </row>
    <row r="17" spans="1:17" s="205" customFormat="1" ht="20.100000000000001" customHeight="1">
      <c r="A17" s="197"/>
      <c r="B17" s="201" t="s">
        <v>853</v>
      </c>
      <c r="C17" s="201"/>
      <c r="D17" s="201"/>
      <c r="E17" s="201"/>
      <c r="F17" s="202">
        <f>SUM(F10:F16)</f>
        <v>53386207</v>
      </c>
      <c r="G17" s="202">
        <f t="shared" ref="G17:Q17" si="5">SUM(G10:G16)</f>
        <v>1880563</v>
      </c>
      <c r="H17" s="202">
        <f t="shared" si="5"/>
        <v>2282496.5</v>
      </c>
      <c r="I17" s="202">
        <f t="shared" si="5"/>
        <v>55668703.5</v>
      </c>
      <c r="J17" s="202">
        <f t="shared" si="5"/>
        <v>55844545</v>
      </c>
      <c r="K17" s="202">
        <f t="shared" si="5"/>
        <v>1821691</v>
      </c>
      <c r="L17" s="202">
        <f t="shared" si="5"/>
        <v>2550000</v>
      </c>
      <c r="M17" s="202">
        <f t="shared" si="5"/>
        <v>58394545</v>
      </c>
      <c r="N17" s="202">
        <f t="shared" si="5"/>
        <v>-2458337.9999999991</v>
      </c>
      <c r="O17" s="202">
        <f t="shared" si="5"/>
        <v>58872</v>
      </c>
      <c r="P17" s="202">
        <f t="shared" si="5"/>
        <v>-267503.5</v>
      </c>
      <c r="Q17" s="202">
        <f t="shared" si="5"/>
        <v>-2725841.4999999991</v>
      </c>
    </row>
    <row r="18" spans="1:17" s="205" customFormat="1" ht="20.100000000000001" customHeight="1">
      <c r="A18" s="197" t="s">
        <v>4</v>
      </c>
      <c r="B18" s="201" t="s">
        <v>444</v>
      </c>
      <c r="C18" s="201">
        <v>1</v>
      </c>
      <c r="D18" s="201" t="s">
        <v>892</v>
      </c>
      <c r="E18" s="201" t="s">
        <v>367</v>
      </c>
      <c r="F18" s="202">
        <v>15025680</v>
      </c>
      <c r="G18" s="202">
        <v>313796</v>
      </c>
      <c r="H18" s="203">
        <v>1148519</v>
      </c>
      <c r="I18" s="203">
        <f t="shared" si="1"/>
        <v>16174199</v>
      </c>
      <c r="J18" s="204">
        <v>15456210</v>
      </c>
      <c r="K18" s="204">
        <v>303796</v>
      </c>
      <c r="L18" s="204">
        <v>1051450</v>
      </c>
      <c r="M18" s="204">
        <f t="shared" si="2"/>
        <v>16507660</v>
      </c>
      <c r="N18" s="204">
        <f t="shared" si="3"/>
        <v>-430530</v>
      </c>
      <c r="O18" s="204">
        <f t="shared" si="0"/>
        <v>10000</v>
      </c>
      <c r="P18" s="204">
        <f t="shared" si="0"/>
        <v>97069</v>
      </c>
      <c r="Q18" s="204">
        <f t="shared" si="0"/>
        <v>-333461</v>
      </c>
    </row>
    <row r="19" spans="1:17" s="205" customFormat="1" ht="20.100000000000001" customHeight="1">
      <c r="A19" s="197" t="s">
        <v>4</v>
      </c>
      <c r="B19" s="201" t="s">
        <v>447</v>
      </c>
      <c r="C19" s="201">
        <v>2</v>
      </c>
      <c r="D19" s="201" t="s">
        <v>892</v>
      </c>
      <c r="E19" s="201" t="s">
        <v>367</v>
      </c>
      <c r="F19" s="202">
        <v>53466345.000000007</v>
      </c>
      <c r="G19" s="202">
        <v>709378</v>
      </c>
      <c r="H19" s="203">
        <v>4486983.5</v>
      </c>
      <c r="I19" s="203">
        <f t="shared" si="1"/>
        <v>57953328.500000007</v>
      </c>
      <c r="J19" s="204">
        <v>54799290</v>
      </c>
      <c r="K19" s="204">
        <v>698658</v>
      </c>
      <c r="L19" s="204">
        <v>4854298.5</v>
      </c>
      <c r="M19" s="204">
        <f t="shared" si="2"/>
        <v>59653588.5</v>
      </c>
      <c r="N19" s="204">
        <f t="shared" si="3"/>
        <v>-1332944.9999999925</v>
      </c>
      <c r="O19" s="204">
        <f t="shared" si="0"/>
        <v>10720</v>
      </c>
      <c r="P19" s="204">
        <f t="shared" si="0"/>
        <v>-367315</v>
      </c>
      <c r="Q19" s="204">
        <f t="shared" si="0"/>
        <v>-1700259.9999999925</v>
      </c>
    </row>
    <row r="20" spans="1:17" s="205" customFormat="1" ht="20.100000000000001" customHeight="1">
      <c r="A20" s="197" t="s">
        <v>4</v>
      </c>
      <c r="B20" s="201" t="s">
        <v>448</v>
      </c>
      <c r="C20" s="201">
        <v>3</v>
      </c>
      <c r="D20" s="201" t="s">
        <v>892</v>
      </c>
      <c r="E20" s="201" t="s">
        <v>367</v>
      </c>
      <c r="F20" s="202">
        <v>18500197</v>
      </c>
      <c r="G20" s="202">
        <v>292776</v>
      </c>
      <c r="H20" s="203">
        <v>1012388.25</v>
      </c>
      <c r="I20" s="203">
        <f t="shared" si="1"/>
        <v>19512585.25</v>
      </c>
      <c r="J20" s="204">
        <v>18768255</v>
      </c>
      <c r="K20" s="204">
        <v>285776</v>
      </c>
      <c r="L20" s="204">
        <v>976140.75</v>
      </c>
      <c r="M20" s="204">
        <f t="shared" si="2"/>
        <v>19744395.75</v>
      </c>
      <c r="N20" s="204">
        <f t="shared" si="3"/>
        <v>-268058</v>
      </c>
      <c r="O20" s="204">
        <f t="shared" si="0"/>
        <v>7000</v>
      </c>
      <c r="P20" s="204">
        <f t="shared" si="0"/>
        <v>36247.5</v>
      </c>
      <c r="Q20" s="204">
        <f t="shared" si="0"/>
        <v>-231810.5</v>
      </c>
    </row>
    <row r="21" spans="1:17" s="205" customFormat="1" ht="20.100000000000001" customHeight="1">
      <c r="A21" s="197" t="s">
        <v>4</v>
      </c>
      <c r="B21" s="201" t="s">
        <v>449</v>
      </c>
      <c r="C21" s="201">
        <v>4</v>
      </c>
      <c r="D21" s="201" t="s">
        <v>892</v>
      </c>
      <c r="E21" s="201" t="s">
        <v>367</v>
      </c>
      <c r="F21" s="202">
        <v>19949322</v>
      </c>
      <c r="G21" s="202">
        <v>310644</v>
      </c>
      <c r="H21" s="203">
        <v>1631335.5</v>
      </c>
      <c r="I21" s="203">
        <f t="shared" si="1"/>
        <v>21580657.5</v>
      </c>
      <c r="J21" s="204">
        <v>19972635</v>
      </c>
      <c r="K21" s="204">
        <v>305644</v>
      </c>
      <c r="L21" s="204">
        <v>1622153</v>
      </c>
      <c r="M21" s="204">
        <f t="shared" si="2"/>
        <v>21594788</v>
      </c>
      <c r="N21" s="204">
        <f t="shared" si="3"/>
        <v>-23313</v>
      </c>
      <c r="O21" s="204">
        <f t="shared" si="0"/>
        <v>5000</v>
      </c>
      <c r="P21" s="204">
        <f t="shared" si="0"/>
        <v>9182.5</v>
      </c>
      <c r="Q21" s="204">
        <f t="shared" si="0"/>
        <v>-14130.5</v>
      </c>
    </row>
    <row r="22" spans="1:17" s="205" customFormat="1" ht="20.100000000000001" customHeight="1">
      <c r="A22" s="197" t="s">
        <v>4</v>
      </c>
      <c r="B22" s="201" t="s">
        <v>896</v>
      </c>
      <c r="C22" s="201">
        <v>5</v>
      </c>
      <c r="D22" s="201" t="s">
        <v>892</v>
      </c>
      <c r="E22" s="201" t="s">
        <v>370</v>
      </c>
      <c r="F22" s="202">
        <v>11641785</v>
      </c>
      <c r="G22" s="202">
        <v>262472</v>
      </c>
      <c r="H22" s="203">
        <v>765039.5</v>
      </c>
      <c r="I22" s="203">
        <f t="shared" si="1"/>
        <v>12406824.5</v>
      </c>
      <c r="J22" s="204">
        <v>12645990</v>
      </c>
      <c r="K22" s="204">
        <v>257472</v>
      </c>
      <c r="L22" s="204">
        <v>882154</v>
      </c>
      <c r="M22" s="204">
        <f t="shared" si="2"/>
        <v>13528144</v>
      </c>
      <c r="N22" s="204">
        <f t="shared" si="3"/>
        <v>-1004205</v>
      </c>
      <c r="O22" s="204">
        <f t="shared" si="3"/>
        <v>5000</v>
      </c>
      <c r="P22" s="204">
        <f t="shared" si="3"/>
        <v>-117114.5</v>
      </c>
      <c r="Q22" s="204">
        <f t="shared" si="3"/>
        <v>-1121319.5</v>
      </c>
    </row>
    <row r="23" spans="1:17" s="205" customFormat="1" ht="20.100000000000001" customHeight="1">
      <c r="A23" s="197" t="s">
        <v>4</v>
      </c>
      <c r="B23" s="201" t="s">
        <v>450</v>
      </c>
      <c r="C23" s="201">
        <v>6</v>
      </c>
      <c r="D23" s="201" t="s">
        <v>892</v>
      </c>
      <c r="E23" s="201" t="s">
        <v>372</v>
      </c>
      <c r="F23" s="202">
        <v>10757893</v>
      </c>
      <c r="G23" s="202">
        <v>501805</v>
      </c>
      <c r="H23" s="203">
        <v>530820</v>
      </c>
      <c r="I23" s="203">
        <f t="shared" si="1"/>
        <v>11288713</v>
      </c>
      <c r="J23" s="204">
        <v>11742705</v>
      </c>
      <c r="K23" s="204">
        <v>478348</v>
      </c>
      <c r="L23" s="204">
        <v>545416.5</v>
      </c>
      <c r="M23" s="204">
        <f t="shared" si="2"/>
        <v>12288121.5</v>
      </c>
      <c r="N23" s="204">
        <f t="shared" si="3"/>
        <v>-984812</v>
      </c>
      <c r="O23" s="204">
        <f t="shared" si="3"/>
        <v>23457</v>
      </c>
      <c r="P23" s="204">
        <f t="shared" si="3"/>
        <v>-14596.5</v>
      </c>
      <c r="Q23" s="204">
        <f t="shared" si="3"/>
        <v>-999408.5</v>
      </c>
    </row>
    <row r="24" spans="1:17" s="205" customFormat="1" ht="20.100000000000001" customHeight="1">
      <c r="A24" s="197" t="s">
        <v>4</v>
      </c>
      <c r="B24" s="201" t="s">
        <v>451</v>
      </c>
      <c r="C24" s="201">
        <v>7</v>
      </c>
      <c r="D24" s="201" t="s">
        <v>892</v>
      </c>
      <c r="E24" s="201" t="s">
        <v>372</v>
      </c>
      <c r="F24" s="202">
        <v>65024972</v>
      </c>
      <c r="G24" s="202">
        <v>749028</v>
      </c>
      <c r="H24" s="203">
        <v>3409685</v>
      </c>
      <c r="I24" s="203">
        <f t="shared" si="1"/>
        <v>68434657</v>
      </c>
      <c r="J24" s="204">
        <v>70054770</v>
      </c>
      <c r="K24" s="204">
        <v>739028</v>
      </c>
      <c r="L24" s="204">
        <v>3365004.5</v>
      </c>
      <c r="M24" s="204">
        <f t="shared" si="2"/>
        <v>73419774.5</v>
      </c>
      <c r="N24" s="204">
        <f t="shared" si="3"/>
        <v>-5029798</v>
      </c>
      <c r="O24" s="204">
        <f t="shared" si="3"/>
        <v>10000</v>
      </c>
      <c r="P24" s="204">
        <f t="shared" si="3"/>
        <v>44680.5</v>
      </c>
      <c r="Q24" s="204">
        <f t="shared" si="3"/>
        <v>-4985117.5</v>
      </c>
    </row>
    <row r="25" spans="1:17" s="205" customFormat="1" ht="20.100000000000001" customHeight="1">
      <c r="A25" s="197" t="s">
        <v>4</v>
      </c>
      <c r="B25" s="201" t="s">
        <v>452</v>
      </c>
      <c r="C25" s="201">
        <v>8</v>
      </c>
      <c r="D25" s="201" t="s">
        <v>892</v>
      </c>
      <c r="E25" s="201" t="s">
        <v>372</v>
      </c>
      <c r="F25" s="202">
        <v>11601850</v>
      </c>
      <c r="G25" s="202">
        <v>523184</v>
      </c>
      <c r="H25" s="203">
        <v>486813.5</v>
      </c>
      <c r="I25" s="203">
        <f t="shared" si="1"/>
        <v>12088663.5</v>
      </c>
      <c r="J25" s="204">
        <v>12244530</v>
      </c>
      <c r="K25" s="204">
        <v>513184</v>
      </c>
      <c r="L25" s="204">
        <v>493688</v>
      </c>
      <c r="M25" s="204">
        <f t="shared" si="2"/>
        <v>12738218</v>
      </c>
      <c r="N25" s="204">
        <f t="shared" si="3"/>
        <v>-642680</v>
      </c>
      <c r="O25" s="204">
        <f t="shared" si="3"/>
        <v>10000</v>
      </c>
      <c r="P25" s="204">
        <f t="shared" si="3"/>
        <v>-6874.5</v>
      </c>
      <c r="Q25" s="204">
        <f t="shared" si="3"/>
        <v>-649554.5</v>
      </c>
    </row>
    <row r="26" spans="1:17" s="205" customFormat="1" ht="20.100000000000001" customHeight="1">
      <c r="A26" s="197" t="s">
        <v>4</v>
      </c>
      <c r="B26" s="201" t="s">
        <v>453</v>
      </c>
      <c r="C26" s="201">
        <v>9</v>
      </c>
      <c r="D26" s="201" t="s">
        <v>892</v>
      </c>
      <c r="E26" s="201" t="s">
        <v>372</v>
      </c>
      <c r="F26" s="214">
        <f>25224456-3600</f>
        <v>25220856</v>
      </c>
      <c r="G26" s="202">
        <v>671484</v>
      </c>
      <c r="H26" s="203">
        <v>1708220</v>
      </c>
      <c r="I26" s="203">
        <f t="shared" si="1"/>
        <v>26929076</v>
      </c>
      <c r="J26" s="204">
        <v>27198915</v>
      </c>
      <c r="K26" s="204">
        <v>661484</v>
      </c>
      <c r="L26" s="204">
        <v>1701018</v>
      </c>
      <c r="M26" s="204">
        <f t="shared" si="2"/>
        <v>28899933</v>
      </c>
      <c r="N26" s="204">
        <f t="shared" si="3"/>
        <v>-1978059</v>
      </c>
      <c r="O26" s="204">
        <f t="shared" si="3"/>
        <v>10000</v>
      </c>
      <c r="P26" s="204">
        <f t="shared" si="3"/>
        <v>7202</v>
      </c>
      <c r="Q26" s="204">
        <f t="shared" si="3"/>
        <v>-1970857</v>
      </c>
    </row>
    <row r="27" spans="1:17" s="205" customFormat="1" ht="20.100000000000001" customHeight="1">
      <c r="A27" s="197" t="s">
        <v>4</v>
      </c>
      <c r="B27" s="201" t="s">
        <v>454</v>
      </c>
      <c r="C27" s="201">
        <v>10</v>
      </c>
      <c r="D27" s="201" t="s">
        <v>892</v>
      </c>
      <c r="E27" s="201" t="s">
        <v>372</v>
      </c>
      <c r="F27" s="202">
        <v>23447278</v>
      </c>
      <c r="G27" s="202">
        <v>293820</v>
      </c>
      <c r="H27" s="203">
        <v>953292</v>
      </c>
      <c r="I27" s="203">
        <f t="shared" si="1"/>
        <v>24400570</v>
      </c>
      <c r="J27" s="204">
        <v>25291980</v>
      </c>
      <c r="K27" s="204">
        <v>288820</v>
      </c>
      <c r="L27" s="204">
        <v>746595.5</v>
      </c>
      <c r="M27" s="204">
        <f t="shared" si="2"/>
        <v>26038575.5</v>
      </c>
      <c r="N27" s="204">
        <f t="shared" si="3"/>
        <v>-1844702</v>
      </c>
      <c r="O27" s="204">
        <f t="shared" si="3"/>
        <v>5000</v>
      </c>
      <c r="P27" s="204">
        <f t="shared" si="3"/>
        <v>206696.5</v>
      </c>
      <c r="Q27" s="204">
        <f t="shared" si="3"/>
        <v>-1638005.5</v>
      </c>
    </row>
    <row r="28" spans="1:17" s="205" customFormat="1" ht="20.100000000000001" customHeight="1">
      <c r="A28" s="197" t="s">
        <v>4</v>
      </c>
      <c r="B28" s="201" t="s">
        <v>464</v>
      </c>
      <c r="C28" s="201">
        <v>11</v>
      </c>
      <c r="D28" s="201" t="s">
        <v>893</v>
      </c>
      <c r="E28" s="201" t="s">
        <v>894</v>
      </c>
      <c r="F28" s="202">
        <v>1426850</v>
      </c>
      <c r="G28" s="202"/>
      <c r="H28" s="203"/>
      <c r="I28" s="203">
        <f t="shared" si="1"/>
        <v>1426850</v>
      </c>
      <c r="J28" s="204">
        <v>1365910</v>
      </c>
      <c r="K28" s="204"/>
      <c r="L28" s="204"/>
      <c r="M28" s="204">
        <f t="shared" si="2"/>
        <v>1365910</v>
      </c>
      <c r="N28" s="204">
        <f t="shared" si="3"/>
        <v>60940</v>
      </c>
      <c r="O28" s="204">
        <f t="shared" si="3"/>
        <v>0</v>
      </c>
      <c r="P28" s="204">
        <f t="shared" si="3"/>
        <v>0</v>
      </c>
      <c r="Q28" s="204">
        <f t="shared" si="3"/>
        <v>60940</v>
      </c>
    </row>
    <row r="29" spans="1:17" s="205" customFormat="1" ht="20.100000000000001" customHeight="1">
      <c r="A29" s="197" t="s">
        <v>4</v>
      </c>
      <c r="B29" s="201" t="s">
        <v>455</v>
      </c>
      <c r="C29" s="201">
        <v>12</v>
      </c>
      <c r="D29" s="201" t="s">
        <v>893</v>
      </c>
      <c r="E29" s="201" t="s">
        <v>375</v>
      </c>
      <c r="F29" s="202">
        <v>6816208</v>
      </c>
      <c r="G29" s="202">
        <v>252004</v>
      </c>
      <c r="H29" s="203"/>
      <c r="I29" s="203">
        <f t="shared" si="1"/>
        <v>6816208</v>
      </c>
      <c r="J29" s="204">
        <v>7821275</v>
      </c>
      <c r="K29" s="204">
        <v>247004</v>
      </c>
      <c r="L29" s="204"/>
      <c r="M29" s="204">
        <f t="shared" si="2"/>
        <v>7821275</v>
      </c>
      <c r="N29" s="204">
        <f t="shared" si="3"/>
        <v>-1005067</v>
      </c>
      <c r="O29" s="204">
        <f t="shared" si="3"/>
        <v>5000</v>
      </c>
      <c r="P29" s="204">
        <f t="shared" si="3"/>
        <v>0</v>
      </c>
      <c r="Q29" s="204">
        <f t="shared" si="3"/>
        <v>-1005067</v>
      </c>
    </row>
    <row r="30" spans="1:17" s="205" customFormat="1" ht="20.100000000000001" customHeight="1">
      <c r="A30" s="197" t="s">
        <v>4</v>
      </c>
      <c r="B30" s="201" t="s">
        <v>456</v>
      </c>
      <c r="C30" s="201">
        <v>13</v>
      </c>
      <c r="D30" s="201" t="s">
        <v>893</v>
      </c>
      <c r="E30" s="201" t="s">
        <v>375</v>
      </c>
      <c r="F30" s="202">
        <v>16129323</v>
      </c>
      <c r="G30" s="202">
        <v>341944</v>
      </c>
      <c r="H30" s="203"/>
      <c r="I30" s="203">
        <f t="shared" si="1"/>
        <v>16129323</v>
      </c>
      <c r="J30" s="204">
        <v>18034940</v>
      </c>
      <c r="K30" s="204">
        <v>336944</v>
      </c>
      <c r="L30" s="204"/>
      <c r="M30" s="204">
        <f t="shared" si="2"/>
        <v>18034940</v>
      </c>
      <c r="N30" s="204">
        <f t="shared" si="3"/>
        <v>-1905617</v>
      </c>
      <c r="O30" s="204">
        <f t="shared" si="3"/>
        <v>5000</v>
      </c>
      <c r="P30" s="204">
        <f t="shared" si="3"/>
        <v>0</v>
      </c>
      <c r="Q30" s="204">
        <f t="shared" si="3"/>
        <v>-1905617</v>
      </c>
    </row>
    <row r="31" spans="1:17" s="205" customFormat="1" ht="20.100000000000001" customHeight="1">
      <c r="A31" s="197" t="s">
        <v>4</v>
      </c>
      <c r="B31" s="201" t="s">
        <v>457</v>
      </c>
      <c r="C31" s="201">
        <v>14</v>
      </c>
      <c r="D31" s="201" t="s">
        <v>893</v>
      </c>
      <c r="E31" s="201" t="s">
        <v>375</v>
      </c>
      <c r="F31" s="202">
        <v>7224290</v>
      </c>
      <c r="G31" s="202">
        <v>249556</v>
      </c>
      <c r="H31" s="203"/>
      <c r="I31" s="203">
        <f t="shared" si="1"/>
        <v>7224290</v>
      </c>
      <c r="J31" s="204">
        <v>8189335</v>
      </c>
      <c r="K31" s="204">
        <v>244556</v>
      </c>
      <c r="L31" s="204"/>
      <c r="M31" s="204">
        <f t="shared" si="2"/>
        <v>8189335</v>
      </c>
      <c r="N31" s="204">
        <f t="shared" si="3"/>
        <v>-965045</v>
      </c>
      <c r="O31" s="204">
        <f t="shared" si="3"/>
        <v>5000</v>
      </c>
      <c r="P31" s="204">
        <f t="shared" si="3"/>
        <v>0</v>
      </c>
      <c r="Q31" s="204">
        <f t="shared" si="3"/>
        <v>-965045</v>
      </c>
    </row>
    <row r="32" spans="1:17" s="205" customFormat="1" ht="20.100000000000001" customHeight="1">
      <c r="A32" s="197" t="s">
        <v>4</v>
      </c>
      <c r="B32" s="201" t="s">
        <v>458</v>
      </c>
      <c r="C32" s="201">
        <v>15</v>
      </c>
      <c r="D32" s="201" t="s">
        <v>893</v>
      </c>
      <c r="E32" s="201" t="s">
        <v>375</v>
      </c>
      <c r="F32" s="202">
        <v>8062398</v>
      </c>
      <c r="G32" s="202">
        <v>251064</v>
      </c>
      <c r="H32" s="203"/>
      <c r="I32" s="203">
        <f t="shared" si="1"/>
        <v>8062398</v>
      </c>
      <c r="J32" s="204">
        <v>8833440</v>
      </c>
      <c r="K32" s="204">
        <v>246064</v>
      </c>
      <c r="L32" s="204"/>
      <c r="M32" s="204">
        <f t="shared" si="2"/>
        <v>8833440</v>
      </c>
      <c r="N32" s="204">
        <f t="shared" si="3"/>
        <v>-771042</v>
      </c>
      <c r="O32" s="204">
        <f t="shared" si="3"/>
        <v>5000</v>
      </c>
      <c r="P32" s="204">
        <f t="shared" si="3"/>
        <v>0</v>
      </c>
      <c r="Q32" s="204">
        <f t="shared" si="3"/>
        <v>-771042</v>
      </c>
    </row>
    <row r="33" spans="1:17" s="205" customFormat="1" ht="20.100000000000001" customHeight="1">
      <c r="A33" s="197" t="s">
        <v>4</v>
      </c>
      <c r="B33" s="201" t="s">
        <v>460</v>
      </c>
      <c r="C33" s="201">
        <v>16</v>
      </c>
      <c r="D33" s="201" t="s">
        <v>893</v>
      </c>
      <c r="E33" s="201" t="s">
        <v>375</v>
      </c>
      <c r="F33" s="202">
        <v>4982236</v>
      </c>
      <c r="G33" s="202">
        <v>256836</v>
      </c>
      <c r="H33" s="203"/>
      <c r="I33" s="203">
        <f t="shared" si="1"/>
        <v>4982236</v>
      </c>
      <c r="J33" s="204">
        <v>5336870</v>
      </c>
      <c r="K33" s="204">
        <v>251836</v>
      </c>
      <c r="L33" s="204"/>
      <c r="M33" s="204">
        <f t="shared" si="2"/>
        <v>5336870</v>
      </c>
      <c r="N33" s="204">
        <f t="shared" si="3"/>
        <v>-354634</v>
      </c>
      <c r="O33" s="204">
        <f t="shared" si="3"/>
        <v>5000</v>
      </c>
      <c r="P33" s="204">
        <f t="shared" si="3"/>
        <v>0</v>
      </c>
      <c r="Q33" s="204">
        <f t="shared" si="3"/>
        <v>-354634</v>
      </c>
    </row>
    <row r="34" spans="1:17" s="205" customFormat="1" ht="20.100000000000001" customHeight="1">
      <c r="A34" s="197" t="s">
        <v>4</v>
      </c>
      <c r="B34" s="198" t="s">
        <v>459</v>
      </c>
      <c r="C34" s="201">
        <v>17</v>
      </c>
      <c r="D34" s="201" t="s">
        <v>893</v>
      </c>
      <c r="E34" s="201" t="s">
        <v>375</v>
      </c>
      <c r="F34" s="202">
        <v>3548075</v>
      </c>
      <c r="G34" s="202"/>
      <c r="H34" s="203"/>
      <c r="I34" s="203">
        <f t="shared" si="1"/>
        <v>3548075</v>
      </c>
      <c r="J34" s="204">
        <v>3956645</v>
      </c>
      <c r="K34" s="204"/>
      <c r="L34" s="204"/>
      <c r="M34" s="204">
        <f t="shared" si="2"/>
        <v>3956645</v>
      </c>
      <c r="N34" s="204">
        <f t="shared" si="3"/>
        <v>-408570</v>
      </c>
      <c r="O34" s="204">
        <f t="shared" si="3"/>
        <v>0</v>
      </c>
      <c r="P34" s="204">
        <f t="shared" si="3"/>
        <v>0</v>
      </c>
      <c r="Q34" s="204">
        <f t="shared" si="3"/>
        <v>-408570</v>
      </c>
    </row>
    <row r="35" spans="1:17" s="205" customFormat="1" ht="20.100000000000001" customHeight="1">
      <c r="A35" s="197" t="s">
        <v>4</v>
      </c>
      <c r="B35" s="198" t="s">
        <v>897</v>
      </c>
      <c r="C35" s="201">
        <v>18</v>
      </c>
      <c r="D35" s="201" t="s">
        <v>893</v>
      </c>
      <c r="E35" s="201" t="s">
        <v>375</v>
      </c>
      <c r="F35" s="202">
        <v>2938567.9999999995</v>
      </c>
      <c r="G35" s="202">
        <v>228796</v>
      </c>
      <c r="H35" s="203"/>
      <c r="I35" s="203">
        <f t="shared" si="1"/>
        <v>2938567.9999999995</v>
      </c>
      <c r="J35" s="204">
        <v>3220525</v>
      </c>
      <c r="K35" s="204">
        <v>223796</v>
      </c>
      <c r="L35" s="204"/>
      <c r="M35" s="204">
        <f t="shared" si="2"/>
        <v>3220525</v>
      </c>
      <c r="N35" s="204">
        <f t="shared" si="3"/>
        <v>-281957.00000000047</v>
      </c>
      <c r="O35" s="204">
        <f t="shared" si="3"/>
        <v>5000</v>
      </c>
      <c r="P35" s="204">
        <f t="shared" si="3"/>
        <v>0</v>
      </c>
      <c r="Q35" s="204">
        <f t="shared" si="3"/>
        <v>-281957.00000000047</v>
      </c>
    </row>
    <row r="36" spans="1:17" s="205" customFormat="1" ht="20.100000000000001" customHeight="1">
      <c r="A36" s="197" t="s">
        <v>4</v>
      </c>
      <c r="B36" s="198" t="s">
        <v>462</v>
      </c>
      <c r="C36" s="201">
        <v>19</v>
      </c>
      <c r="D36" s="201" t="s">
        <v>893</v>
      </c>
      <c r="E36" s="201" t="s">
        <v>375</v>
      </c>
      <c r="F36" s="202">
        <v>13256542</v>
      </c>
      <c r="G36" s="202"/>
      <c r="H36" s="203"/>
      <c r="I36" s="203">
        <f t="shared" si="1"/>
        <v>13256542</v>
      </c>
      <c r="J36" s="204">
        <v>14446355</v>
      </c>
      <c r="K36" s="204"/>
      <c r="L36" s="204"/>
      <c r="M36" s="204">
        <f t="shared" si="2"/>
        <v>14446355</v>
      </c>
      <c r="N36" s="204">
        <f t="shared" si="3"/>
        <v>-1189813</v>
      </c>
      <c r="O36" s="204">
        <f t="shared" si="3"/>
        <v>0</v>
      </c>
      <c r="P36" s="204">
        <f t="shared" si="3"/>
        <v>0</v>
      </c>
      <c r="Q36" s="204">
        <f t="shared" si="3"/>
        <v>-1189813</v>
      </c>
    </row>
    <row r="37" spans="1:17" s="205" customFormat="1" ht="20.100000000000001" customHeight="1">
      <c r="A37" s="197" t="s">
        <v>4</v>
      </c>
      <c r="B37" s="198" t="s">
        <v>463</v>
      </c>
      <c r="C37" s="201">
        <v>20</v>
      </c>
      <c r="D37" s="201" t="s">
        <v>893</v>
      </c>
      <c r="E37" s="201" t="s">
        <v>375</v>
      </c>
      <c r="F37" s="202">
        <v>1397979</v>
      </c>
      <c r="G37" s="202">
        <v>274516</v>
      </c>
      <c r="H37" s="203"/>
      <c r="I37" s="203">
        <f t="shared" si="1"/>
        <v>1397979</v>
      </c>
      <c r="J37" s="204">
        <v>1472240</v>
      </c>
      <c r="K37" s="204">
        <v>269516</v>
      </c>
      <c r="L37" s="204"/>
      <c r="M37" s="204">
        <f t="shared" si="2"/>
        <v>1472240</v>
      </c>
      <c r="N37" s="204">
        <f t="shared" si="3"/>
        <v>-74261</v>
      </c>
      <c r="O37" s="204">
        <f t="shared" si="3"/>
        <v>5000</v>
      </c>
      <c r="P37" s="204">
        <f t="shared" si="3"/>
        <v>0</v>
      </c>
      <c r="Q37" s="204">
        <f t="shared" si="3"/>
        <v>-74261</v>
      </c>
    </row>
    <row r="38" spans="1:17" s="205" customFormat="1" ht="20.100000000000001" customHeight="1">
      <c r="A38" s="197"/>
      <c r="B38" s="198" t="s">
        <v>858</v>
      </c>
      <c r="C38" s="201"/>
      <c r="D38" s="201"/>
      <c r="E38" s="201"/>
      <c r="F38" s="202">
        <f>SUM(F18:F37)</f>
        <v>320418647</v>
      </c>
      <c r="G38" s="202">
        <f t="shared" ref="G38:Q38" si="6">SUM(G18:G37)</f>
        <v>6483103</v>
      </c>
      <c r="H38" s="202">
        <f t="shared" si="6"/>
        <v>16133096.25</v>
      </c>
      <c r="I38" s="202">
        <f t="shared" si="6"/>
        <v>336551743.25</v>
      </c>
      <c r="J38" s="202">
        <f t="shared" si="6"/>
        <v>340852815</v>
      </c>
      <c r="K38" s="202">
        <f t="shared" si="6"/>
        <v>6351926</v>
      </c>
      <c r="L38" s="202">
        <f t="shared" si="6"/>
        <v>16237918.75</v>
      </c>
      <c r="M38" s="202">
        <f t="shared" si="6"/>
        <v>357090733.75</v>
      </c>
      <c r="N38" s="202">
        <f t="shared" si="6"/>
        <v>-20434167.999999993</v>
      </c>
      <c r="O38" s="202">
        <f t="shared" si="6"/>
        <v>131177</v>
      </c>
      <c r="P38" s="202">
        <f t="shared" si="6"/>
        <v>-104822.5</v>
      </c>
      <c r="Q38" s="202">
        <f t="shared" si="6"/>
        <v>-20538990.499999993</v>
      </c>
    </row>
    <row r="39" spans="1:17" s="205" customFormat="1" ht="20.100000000000001" customHeight="1">
      <c r="A39" s="197" t="s">
        <v>5</v>
      </c>
      <c r="B39" s="201" t="s">
        <v>423</v>
      </c>
      <c r="C39" s="201">
        <v>1</v>
      </c>
      <c r="D39" s="201" t="s">
        <v>892</v>
      </c>
      <c r="E39" s="201" t="s">
        <v>367</v>
      </c>
      <c r="F39" s="202">
        <v>16606263</v>
      </c>
      <c r="G39" s="202">
        <v>507384</v>
      </c>
      <c r="H39" s="203">
        <v>1199284</v>
      </c>
      <c r="I39" s="203">
        <f t="shared" si="1"/>
        <v>17805547</v>
      </c>
      <c r="J39" s="204">
        <v>16760955</v>
      </c>
      <c r="K39" s="204">
        <v>487981</v>
      </c>
      <c r="L39" s="204">
        <v>1100000</v>
      </c>
      <c r="M39" s="204">
        <f t="shared" si="2"/>
        <v>17860955</v>
      </c>
      <c r="N39" s="204">
        <f t="shared" si="3"/>
        <v>-154692</v>
      </c>
      <c r="O39" s="204">
        <f t="shared" si="3"/>
        <v>19403</v>
      </c>
      <c r="P39" s="204">
        <f t="shared" si="3"/>
        <v>99284</v>
      </c>
      <c r="Q39" s="204">
        <f t="shared" si="3"/>
        <v>-55408</v>
      </c>
    </row>
    <row r="40" spans="1:17" s="205" customFormat="1" ht="20.100000000000001" customHeight="1">
      <c r="A40" s="197" t="s">
        <v>5</v>
      </c>
      <c r="B40" s="201" t="s">
        <v>425</v>
      </c>
      <c r="C40" s="201">
        <v>2</v>
      </c>
      <c r="D40" s="201" t="s">
        <v>892</v>
      </c>
      <c r="E40" s="201" t="s">
        <v>367</v>
      </c>
      <c r="F40" s="202">
        <v>16412021</v>
      </c>
      <c r="G40" s="202">
        <v>275592</v>
      </c>
      <c r="H40" s="203">
        <v>1445069.5</v>
      </c>
      <c r="I40" s="203">
        <f t="shared" si="1"/>
        <v>17857090.5</v>
      </c>
      <c r="J40" s="204">
        <v>16861320</v>
      </c>
      <c r="K40" s="204">
        <v>270592</v>
      </c>
      <c r="L40" s="204">
        <v>1376228</v>
      </c>
      <c r="M40" s="204">
        <f t="shared" si="2"/>
        <v>18237548</v>
      </c>
      <c r="N40" s="204">
        <f t="shared" si="3"/>
        <v>-449299</v>
      </c>
      <c r="O40" s="204">
        <f t="shared" si="3"/>
        <v>5000</v>
      </c>
      <c r="P40" s="204">
        <f t="shared" si="3"/>
        <v>68841.5</v>
      </c>
      <c r="Q40" s="204">
        <f t="shared" si="3"/>
        <v>-380457.5</v>
      </c>
    </row>
    <row r="41" spans="1:17" s="205" customFormat="1" ht="20.100000000000001" customHeight="1">
      <c r="A41" s="197" t="s">
        <v>5</v>
      </c>
      <c r="B41" s="198" t="s">
        <v>426</v>
      </c>
      <c r="C41" s="201">
        <v>3</v>
      </c>
      <c r="D41" s="201" t="s">
        <v>892</v>
      </c>
      <c r="E41" s="201" t="s">
        <v>367</v>
      </c>
      <c r="F41" s="202">
        <v>15304730</v>
      </c>
      <c r="G41" s="202">
        <v>261992</v>
      </c>
      <c r="H41" s="203">
        <v>1286983.5</v>
      </c>
      <c r="I41" s="203">
        <f t="shared" si="1"/>
        <v>16591713.5</v>
      </c>
      <c r="J41" s="204">
        <v>15556575</v>
      </c>
      <c r="K41" s="204">
        <v>258392</v>
      </c>
      <c r="L41" s="204">
        <v>1341680</v>
      </c>
      <c r="M41" s="204">
        <f t="shared" si="2"/>
        <v>16898255</v>
      </c>
      <c r="N41" s="204">
        <f t="shared" si="3"/>
        <v>-251845</v>
      </c>
      <c r="O41" s="204">
        <f t="shared" si="3"/>
        <v>3600</v>
      </c>
      <c r="P41" s="204">
        <f t="shared" si="3"/>
        <v>-54696.5</v>
      </c>
      <c r="Q41" s="204">
        <f t="shared" si="3"/>
        <v>-306541.5</v>
      </c>
    </row>
    <row r="42" spans="1:17" s="205" customFormat="1" ht="20.100000000000001" customHeight="1">
      <c r="A42" s="197" t="s">
        <v>5</v>
      </c>
      <c r="B42" s="201" t="s">
        <v>427</v>
      </c>
      <c r="C42" s="201">
        <v>4</v>
      </c>
      <c r="D42" s="201" t="s">
        <v>892</v>
      </c>
      <c r="E42" s="201" t="s">
        <v>370</v>
      </c>
      <c r="F42" s="202">
        <v>13744748</v>
      </c>
      <c r="G42" s="202">
        <v>197760</v>
      </c>
      <c r="H42" s="203">
        <v>1466811.5</v>
      </c>
      <c r="I42" s="203">
        <f t="shared" si="1"/>
        <v>15211559.5</v>
      </c>
      <c r="J42" s="204">
        <v>14452560</v>
      </c>
      <c r="K42" s="204">
        <v>186760</v>
      </c>
      <c r="L42" s="204">
        <v>1500000</v>
      </c>
      <c r="M42" s="204">
        <f t="shared" si="2"/>
        <v>15952560</v>
      </c>
      <c r="N42" s="204">
        <f t="shared" si="3"/>
        <v>-707812</v>
      </c>
      <c r="O42" s="204">
        <f t="shared" si="3"/>
        <v>11000</v>
      </c>
      <c r="P42" s="204">
        <f t="shared" si="3"/>
        <v>-33188.5</v>
      </c>
      <c r="Q42" s="204">
        <f t="shared" si="3"/>
        <v>-741000.5</v>
      </c>
    </row>
    <row r="43" spans="1:17" s="205" customFormat="1" ht="20.100000000000001" customHeight="1">
      <c r="A43" s="197" t="s">
        <v>5</v>
      </c>
      <c r="B43" s="197" t="s">
        <v>441</v>
      </c>
      <c r="C43" s="201">
        <v>5</v>
      </c>
      <c r="D43" s="201" t="s">
        <v>892</v>
      </c>
      <c r="E43" s="201" t="s">
        <v>370</v>
      </c>
      <c r="F43" s="202">
        <v>3083333.9999999995</v>
      </c>
      <c r="G43" s="202">
        <v>174048</v>
      </c>
      <c r="H43" s="203">
        <v>347637.5</v>
      </c>
      <c r="I43" s="203">
        <f t="shared" si="1"/>
        <v>3430971.4999999995</v>
      </c>
      <c r="J43" s="204">
        <v>3412410</v>
      </c>
      <c r="K43" s="204">
        <v>174048</v>
      </c>
      <c r="L43" s="204">
        <v>400000</v>
      </c>
      <c r="M43" s="204">
        <f t="shared" si="2"/>
        <v>3812410</v>
      </c>
      <c r="N43" s="204">
        <f t="shared" si="3"/>
        <v>-329076.00000000047</v>
      </c>
      <c r="O43" s="204">
        <f t="shared" si="3"/>
        <v>0</v>
      </c>
      <c r="P43" s="204">
        <f t="shared" si="3"/>
        <v>-52362.5</v>
      </c>
      <c r="Q43" s="204">
        <f t="shared" si="3"/>
        <v>-381438.50000000047</v>
      </c>
    </row>
    <row r="44" spans="1:17" s="205" customFormat="1" ht="20.100000000000001" customHeight="1">
      <c r="A44" s="197" t="s">
        <v>5</v>
      </c>
      <c r="B44" s="201" t="s">
        <v>428</v>
      </c>
      <c r="C44" s="201">
        <v>6</v>
      </c>
      <c r="D44" s="201" t="s">
        <v>892</v>
      </c>
      <c r="E44" s="201" t="s">
        <v>372</v>
      </c>
      <c r="F44" s="202">
        <v>18258454</v>
      </c>
      <c r="G44" s="202">
        <v>564170</v>
      </c>
      <c r="H44" s="203">
        <v>1001894</v>
      </c>
      <c r="I44" s="203">
        <f t="shared" si="1"/>
        <v>19260348</v>
      </c>
      <c r="J44" s="204">
        <v>19771905</v>
      </c>
      <c r="K44" s="204">
        <v>544768</v>
      </c>
      <c r="L44" s="204">
        <v>942161</v>
      </c>
      <c r="M44" s="204">
        <f t="shared" si="2"/>
        <v>20714066</v>
      </c>
      <c r="N44" s="204">
        <f t="shared" si="3"/>
        <v>-1513451</v>
      </c>
      <c r="O44" s="204">
        <f t="shared" si="3"/>
        <v>19402</v>
      </c>
      <c r="P44" s="204">
        <f t="shared" si="3"/>
        <v>59733</v>
      </c>
      <c r="Q44" s="204">
        <f t="shared" si="3"/>
        <v>-1453718</v>
      </c>
    </row>
    <row r="45" spans="1:17" s="205" customFormat="1" ht="20.100000000000001" customHeight="1">
      <c r="A45" s="197" t="s">
        <v>5</v>
      </c>
      <c r="B45" s="201" t="s">
        <v>429</v>
      </c>
      <c r="C45" s="201">
        <v>7</v>
      </c>
      <c r="D45" s="201" t="s">
        <v>892</v>
      </c>
      <c r="E45" s="201" t="s">
        <v>372</v>
      </c>
      <c r="F45" s="202">
        <v>14977663</v>
      </c>
      <c r="G45" s="202">
        <v>281116</v>
      </c>
      <c r="H45" s="203">
        <v>995534</v>
      </c>
      <c r="I45" s="203">
        <f t="shared" si="1"/>
        <v>15973197</v>
      </c>
      <c r="J45" s="204">
        <v>16058400</v>
      </c>
      <c r="K45" s="204">
        <v>276116</v>
      </c>
      <c r="L45" s="204">
        <v>940058</v>
      </c>
      <c r="M45" s="204">
        <f t="shared" si="2"/>
        <v>16998458</v>
      </c>
      <c r="N45" s="204">
        <f t="shared" si="3"/>
        <v>-1080737</v>
      </c>
      <c r="O45" s="204">
        <f t="shared" si="3"/>
        <v>5000</v>
      </c>
      <c r="P45" s="204">
        <f t="shared" si="3"/>
        <v>55476</v>
      </c>
      <c r="Q45" s="204">
        <f t="shared" si="3"/>
        <v>-1025261</v>
      </c>
    </row>
    <row r="46" spans="1:17" s="205" customFormat="1" ht="20.100000000000001" customHeight="1">
      <c r="A46" s="197" t="s">
        <v>5</v>
      </c>
      <c r="B46" s="201" t="s">
        <v>430</v>
      </c>
      <c r="C46" s="201">
        <v>8</v>
      </c>
      <c r="D46" s="201" t="s">
        <v>892</v>
      </c>
      <c r="E46" s="201" t="s">
        <v>372</v>
      </c>
      <c r="F46" s="202">
        <v>17096147</v>
      </c>
      <c r="G46" s="202">
        <v>330004</v>
      </c>
      <c r="H46" s="203">
        <v>1274779.5</v>
      </c>
      <c r="I46" s="203">
        <f t="shared" si="1"/>
        <v>18370926.5</v>
      </c>
      <c r="J46" s="204">
        <v>18166065</v>
      </c>
      <c r="K46" s="204">
        <v>326504</v>
      </c>
      <c r="L46" s="204">
        <v>1704975</v>
      </c>
      <c r="M46" s="204">
        <f t="shared" si="2"/>
        <v>19871040</v>
      </c>
      <c r="N46" s="204">
        <f t="shared" si="3"/>
        <v>-1069918</v>
      </c>
      <c r="O46" s="204">
        <f t="shared" si="3"/>
        <v>3500</v>
      </c>
      <c r="P46" s="204">
        <f t="shared" si="3"/>
        <v>-430195.5</v>
      </c>
      <c r="Q46" s="204">
        <f t="shared" si="3"/>
        <v>-1500113.5</v>
      </c>
    </row>
    <row r="47" spans="1:17" s="205" customFormat="1" ht="20.100000000000001" customHeight="1">
      <c r="A47" s="197" t="s">
        <v>5</v>
      </c>
      <c r="B47" s="201" t="s">
        <v>431</v>
      </c>
      <c r="C47" s="201">
        <v>9</v>
      </c>
      <c r="D47" s="201" t="s">
        <v>892</v>
      </c>
      <c r="E47" s="201" t="s">
        <v>372</v>
      </c>
      <c r="F47" s="202">
        <v>9952366</v>
      </c>
      <c r="G47" s="202">
        <v>315128</v>
      </c>
      <c r="H47" s="203">
        <v>752855</v>
      </c>
      <c r="I47" s="203">
        <f t="shared" si="1"/>
        <v>10705221</v>
      </c>
      <c r="J47" s="204">
        <v>10337595</v>
      </c>
      <c r="K47" s="204">
        <v>313928</v>
      </c>
      <c r="L47" s="204">
        <v>760000</v>
      </c>
      <c r="M47" s="204">
        <f t="shared" si="2"/>
        <v>11097595</v>
      </c>
      <c r="N47" s="204">
        <f t="shared" si="3"/>
        <v>-385229</v>
      </c>
      <c r="O47" s="204">
        <f t="shared" si="3"/>
        <v>1200</v>
      </c>
      <c r="P47" s="204">
        <f t="shared" si="3"/>
        <v>-7145</v>
      </c>
      <c r="Q47" s="204">
        <f t="shared" si="3"/>
        <v>-392374</v>
      </c>
    </row>
    <row r="48" spans="1:17" s="205" customFormat="1" ht="20.100000000000001" customHeight="1">
      <c r="A48" s="197" t="s">
        <v>5</v>
      </c>
      <c r="B48" s="210" t="s">
        <v>906</v>
      </c>
      <c r="C48" s="201">
        <v>10</v>
      </c>
      <c r="D48" s="201" t="s">
        <v>892</v>
      </c>
      <c r="E48" s="201" t="s">
        <v>372</v>
      </c>
      <c r="F48" s="202">
        <v>11672636</v>
      </c>
      <c r="G48" s="202">
        <v>272188</v>
      </c>
      <c r="H48" s="203">
        <v>491744</v>
      </c>
      <c r="I48" s="203">
        <f t="shared" si="1"/>
        <v>12164380</v>
      </c>
      <c r="J48" s="204">
        <v>12545625</v>
      </c>
      <c r="K48" s="204">
        <v>267188</v>
      </c>
      <c r="L48" s="204">
        <v>464077</v>
      </c>
      <c r="M48" s="204">
        <f t="shared" si="2"/>
        <v>13009702</v>
      </c>
      <c r="N48" s="204">
        <f t="shared" si="3"/>
        <v>-872989</v>
      </c>
      <c r="O48" s="204">
        <f t="shared" si="3"/>
        <v>5000</v>
      </c>
      <c r="P48" s="204">
        <f t="shared" si="3"/>
        <v>27667</v>
      </c>
      <c r="Q48" s="204">
        <f t="shared" si="3"/>
        <v>-845322</v>
      </c>
    </row>
    <row r="49" spans="1:17" s="205" customFormat="1" ht="20.100000000000001" customHeight="1">
      <c r="A49" s="197" t="s">
        <v>5</v>
      </c>
      <c r="B49" s="201" t="s">
        <v>442</v>
      </c>
      <c r="C49" s="201">
        <v>11</v>
      </c>
      <c r="D49" s="201" t="s">
        <v>893</v>
      </c>
      <c r="E49" s="201" t="s">
        <v>894</v>
      </c>
      <c r="F49" s="202">
        <v>1143300</v>
      </c>
      <c r="G49" s="202"/>
      <c r="H49" s="203"/>
      <c r="I49" s="203">
        <f t="shared" si="1"/>
        <v>1143300</v>
      </c>
      <c r="J49" s="204">
        <v>1170780</v>
      </c>
      <c r="K49" s="204"/>
      <c r="L49" s="204"/>
      <c r="M49" s="204">
        <f t="shared" si="2"/>
        <v>1170780</v>
      </c>
      <c r="N49" s="204">
        <f t="shared" si="3"/>
        <v>-27480</v>
      </c>
      <c r="O49" s="204">
        <f t="shared" si="3"/>
        <v>0</v>
      </c>
      <c r="P49" s="204">
        <f t="shared" si="3"/>
        <v>0</v>
      </c>
      <c r="Q49" s="204">
        <f t="shared" si="3"/>
        <v>-27480</v>
      </c>
    </row>
    <row r="50" spans="1:17" s="205" customFormat="1" ht="20.100000000000001" customHeight="1">
      <c r="A50" s="197" t="s">
        <v>5</v>
      </c>
      <c r="B50" s="201" t="s">
        <v>433</v>
      </c>
      <c r="C50" s="201">
        <v>12</v>
      </c>
      <c r="D50" s="201" t="s">
        <v>893</v>
      </c>
      <c r="E50" s="201" t="s">
        <v>375</v>
      </c>
      <c r="F50" s="202">
        <v>10016591</v>
      </c>
      <c r="G50" s="202">
        <v>277828</v>
      </c>
      <c r="H50" s="203"/>
      <c r="I50" s="203">
        <f t="shared" si="1"/>
        <v>10016591</v>
      </c>
      <c r="J50" s="204">
        <v>10673740</v>
      </c>
      <c r="K50" s="204">
        <v>272828</v>
      </c>
      <c r="L50" s="204"/>
      <c r="M50" s="204">
        <f t="shared" si="2"/>
        <v>10673740</v>
      </c>
      <c r="N50" s="204">
        <f t="shared" si="3"/>
        <v>-657149</v>
      </c>
      <c r="O50" s="204">
        <f t="shared" si="3"/>
        <v>5000</v>
      </c>
      <c r="P50" s="204">
        <f t="shared" si="3"/>
        <v>0</v>
      </c>
      <c r="Q50" s="204">
        <f t="shared" si="3"/>
        <v>-657149</v>
      </c>
    </row>
    <row r="51" spans="1:17" s="205" customFormat="1" ht="20.100000000000001" customHeight="1">
      <c r="A51" s="197" t="s">
        <v>5</v>
      </c>
      <c r="B51" s="201" t="s">
        <v>434</v>
      </c>
      <c r="C51" s="201">
        <v>13</v>
      </c>
      <c r="D51" s="201" t="s">
        <v>893</v>
      </c>
      <c r="E51" s="201" t="s">
        <v>375</v>
      </c>
      <c r="F51" s="202">
        <v>10515783</v>
      </c>
      <c r="G51" s="202">
        <v>267916</v>
      </c>
      <c r="H51" s="203"/>
      <c r="I51" s="203">
        <f t="shared" si="1"/>
        <v>10515783</v>
      </c>
      <c r="J51" s="204">
        <v>11133815</v>
      </c>
      <c r="K51" s="204">
        <v>262916</v>
      </c>
      <c r="L51" s="204"/>
      <c r="M51" s="204">
        <f t="shared" si="2"/>
        <v>11133815</v>
      </c>
      <c r="N51" s="204">
        <f t="shared" si="3"/>
        <v>-618032</v>
      </c>
      <c r="O51" s="204">
        <f t="shared" si="3"/>
        <v>5000</v>
      </c>
      <c r="P51" s="204">
        <f t="shared" si="3"/>
        <v>0</v>
      </c>
      <c r="Q51" s="204">
        <f t="shared" si="3"/>
        <v>-618032</v>
      </c>
    </row>
    <row r="52" spans="1:17" s="205" customFormat="1" ht="20.100000000000001" customHeight="1">
      <c r="A52" s="197" t="s">
        <v>5</v>
      </c>
      <c r="B52" s="201" t="s">
        <v>436</v>
      </c>
      <c r="C52" s="201">
        <v>14</v>
      </c>
      <c r="D52" s="201" t="s">
        <v>893</v>
      </c>
      <c r="E52" s="201" t="s">
        <v>375</v>
      </c>
      <c r="F52" s="202">
        <v>9542291</v>
      </c>
      <c r="G52" s="202">
        <v>306060</v>
      </c>
      <c r="H52" s="203"/>
      <c r="I52" s="203">
        <f t="shared" si="1"/>
        <v>9542291</v>
      </c>
      <c r="J52" s="204">
        <v>10121650</v>
      </c>
      <c r="K52" s="204">
        <v>301060</v>
      </c>
      <c r="L52" s="204"/>
      <c r="M52" s="204">
        <f t="shared" si="2"/>
        <v>10121650</v>
      </c>
      <c r="N52" s="204">
        <f t="shared" si="3"/>
        <v>-579359</v>
      </c>
      <c r="O52" s="204">
        <f t="shared" si="3"/>
        <v>5000</v>
      </c>
      <c r="P52" s="204">
        <f t="shared" si="3"/>
        <v>0</v>
      </c>
      <c r="Q52" s="204">
        <f t="shared" si="3"/>
        <v>-579359</v>
      </c>
    </row>
    <row r="53" spans="1:17" s="205" customFormat="1" ht="20.100000000000001" customHeight="1">
      <c r="A53" s="197" t="s">
        <v>5</v>
      </c>
      <c r="B53" s="201" t="s">
        <v>437</v>
      </c>
      <c r="C53" s="201">
        <v>15</v>
      </c>
      <c r="D53" s="201" t="s">
        <v>893</v>
      </c>
      <c r="E53" s="201" t="s">
        <v>375</v>
      </c>
      <c r="F53" s="202">
        <v>6469210</v>
      </c>
      <c r="G53" s="202">
        <v>261064</v>
      </c>
      <c r="H53" s="203"/>
      <c r="I53" s="203">
        <f t="shared" si="1"/>
        <v>6469210</v>
      </c>
      <c r="J53" s="204">
        <v>6809110</v>
      </c>
      <c r="K53" s="204">
        <v>256064</v>
      </c>
      <c r="L53" s="204"/>
      <c r="M53" s="204">
        <f t="shared" si="2"/>
        <v>6809110</v>
      </c>
      <c r="N53" s="204">
        <f t="shared" si="3"/>
        <v>-339900</v>
      </c>
      <c r="O53" s="204">
        <f t="shared" si="3"/>
        <v>5000</v>
      </c>
      <c r="P53" s="204">
        <f t="shared" si="3"/>
        <v>0</v>
      </c>
      <c r="Q53" s="204">
        <f t="shared" si="3"/>
        <v>-339900</v>
      </c>
    </row>
    <row r="54" spans="1:17" s="205" customFormat="1" ht="20.100000000000001" customHeight="1">
      <c r="A54" s="197" t="s">
        <v>5</v>
      </c>
      <c r="B54" s="201" t="s">
        <v>439</v>
      </c>
      <c r="C54" s="201">
        <v>16</v>
      </c>
      <c r="D54" s="201" t="s">
        <v>893</v>
      </c>
      <c r="E54" s="201" t="s">
        <v>375</v>
      </c>
      <c r="F54" s="202">
        <v>6538536</v>
      </c>
      <c r="G54" s="202">
        <v>243964</v>
      </c>
      <c r="H54" s="203"/>
      <c r="I54" s="203">
        <f t="shared" si="1"/>
        <v>6538536</v>
      </c>
      <c r="J54" s="204">
        <v>7085155</v>
      </c>
      <c r="K54" s="204">
        <v>233404</v>
      </c>
      <c r="L54" s="204"/>
      <c r="M54" s="204">
        <f t="shared" si="2"/>
        <v>7085155</v>
      </c>
      <c r="N54" s="204">
        <f t="shared" si="3"/>
        <v>-546619</v>
      </c>
      <c r="O54" s="204">
        <f t="shared" si="3"/>
        <v>10560</v>
      </c>
      <c r="P54" s="204">
        <f t="shared" si="3"/>
        <v>0</v>
      </c>
      <c r="Q54" s="204">
        <f t="shared" si="3"/>
        <v>-546619</v>
      </c>
    </row>
    <row r="55" spans="1:17" s="205" customFormat="1" ht="20.100000000000001" customHeight="1">
      <c r="A55" s="197" t="s">
        <v>5</v>
      </c>
      <c r="B55" s="201" t="s">
        <v>438</v>
      </c>
      <c r="C55" s="201">
        <v>17</v>
      </c>
      <c r="D55" s="201" t="s">
        <v>893</v>
      </c>
      <c r="E55" s="201" t="s">
        <v>375</v>
      </c>
      <c r="F55" s="202">
        <v>4014672</v>
      </c>
      <c r="G55" s="202">
        <v>244572</v>
      </c>
      <c r="H55" s="203"/>
      <c r="I55" s="203">
        <f t="shared" si="1"/>
        <v>4014672</v>
      </c>
      <c r="J55" s="204">
        <v>4232690</v>
      </c>
      <c r="K55" s="204">
        <v>239572</v>
      </c>
      <c r="L55" s="204"/>
      <c r="M55" s="204">
        <f t="shared" si="2"/>
        <v>4232690</v>
      </c>
      <c r="N55" s="204">
        <f t="shared" si="3"/>
        <v>-218018</v>
      </c>
      <c r="O55" s="204">
        <f t="shared" si="3"/>
        <v>5000</v>
      </c>
      <c r="P55" s="204">
        <f t="shared" si="3"/>
        <v>0</v>
      </c>
      <c r="Q55" s="204">
        <f t="shared" si="3"/>
        <v>-218018</v>
      </c>
    </row>
    <row r="56" spans="1:17" s="205" customFormat="1" ht="20.100000000000001" customHeight="1">
      <c r="A56" s="197" t="s">
        <v>5</v>
      </c>
      <c r="B56" s="198" t="s">
        <v>435</v>
      </c>
      <c r="C56" s="201">
        <v>18</v>
      </c>
      <c r="D56" s="201" t="s">
        <v>893</v>
      </c>
      <c r="E56" s="201" t="s">
        <v>375</v>
      </c>
      <c r="F56" s="202">
        <v>3017257.0000000005</v>
      </c>
      <c r="G56" s="202">
        <v>237916</v>
      </c>
      <c r="H56" s="203"/>
      <c r="I56" s="203">
        <f t="shared" si="1"/>
        <v>3017257.0000000005</v>
      </c>
      <c r="J56" s="204">
        <v>3220525</v>
      </c>
      <c r="K56" s="204">
        <v>232916</v>
      </c>
      <c r="L56" s="204"/>
      <c r="M56" s="204">
        <f t="shared" si="2"/>
        <v>3220525</v>
      </c>
      <c r="N56" s="204">
        <f t="shared" si="3"/>
        <v>-203267.99999999953</v>
      </c>
      <c r="O56" s="204">
        <f t="shared" si="3"/>
        <v>5000</v>
      </c>
      <c r="P56" s="204">
        <f t="shared" si="3"/>
        <v>0</v>
      </c>
      <c r="Q56" s="204">
        <f t="shared" si="3"/>
        <v>-203267.99999999953</v>
      </c>
    </row>
    <row r="57" spans="1:17" s="205" customFormat="1" ht="20.100000000000001" customHeight="1">
      <c r="A57" s="197" t="s">
        <v>5</v>
      </c>
      <c r="B57" s="198" t="s">
        <v>440</v>
      </c>
      <c r="C57" s="201">
        <v>19</v>
      </c>
      <c r="D57" s="201" t="s">
        <v>893</v>
      </c>
      <c r="E57" s="201" t="s">
        <v>375</v>
      </c>
      <c r="F57" s="202">
        <v>4139534.9999999995</v>
      </c>
      <c r="G57" s="202">
        <v>242476</v>
      </c>
      <c r="H57" s="203"/>
      <c r="I57" s="203">
        <f t="shared" si="1"/>
        <v>4139534.9999999995</v>
      </c>
      <c r="J57" s="204">
        <v>4324705</v>
      </c>
      <c r="K57" s="204">
        <v>237476</v>
      </c>
      <c r="L57" s="204"/>
      <c r="M57" s="204">
        <f t="shared" si="2"/>
        <v>4324705</v>
      </c>
      <c r="N57" s="204">
        <f t="shared" si="3"/>
        <v>-185170.00000000047</v>
      </c>
      <c r="O57" s="204">
        <f t="shared" si="3"/>
        <v>5000</v>
      </c>
      <c r="P57" s="204">
        <f t="shared" si="3"/>
        <v>0</v>
      </c>
      <c r="Q57" s="204">
        <f t="shared" si="3"/>
        <v>-185170.00000000047</v>
      </c>
    </row>
    <row r="58" spans="1:17" s="205" customFormat="1" ht="20.100000000000001" customHeight="1">
      <c r="A58" s="197"/>
      <c r="B58" s="198" t="s">
        <v>863</v>
      </c>
      <c r="C58" s="201"/>
      <c r="D58" s="201"/>
      <c r="E58" s="201"/>
      <c r="F58" s="202">
        <f>SUM(F39:F57)</f>
        <v>192505537</v>
      </c>
      <c r="G58" s="202">
        <f t="shared" ref="G58:Q58" si="7">SUM(G39:G57)</f>
        <v>5261178</v>
      </c>
      <c r="H58" s="202">
        <f t="shared" si="7"/>
        <v>10262592.5</v>
      </c>
      <c r="I58" s="202">
        <f t="shared" si="7"/>
        <v>202768129.5</v>
      </c>
      <c r="J58" s="202">
        <f t="shared" si="7"/>
        <v>202695580</v>
      </c>
      <c r="K58" s="202">
        <f t="shared" si="7"/>
        <v>5142513</v>
      </c>
      <c r="L58" s="202">
        <f t="shared" si="7"/>
        <v>10529179</v>
      </c>
      <c r="M58" s="202">
        <f t="shared" si="7"/>
        <v>213224759</v>
      </c>
      <c r="N58" s="202">
        <f t="shared" si="7"/>
        <v>-10190043</v>
      </c>
      <c r="O58" s="202">
        <f t="shared" si="7"/>
        <v>118665</v>
      </c>
      <c r="P58" s="202">
        <f t="shared" si="7"/>
        <v>-266586.5</v>
      </c>
      <c r="Q58" s="202">
        <f t="shared" si="7"/>
        <v>-10456629.5</v>
      </c>
    </row>
    <row r="59" spans="1:17" s="205" customFormat="1" ht="20.100000000000001" customHeight="1">
      <c r="A59" s="197" t="s">
        <v>6</v>
      </c>
      <c r="B59" s="201" t="s">
        <v>748</v>
      </c>
      <c r="C59" s="201">
        <v>1</v>
      </c>
      <c r="D59" s="201" t="s">
        <v>892</v>
      </c>
      <c r="E59" s="201" t="s">
        <v>370</v>
      </c>
      <c r="F59" s="202">
        <v>24553640</v>
      </c>
      <c r="G59" s="202">
        <v>593768</v>
      </c>
      <c r="H59" s="203">
        <v>1518879.5</v>
      </c>
      <c r="I59" s="203">
        <f t="shared" si="1"/>
        <v>26072519.5</v>
      </c>
      <c r="J59" s="204">
        <f>19370445+7427010</f>
        <v>26797455</v>
      </c>
      <c r="K59" s="204">
        <f>391312+192456</f>
        <v>583768</v>
      </c>
      <c r="L59" s="204">
        <v>1460511</v>
      </c>
      <c r="M59" s="204">
        <f t="shared" si="2"/>
        <v>28257966</v>
      </c>
      <c r="N59" s="204">
        <f t="shared" si="3"/>
        <v>-2243815</v>
      </c>
      <c r="O59" s="204">
        <f t="shared" si="3"/>
        <v>10000</v>
      </c>
      <c r="P59" s="204">
        <f t="shared" si="3"/>
        <v>58368.5</v>
      </c>
      <c r="Q59" s="204">
        <f t="shared" si="3"/>
        <v>-2185446.5</v>
      </c>
    </row>
    <row r="60" spans="1:17" s="205" customFormat="1" ht="20.100000000000001" customHeight="1">
      <c r="A60" s="197" t="s">
        <v>6</v>
      </c>
      <c r="B60" s="201" t="s">
        <v>407</v>
      </c>
      <c r="C60" s="201">
        <v>2</v>
      </c>
      <c r="D60" s="201" t="s">
        <v>892</v>
      </c>
      <c r="E60" s="201" t="s">
        <v>367</v>
      </c>
      <c r="F60" s="202">
        <v>13539485</v>
      </c>
      <c r="G60" s="202">
        <v>878676</v>
      </c>
      <c r="H60" s="203">
        <v>1026783</v>
      </c>
      <c r="I60" s="203">
        <f t="shared" si="1"/>
        <v>14566268</v>
      </c>
      <c r="J60" s="204">
        <v>13348545</v>
      </c>
      <c r="K60" s="204">
        <v>863676</v>
      </c>
      <c r="L60" s="204">
        <v>959133</v>
      </c>
      <c r="M60" s="204">
        <f t="shared" si="2"/>
        <v>14307678</v>
      </c>
      <c r="N60" s="204">
        <f t="shared" si="3"/>
        <v>190940</v>
      </c>
      <c r="O60" s="204">
        <f t="shared" si="3"/>
        <v>15000</v>
      </c>
      <c r="P60" s="204">
        <f t="shared" si="3"/>
        <v>67650</v>
      </c>
      <c r="Q60" s="204">
        <f t="shared" si="3"/>
        <v>258590</v>
      </c>
    </row>
    <row r="61" spans="1:17" s="205" customFormat="1" ht="20.100000000000001" customHeight="1">
      <c r="A61" s="197" t="s">
        <v>6</v>
      </c>
      <c r="B61" s="201" t="s">
        <v>898</v>
      </c>
      <c r="C61" s="201">
        <v>3</v>
      </c>
      <c r="D61" s="201" t="s">
        <v>892</v>
      </c>
      <c r="E61" s="201" t="s">
        <v>367</v>
      </c>
      <c r="F61" s="202">
        <v>13728394</v>
      </c>
      <c r="G61" s="202">
        <v>87864</v>
      </c>
      <c r="H61" s="203">
        <v>986643</v>
      </c>
      <c r="I61" s="203">
        <f t="shared" si="1"/>
        <v>14715037</v>
      </c>
      <c r="J61" s="204">
        <v>14251830</v>
      </c>
      <c r="K61" s="204">
        <v>82864</v>
      </c>
      <c r="L61" s="204">
        <v>890340</v>
      </c>
      <c r="M61" s="204">
        <f t="shared" si="2"/>
        <v>15142170</v>
      </c>
      <c r="N61" s="204">
        <f t="shared" si="3"/>
        <v>-523436</v>
      </c>
      <c r="O61" s="204">
        <f t="shared" si="3"/>
        <v>5000</v>
      </c>
      <c r="P61" s="204">
        <f t="shared" si="3"/>
        <v>96303</v>
      </c>
      <c r="Q61" s="204">
        <f t="shared" si="3"/>
        <v>-427133</v>
      </c>
    </row>
    <row r="62" spans="1:17" s="205" customFormat="1" ht="20.100000000000001" customHeight="1">
      <c r="A62" s="197" t="s">
        <v>6</v>
      </c>
      <c r="B62" s="201" t="s">
        <v>409</v>
      </c>
      <c r="C62" s="201">
        <v>4</v>
      </c>
      <c r="D62" s="201" t="s">
        <v>892</v>
      </c>
      <c r="E62" s="201" t="s">
        <v>367</v>
      </c>
      <c r="F62" s="202">
        <v>15613881</v>
      </c>
      <c r="G62" s="202">
        <v>271160</v>
      </c>
      <c r="H62" s="203">
        <v>1322880</v>
      </c>
      <c r="I62" s="203">
        <f t="shared" si="1"/>
        <v>16936761</v>
      </c>
      <c r="J62" s="204">
        <v>15958035</v>
      </c>
      <c r="K62" s="204">
        <v>266880</v>
      </c>
      <c r="L62" s="204">
        <v>1280814.77</v>
      </c>
      <c r="M62" s="204">
        <f t="shared" si="2"/>
        <v>17238849.77</v>
      </c>
      <c r="N62" s="204">
        <f t="shared" si="3"/>
        <v>-344154</v>
      </c>
      <c r="O62" s="204">
        <f t="shared" si="3"/>
        <v>4280</v>
      </c>
      <c r="P62" s="204">
        <f t="shared" si="3"/>
        <v>42065.229999999981</v>
      </c>
      <c r="Q62" s="204">
        <f t="shared" si="3"/>
        <v>-302088.76999999955</v>
      </c>
    </row>
    <row r="63" spans="1:17" s="205" customFormat="1" ht="20.100000000000001" customHeight="1">
      <c r="A63" s="197" t="s">
        <v>6</v>
      </c>
      <c r="B63" s="201" t="s">
        <v>410</v>
      </c>
      <c r="C63" s="201">
        <v>5</v>
      </c>
      <c r="D63" s="201" t="s">
        <v>892</v>
      </c>
      <c r="E63" s="201" t="s">
        <v>372</v>
      </c>
      <c r="F63" s="202">
        <v>11331347</v>
      </c>
      <c r="G63" s="202">
        <v>294631</v>
      </c>
      <c r="H63" s="203">
        <v>551091.25</v>
      </c>
      <c r="I63" s="203">
        <f t="shared" si="1"/>
        <v>11882438.25</v>
      </c>
      <c r="J63" s="204">
        <v>12645990</v>
      </c>
      <c r="K63" s="204">
        <v>289631</v>
      </c>
      <c r="L63" s="204">
        <v>513347.5</v>
      </c>
      <c r="M63" s="204">
        <f t="shared" si="2"/>
        <v>13159337.5</v>
      </c>
      <c r="N63" s="204">
        <f t="shared" si="3"/>
        <v>-1314643</v>
      </c>
      <c r="O63" s="204">
        <f t="shared" si="3"/>
        <v>5000</v>
      </c>
      <c r="P63" s="204">
        <f t="shared" si="3"/>
        <v>37743.75</v>
      </c>
      <c r="Q63" s="204">
        <f t="shared" si="3"/>
        <v>-1276899.25</v>
      </c>
    </row>
    <row r="64" spans="1:17" s="205" customFormat="1" ht="20.100000000000001" customHeight="1">
      <c r="A64" s="197" t="s">
        <v>6</v>
      </c>
      <c r="B64" s="201" t="s">
        <v>411</v>
      </c>
      <c r="C64" s="201">
        <v>6</v>
      </c>
      <c r="D64" s="201" t="s">
        <v>892</v>
      </c>
      <c r="E64" s="201" t="s">
        <v>372</v>
      </c>
      <c r="F64" s="202">
        <v>21651515</v>
      </c>
      <c r="G64" s="202">
        <v>626600</v>
      </c>
      <c r="H64" s="203">
        <v>1032832</v>
      </c>
      <c r="I64" s="203">
        <f t="shared" si="1"/>
        <v>22684347</v>
      </c>
      <c r="J64" s="204">
        <v>23385045</v>
      </c>
      <c r="K64" s="204">
        <v>616600</v>
      </c>
      <c r="L64" s="204">
        <v>865851</v>
      </c>
      <c r="M64" s="204">
        <f t="shared" si="2"/>
        <v>24250896</v>
      </c>
      <c r="N64" s="204">
        <f t="shared" si="3"/>
        <v>-1733530</v>
      </c>
      <c r="O64" s="204">
        <f t="shared" si="3"/>
        <v>10000</v>
      </c>
      <c r="P64" s="204">
        <f t="shared" si="3"/>
        <v>166981</v>
      </c>
      <c r="Q64" s="204">
        <f t="shared" si="3"/>
        <v>-1566549</v>
      </c>
    </row>
    <row r="65" spans="1:17" s="205" customFormat="1" ht="20.100000000000001" customHeight="1">
      <c r="A65" s="197" t="s">
        <v>6</v>
      </c>
      <c r="B65" s="201" t="s">
        <v>412</v>
      </c>
      <c r="C65" s="201">
        <v>7</v>
      </c>
      <c r="D65" s="201" t="s">
        <v>892</v>
      </c>
      <c r="E65" s="201" t="s">
        <v>372</v>
      </c>
      <c r="F65" s="202">
        <v>13748028</v>
      </c>
      <c r="G65" s="202">
        <v>271812</v>
      </c>
      <c r="H65" s="203">
        <v>521501.5</v>
      </c>
      <c r="I65" s="203">
        <f t="shared" si="1"/>
        <v>14269529.5</v>
      </c>
      <c r="J65" s="204">
        <v>15857670</v>
      </c>
      <c r="K65" s="204">
        <v>266812</v>
      </c>
      <c r="L65" s="204">
        <v>508876</v>
      </c>
      <c r="M65" s="204">
        <f t="shared" si="2"/>
        <v>16366546</v>
      </c>
      <c r="N65" s="204">
        <f t="shared" si="3"/>
        <v>-2109642</v>
      </c>
      <c r="O65" s="204">
        <f t="shared" si="3"/>
        <v>5000</v>
      </c>
      <c r="P65" s="204">
        <f t="shared" si="3"/>
        <v>12625.5</v>
      </c>
      <c r="Q65" s="204">
        <f t="shared" si="3"/>
        <v>-2097016.5</v>
      </c>
    </row>
    <row r="66" spans="1:17" s="205" customFormat="1" ht="20.100000000000001" customHeight="1">
      <c r="A66" s="197" t="s">
        <v>6</v>
      </c>
      <c r="B66" s="201" t="s">
        <v>421</v>
      </c>
      <c r="C66" s="201">
        <v>8</v>
      </c>
      <c r="D66" s="201" t="s">
        <v>893</v>
      </c>
      <c r="E66" s="201" t="s">
        <v>894</v>
      </c>
      <c r="F66" s="202">
        <v>855200</v>
      </c>
      <c r="G66" s="202"/>
      <c r="H66" s="203"/>
      <c r="I66" s="203">
        <f t="shared" si="1"/>
        <v>855200</v>
      </c>
      <c r="J66" s="204">
        <v>780520</v>
      </c>
      <c r="K66" s="204"/>
      <c r="L66" s="204"/>
      <c r="M66" s="204">
        <f t="shared" si="2"/>
        <v>780520</v>
      </c>
      <c r="N66" s="204">
        <f t="shared" si="3"/>
        <v>74680</v>
      </c>
      <c r="O66" s="204">
        <f t="shared" si="3"/>
        <v>0</v>
      </c>
      <c r="P66" s="204">
        <f t="shared" si="3"/>
        <v>0</v>
      </c>
      <c r="Q66" s="204">
        <f t="shared" si="3"/>
        <v>74680</v>
      </c>
    </row>
    <row r="67" spans="1:17" s="205" customFormat="1" ht="20.100000000000001" customHeight="1">
      <c r="A67" s="197" t="s">
        <v>6</v>
      </c>
      <c r="B67" s="201" t="s">
        <v>413</v>
      </c>
      <c r="C67" s="201">
        <v>9</v>
      </c>
      <c r="D67" s="201" t="s">
        <v>893</v>
      </c>
      <c r="E67" s="201" t="s">
        <v>375</v>
      </c>
      <c r="F67" s="202">
        <v>9427336</v>
      </c>
      <c r="G67" s="202">
        <v>282148</v>
      </c>
      <c r="H67" s="203"/>
      <c r="I67" s="203">
        <f t="shared" si="1"/>
        <v>9427336</v>
      </c>
      <c r="J67" s="204">
        <v>10489710</v>
      </c>
      <c r="K67" s="204">
        <v>277148</v>
      </c>
      <c r="L67" s="204"/>
      <c r="M67" s="204">
        <f t="shared" si="2"/>
        <v>10489710</v>
      </c>
      <c r="N67" s="204">
        <f t="shared" si="3"/>
        <v>-1062374</v>
      </c>
      <c r="O67" s="204">
        <f t="shared" si="3"/>
        <v>5000</v>
      </c>
      <c r="P67" s="204">
        <f t="shared" si="3"/>
        <v>0</v>
      </c>
      <c r="Q67" s="204">
        <f t="shared" si="3"/>
        <v>-1062374</v>
      </c>
    </row>
    <row r="68" spans="1:17" s="205" customFormat="1" ht="20.100000000000001" customHeight="1">
      <c r="A68" s="197" t="s">
        <v>6</v>
      </c>
      <c r="B68" s="201" t="s">
        <v>414</v>
      </c>
      <c r="C68" s="201">
        <v>10</v>
      </c>
      <c r="D68" s="201" t="s">
        <v>893</v>
      </c>
      <c r="E68" s="201" t="s">
        <v>375</v>
      </c>
      <c r="F68" s="202">
        <v>7179003</v>
      </c>
      <c r="G68" s="202">
        <v>242824</v>
      </c>
      <c r="H68" s="203"/>
      <c r="I68" s="203">
        <f t="shared" si="1"/>
        <v>7179003</v>
      </c>
      <c r="J68" s="204">
        <v>8005305</v>
      </c>
      <c r="K68" s="204">
        <v>237824</v>
      </c>
      <c r="L68" s="204"/>
      <c r="M68" s="204">
        <f t="shared" si="2"/>
        <v>8005305</v>
      </c>
      <c r="N68" s="204">
        <f t="shared" si="3"/>
        <v>-826302</v>
      </c>
      <c r="O68" s="204">
        <f t="shared" si="3"/>
        <v>5000</v>
      </c>
      <c r="P68" s="204">
        <f t="shared" si="3"/>
        <v>0</v>
      </c>
      <c r="Q68" s="204">
        <f t="shared" si="3"/>
        <v>-826302</v>
      </c>
    </row>
    <row r="69" spans="1:17" s="205" customFormat="1" ht="20.100000000000001" customHeight="1">
      <c r="A69" s="197" t="s">
        <v>6</v>
      </c>
      <c r="B69" s="201" t="s">
        <v>415</v>
      </c>
      <c r="C69" s="201">
        <v>11</v>
      </c>
      <c r="D69" s="201" t="s">
        <v>893</v>
      </c>
      <c r="E69" s="201" t="s">
        <v>375</v>
      </c>
      <c r="F69" s="202">
        <v>11408118</v>
      </c>
      <c r="G69" s="202">
        <v>306088</v>
      </c>
      <c r="H69" s="203"/>
      <c r="I69" s="203">
        <f t="shared" si="1"/>
        <v>11408118</v>
      </c>
      <c r="J69" s="204">
        <v>12514040</v>
      </c>
      <c r="K69" s="204">
        <v>301088</v>
      </c>
      <c r="L69" s="204"/>
      <c r="M69" s="204">
        <f t="shared" si="2"/>
        <v>12514040</v>
      </c>
      <c r="N69" s="204">
        <f t="shared" si="3"/>
        <v>-1105922</v>
      </c>
      <c r="O69" s="204">
        <f t="shared" si="3"/>
        <v>5000</v>
      </c>
      <c r="P69" s="204">
        <f t="shared" si="3"/>
        <v>0</v>
      </c>
      <c r="Q69" s="204">
        <f t="shared" si="3"/>
        <v>-1105922</v>
      </c>
    </row>
    <row r="70" spans="1:17" s="205" customFormat="1" ht="20.100000000000001" customHeight="1">
      <c r="A70" s="197" t="s">
        <v>6</v>
      </c>
      <c r="B70" s="201" t="s">
        <v>417</v>
      </c>
      <c r="C70" s="201">
        <v>12</v>
      </c>
      <c r="D70" s="201" t="s">
        <v>893</v>
      </c>
      <c r="E70" s="201" t="s">
        <v>375</v>
      </c>
      <c r="F70" s="202">
        <v>7814406.9999999991</v>
      </c>
      <c r="G70" s="202">
        <v>255784</v>
      </c>
      <c r="H70" s="203"/>
      <c r="I70" s="203">
        <f t="shared" ref="I70:I123" si="8">F70+H70</f>
        <v>7814406.9999999991</v>
      </c>
      <c r="J70" s="204">
        <v>8925455</v>
      </c>
      <c r="K70" s="204">
        <v>250784</v>
      </c>
      <c r="L70" s="204"/>
      <c r="M70" s="204">
        <f t="shared" ref="M70:M123" si="9">J70+L70</f>
        <v>8925455</v>
      </c>
      <c r="N70" s="204">
        <f t="shared" ref="N70:Q123" si="10">F70-J70</f>
        <v>-1111048.0000000009</v>
      </c>
      <c r="O70" s="204">
        <f t="shared" si="10"/>
        <v>5000</v>
      </c>
      <c r="P70" s="204">
        <f t="shared" si="10"/>
        <v>0</v>
      </c>
      <c r="Q70" s="204">
        <f t="shared" si="10"/>
        <v>-1111048.0000000009</v>
      </c>
    </row>
    <row r="71" spans="1:17" s="205" customFormat="1" ht="20.100000000000001" customHeight="1">
      <c r="A71" s="197" t="s">
        <v>6</v>
      </c>
      <c r="B71" s="201" t="s">
        <v>418</v>
      </c>
      <c r="C71" s="201">
        <v>13</v>
      </c>
      <c r="D71" s="201" t="s">
        <v>893</v>
      </c>
      <c r="E71" s="201" t="s">
        <v>375</v>
      </c>
      <c r="F71" s="202">
        <f>5651587+2017888</f>
        <v>7669475</v>
      </c>
      <c r="G71" s="202">
        <v>244024</v>
      </c>
      <c r="H71" s="203"/>
      <c r="I71" s="203">
        <f t="shared" si="8"/>
        <v>7669475</v>
      </c>
      <c r="J71" s="204">
        <v>8465380</v>
      </c>
      <c r="K71" s="204">
        <v>239024</v>
      </c>
      <c r="L71" s="204"/>
      <c r="M71" s="204">
        <f t="shared" si="9"/>
        <v>8465380</v>
      </c>
      <c r="N71" s="204">
        <f t="shared" si="10"/>
        <v>-795905</v>
      </c>
      <c r="O71" s="204">
        <f t="shared" si="10"/>
        <v>5000</v>
      </c>
      <c r="P71" s="204">
        <f t="shared" si="10"/>
        <v>0</v>
      </c>
      <c r="Q71" s="204">
        <f t="shared" si="10"/>
        <v>-795905</v>
      </c>
    </row>
    <row r="72" spans="1:17" s="205" customFormat="1" ht="20.100000000000001" customHeight="1">
      <c r="A72" s="197" t="s">
        <v>6</v>
      </c>
      <c r="B72" s="198" t="s">
        <v>419</v>
      </c>
      <c r="C72" s="201">
        <v>14</v>
      </c>
      <c r="D72" s="201" t="s">
        <v>893</v>
      </c>
      <c r="E72" s="201" t="s">
        <v>375</v>
      </c>
      <c r="F72" s="202">
        <v>6494863</v>
      </c>
      <c r="G72" s="202">
        <v>257604</v>
      </c>
      <c r="H72" s="203"/>
      <c r="I72" s="203">
        <f t="shared" si="8"/>
        <v>6494863</v>
      </c>
      <c r="J72" s="204">
        <v>7269185</v>
      </c>
      <c r="K72" s="204">
        <v>252604</v>
      </c>
      <c r="L72" s="204"/>
      <c r="M72" s="204">
        <f t="shared" si="9"/>
        <v>7269185</v>
      </c>
      <c r="N72" s="204">
        <f t="shared" si="10"/>
        <v>-774322</v>
      </c>
      <c r="O72" s="204">
        <f t="shared" si="10"/>
        <v>5000</v>
      </c>
      <c r="P72" s="204">
        <f t="shared" si="10"/>
        <v>0</v>
      </c>
      <c r="Q72" s="204">
        <f t="shared" si="10"/>
        <v>-774322</v>
      </c>
    </row>
    <row r="73" spans="1:17" s="205" customFormat="1" ht="20.100000000000001" customHeight="1">
      <c r="A73" s="197" t="s">
        <v>6</v>
      </c>
      <c r="B73" s="198" t="s">
        <v>416</v>
      </c>
      <c r="C73" s="201">
        <v>15</v>
      </c>
      <c r="D73" s="201" t="s">
        <v>893</v>
      </c>
      <c r="E73" s="201" t="s">
        <v>375</v>
      </c>
      <c r="F73" s="202">
        <v>2646385</v>
      </c>
      <c r="G73" s="202">
        <v>231076</v>
      </c>
      <c r="H73" s="203"/>
      <c r="I73" s="203">
        <f t="shared" si="8"/>
        <v>2646385</v>
      </c>
      <c r="J73" s="204">
        <v>2944480</v>
      </c>
      <c r="K73" s="204">
        <v>225776</v>
      </c>
      <c r="L73" s="204"/>
      <c r="M73" s="204">
        <f t="shared" si="9"/>
        <v>2944480</v>
      </c>
      <c r="N73" s="204">
        <f t="shared" si="10"/>
        <v>-298095</v>
      </c>
      <c r="O73" s="204">
        <f t="shared" si="10"/>
        <v>5300</v>
      </c>
      <c r="P73" s="204">
        <f t="shared" si="10"/>
        <v>0</v>
      </c>
      <c r="Q73" s="204">
        <f t="shared" si="10"/>
        <v>-298095</v>
      </c>
    </row>
    <row r="74" spans="1:17" s="205" customFormat="1" ht="20.100000000000001" customHeight="1">
      <c r="A74" s="197" t="s">
        <v>6</v>
      </c>
      <c r="B74" s="198" t="s">
        <v>899</v>
      </c>
      <c r="C74" s="201">
        <v>16</v>
      </c>
      <c r="D74" s="201" t="s">
        <v>893</v>
      </c>
      <c r="E74" s="201" t="s">
        <v>375</v>
      </c>
      <c r="F74" s="202">
        <v>1139984</v>
      </c>
      <c r="G74" s="202">
        <v>266596</v>
      </c>
      <c r="H74" s="203"/>
      <c r="I74" s="203">
        <f t="shared" si="8"/>
        <v>1139984</v>
      </c>
      <c r="J74" s="204">
        <v>1196195</v>
      </c>
      <c r="K74" s="204">
        <v>261596</v>
      </c>
      <c r="L74" s="204"/>
      <c r="M74" s="204">
        <f t="shared" si="9"/>
        <v>1196195</v>
      </c>
      <c r="N74" s="204">
        <f t="shared" si="10"/>
        <v>-56211</v>
      </c>
      <c r="O74" s="204">
        <f t="shared" si="10"/>
        <v>5000</v>
      </c>
      <c r="P74" s="204">
        <f t="shared" si="10"/>
        <v>0</v>
      </c>
      <c r="Q74" s="204">
        <f t="shared" si="10"/>
        <v>-56211</v>
      </c>
    </row>
    <row r="75" spans="1:17" s="205" customFormat="1" ht="20.100000000000001" customHeight="1">
      <c r="A75" s="197"/>
      <c r="B75" s="198" t="s">
        <v>865</v>
      </c>
      <c r="C75" s="201"/>
      <c r="D75" s="201"/>
      <c r="E75" s="201"/>
      <c r="F75" s="202">
        <f>SUM(F59:F74)</f>
        <v>168801061</v>
      </c>
      <c r="G75" s="202">
        <f t="shared" ref="G75:Q75" si="11">SUM(G59:G74)</f>
        <v>5110655</v>
      </c>
      <c r="H75" s="202">
        <f t="shared" si="11"/>
        <v>6960610.25</v>
      </c>
      <c r="I75" s="202">
        <f t="shared" si="11"/>
        <v>175761671.25</v>
      </c>
      <c r="J75" s="202">
        <f t="shared" si="11"/>
        <v>182834840</v>
      </c>
      <c r="K75" s="202">
        <f t="shared" si="11"/>
        <v>5016075</v>
      </c>
      <c r="L75" s="202">
        <f t="shared" si="11"/>
        <v>6478873.2699999996</v>
      </c>
      <c r="M75" s="202">
        <f t="shared" si="11"/>
        <v>189313713.26999998</v>
      </c>
      <c r="N75" s="202">
        <f t="shared" si="11"/>
        <v>-14033779</v>
      </c>
      <c r="O75" s="202">
        <f t="shared" si="11"/>
        <v>94580</v>
      </c>
      <c r="P75" s="202">
        <f t="shared" si="11"/>
        <v>481736.98</v>
      </c>
      <c r="Q75" s="202">
        <f t="shared" si="11"/>
        <v>-13552042.02</v>
      </c>
    </row>
    <row r="76" spans="1:17" s="205" customFormat="1" ht="20.100000000000001" customHeight="1">
      <c r="A76" s="197" t="s">
        <v>7</v>
      </c>
      <c r="B76" s="201" t="s">
        <v>391</v>
      </c>
      <c r="C76" s="201">
        <v>1</v>
      </c>
      <c r="D76" s="201" t="s">
        <v>892</v>
      </c>
      <c r="E76" s="201" t="s">
        <v>367</v>
      </c>
      <c r="F76" s="202">
        <v>15018819</v>
      </c>
      <c r="G76" s="202">
        <v>282352</v>
      </c>
      <c r="H76" s="203">
        <v>1222088.5</v>
      </c>
      <c r="I76" s="203">
        <f t="shared" si="8"/>
        <v>16240907.5</v>
      </c>
      <c r="J76" s="204">
        <v>15155115</v>
      </c>
      <c r="K76" s="204">
        <v>277352</v>
      </c>
      <c r="L76" s="204">
        <v>1124987</v>
      </c>
      <c r="M76" s="204">
        <f t="shared" si="9"/>
        <v>16280102</v>
      </c>
      <c r="N76" s="204">
        <f t="shared" si="10"/>
        <v>-136296</v>
      </c>
      <c r="O76" s="204">
        <f t="shared" si="10"/>
        <v>5000</v>
      </c>
      <c r="P76" s="204">
        <f t="shared" si="10"/>
        <v>97101.5</v>
      </c>
      <c r="Q76" s="204">
        <f t="shared" si="10"/>
        <v>-39194.5</v>
      </c>
    </row>
    <row r="77" spans="1:17" s="205" customFormat="1" ht="20.100000000000001" customHeight="1">
      <c r="A77" s="197" t="s">
        <v>7</v>
      </c>
      <c r="B77" s="201" t="s">
        <v>393</v>
      </c>
      <c r="C77" s="201">
        <v>2</v>
      </c>
      <c r="D77" s="201" t="s">
        <v>892</v>
      </c>
      <c r="E77" s="201" t="s">
        <v>370</v>
      </c>
      <c r="F77" s="202">
        <v>31289105.999999996</v>
      </c>
      <c r="G77" s="202">
        <v>596620</v>
      </c>
      <c r="H77" s="203">
        <v>1855517.5</v>
      </c>
      <c r="I77" s="203">
        <f t="shared" si="8"/>
        <v>33144623.499999996</v>
      </c>
      <c r="J77" s="204">
        <v>33020085</v>
      </c>
      <c r="K77" s="204">
        <v>586620</v>
      </c>
      <c r="L77" s="204">
        <v>1739230</v>
      </c>
      <c r="M77" s="204">
        <f t="shared" si="9"/>
        <v>34759315</v>
      </c>
      <c r="N77" s="204">
        <f t="shared" si="10"/>
        <v>-1730979.0000000037</v>
      </c>
      <c r="O77" s="204">
        <f t="shared" si="10"/>
        <v>10000</v>
      </c>
      <c r="P77" s="204">
        <f t="shared" si="10"/>
        <v>116287.5</v>
      </c>
      <c r="Q77" s="204">
        <f t="shared" si="10"/>
        <v>-1614691.5000000037</v>
      </c>
    </row>
    <row r="78" spans="1:17" s="205" customFormat="1" ht="20.100000000000001" customHeight="1">
      <c r="A78" s="197" t="s">
        <v>7</v>
      </c>
      <c r="B78" s="201" t="s">
        <v>900</v>
      </c>
      <c r="C78" s="201">
        <v>3</v>
      </c>
      <c r="D78" s="201" t="s">
        <v>892</v>
      </c>
      <c r="E78" s="201" t="s">
        <v>370</v>
      </c>
      <c r="F78" s="202">
        <v>18380672</v>
      </c>
      <c r="G78" s="202">
        <v>83260</v>
      </c>
      <c r="H78" s="203">
        <v>1396040.5</v>
      </c>
      <c r="I78" s="203">
        <f t="shared" si="8"/>
        <v>19776712.5</v>
      </c>
      <c r="J78" s="204">
        <v>19771905</v>
      </c>
      <c r="K78" s="204">
        <v>78260</v>
      </c>
      <c r="L78" s="204">
        <v>1534478</v>
      </c>
      <c r="M78" s="204">
        <f t="shared" si="9"/>
        <v>21306383</v>
      </c>
      <c r="N78" s="204">
        <f t="shared" si="10"/>
        <v>-1391233</v>
      </c>
      <c r="O78" s="204">
        <f t="shared" si="10"/>
        <v>5000</v>
      </c>
      <c r="P78" s="204">
        <f t="shared" si="10"/>
        <v>-138437.5</v>
      </c>
      <c r="Q78" s="204">
        <f t="shared" si="10"/>
        <v>-1529670.5</v>
      </c>
    </row>
    <row r="79" spans="1:17" s="205" customFormat="1" ht="20.100000000000001" customHeight="1">
      <c r="A79" s="197" t="s">
        <v>7</v>
      </c>
      <c r="B79" s="201" t="s">
        <v>395</v>
      </c>
      <c r="C79" s="201">
        <v>4</v>
      </c>
      <c r="D79" s="201" t="s">
        <v>892</v>
      </c>
      <c r="E79" s="201" t="s">
        <v>372</v>
      </c>
      <c r="F79" s="202">
        <v>27357230.670000002</v>
      </c>
      <c r="G79" s="202">
        <v>482242</v>
      </c>
      <c r="H79" s="203">
        <v>1552422</v>
      </c>
      <c r="I79" s="203">
        <f t="shared" si="8"/>
        <v>28909652.670000002</v>
      </c>
      <c r="J79" s="204">
        <v>29507310</v>
      </c>
      <c r="K79" s="204">
        <v>472242</v>
      </c>
      <c r="L79" s="204">
        <v>1368317</v>
      </c>
      <c r="M79" s="204">
        <f t="shared" si="9"/>
        <v>30875627</v>
      </c>
      <c r="N79" s="204">
        <f t="shared" si="10"/>
        <v>-2150079.3299999982</v>
      </c>
      <c r="O79" s="204">
        <f t="shared" si="10"/>
        <v>10000</v>
      </c>
      <c r="P79" s="204">
        <f t="shared" si="10"/>
        <v>184105</v>
      </c>
      <c r="Q79" s="204">
        <f t="shared" si="10"/>
        <v>-1965974.3299999982</v>
      </c>
    </row>
    <row r="80" spans="1:17" s="205" customFormat="1" ht="20.100000000000001" customHeight="1">
      <c r="A80" s="197" t="s">
        <v>7</v>
      </c>
      <c r="B80" s="201" t="s">
        <v>403</v>
      </c>
      <c r="C80" s="201">
        <v>5</v>
      </c>
      <c r="D80" s="201" t="s">
        <v>893</v>
      </c>
      <c r="E80" s="201" t="s">
        <v>894</v>
      </c>
      <c r="F80" s="202">
        <v>1666538</v>
      </c>
      <c r="G80" s="202"/>
      <c r="H80" s="203"/>
      <c r="I80" s="203">
        <f t="shared" si="8"/>
        <v>1666538</v>
      </c>
      <c r="J80" s="204">
        <v>1561040</v>
      </c>
      <c r="K80" s="204"/>
      <c r="L80" s="204"/>
      <c r="M80" s="204">
        <f t="shared" si="9"/>
        <v>1561040</v>
      </c>
      <c r="N80" s="204">
        <f t="shared" si="10"/>
        <v>105498</v>
      </c>
      <c r="O80" s="204">
        <f t="shared" si="10"/>
        <v>0</v>
      </c>
      <c r="P80" s="204">
        <f t="shared" si="10"/>
        <v>0</v>
      </c>
      <c r="Q80" s="204">
        <f t="shared" si="10"/>
        <v>105498</v>
      </c>
    </row>
    <row r="81" spans="1:17" s="205" customFormat="1" ht="20.100000000000001" customHeight="1">
      <c r="A81" s="197" t="s">
        <v>7</v>
      </c>
      <c r="B81" s="201" t="s">
        <v>396</v>
      </c>
      <c r="C81" s="201">
        <v>6</v>
      </c>
      <c r="D81" s="201" t="s">
        <v>893</v>
      </c>
      <c r="E81" s="201" t="s">
        <v>375</v>
      </c>
      <c r="F81" s="202">
        <v>4938776</v>
      </c>
      <c r="G81" s="202">
        <v>236476</v>
      </c>
      <c r="H81" s="203"/>
      <c r="I81" s="203">
        <f t="shared" si="8"/>
        <v>4938776</v>
      </c>
      <c r="J81" s="204">
        <v>5336870</v>
      </c>
      <c r="K81" s="204">
        <v>231476</v>
      </c>
      <c r="L81" s="204"/>
      <c r="M81" s="204">
        <f t="shared" si="9"/>
        <v>5336870</v>
      </c>
      <c r="N81" s="204">
        <f t="shared" si="10"/>
        <v>-398094</v>
      </c>
      <c r="O81" s="204">
        <f t="shared" si="10"/>
        <v>5000</v>
      </c>
      <c r="P81" s="204">
        <f t="shared" si="10"/>
        <v>0</v>
      </c>
      <c r="Q81" s="204">
        <f t="shared" si="10"/>
        <v>-398094</v>
      </c>
    </row>
    <row r="82" spans="1:17" s="205" customFormat="1" ht="20.100000000000001" customHeight="1">
      <c r="A82" s="197" t="s">
        <v>7</v>
      </c>
      <c r="B82" s="201" t="s">
        <v>398</v>
      </c>
      <c r="C82" s="201">
        <v>7</v>
      </c>
      <c r="D82" s="201" t="s">
        <v>893</v>
      </c>
      <c r="E82" s="201" t="s">
        <v>375</v>
      </c>
      <c r="F82" s="202">
        <v>3719024.9999999995</v>
      </c>
      <c r="G82" s="202">
        <v>244516</v>
      </c>
      <c r="H82" s="203"/>
      <c r="I82" s="203">
        <f t="shared" si="8"/>
        <v>3719024.9999999995</v>
      </c>
      <c r="J82" s="204">
        <v>3956645</v>
      </c>
      <c r="K82" s="204">
        <v>239516</v>
      </c>
      <c r="L82" s="204"/>
      <c r="M82" s="204">
        <f t="shared" si="9"/>
        <v>3956645</v>
      </c>
      <c r="N82" s="204">
        <f t="shared" si="10"/>
        <v>-237620.00000000047</v>
      </c>
      <c r="O82" s="204">
        <f t="shared" si="10"/>
        <v>5000</v>
      </c>
      <c r="P82" s="204">
        <f t="shared" si="10"/>
        <v>0</v>
      </c>
      <c r="Q82" s="204">
        <f t="shared" si="10"/>
        <v>-237620.00000000047</v>
      </c>
    </row>
    <row r="83" spans="1:17" s="205" customFormat="1" ht="20.100000000000001" customHeight="1">
      <c r="A83" s="197" t="s">
        <v>7</v>
      </c>
      <c r="B83" s="201" t="s">
        <v>399</v>
      </c>
      <c r="C83" s="201">
        <v>8</v>
      </c>
      <c r="D83" s="201" t="s">
        <v>893</v>
      </c>
      <c r="E83" s="201" t="s">
        <v>375</v>
      </c>
      <c r="F83" s="202">
        <v>4483656</v>
      </c>
      <c r="G83" s="202">
        <v>255756</v>
      </c>
      <c r="H83" s="203"/>
      <c r="I83" s="203">
        <f t="shared" si="8"/>
        <v>4483656</v>
      </c>
      <c r="J83" s="204">
        <v>4876795</v>
      </c>
      <c r="K83" s="204">
        <v>250756</v>
      </c>
      <c r="L83" s="204"/>
      <c r="M83" s="204">
        <f t="shared" si="9"/>
        <v>4876795</v>
      </c>
      <c r="N83" s="204">
        <f t="shared" si="10"/>
        <v>-393139</v>
      </c>
      <c r="O83" s="204">
        <f t="shared" si="10"/>
        <v>5000</v>
      </c>
      <c r="P83" s="204">
        <f t="shared" si="10"/>
        <v>0</v>
      </c>
      <c r="Q83" s="204">
        <f t="shared" si="10"/>
        <v>-393139</v>
      </c>
    </row>
    <row r="84" spans="1:17" s="205" customFormat="1" ht="20.100000000000001" customHeight="1">
      <c r="A84" s="197" t="s">
        <v>7</v>
      </c>
      <c r="B84" s="201" t="s">
        <v>400</v>
      </c>
      <c r="C84" s="201">
        <v>9</v>
      </c>
      <c r="D84" s="201" t="s">
        <v>893</v>
      </c>
      <c r="E84" s="201" t="s">
        <v>375</v>
      </c>
      <c r="F84" s="202">
        <v>8765822</v>
      </c>
      <c r="G84" s="202">
        <v>265825</v>
      </c>
      <c r="H84" s="203"/>
      <c r="I84" s="203">
        <f t="shared" si="8"/>
        <v>8765822</v>
      </c>
      <c r="J84" s="204">
        <v>9385530</v>
      </c>
      <c r="K84" s="204">
        <v>260825</v>
      </c>
      <c r="L84" s="204"/>
      <c r="M84" s="204">
        <f t="shared" si="9"/>
        <v>9385530</v>
      </c>
      <c r="N84" s="204">
        <f t="shared" si="10"/>
        <v>-619708</v>
      </c>
      <c r="O84" s="204">
        <f t="shared" si="10"/>
        <v>5000</v>
      </c>
      <c r="P84" s="204">
        <f t="shared" si="10"/>
        <v>0</v>
      </c>
      <c r="Q84" s="204">
        <f t="shared" si="10"/>
        <v>-619708</v>
      </c>
    </row>
    <row r="85" spans="1:17" s="205" customFormat="1" ht="20.100000000000001" customHeight="1">
      <c r="A85" s="197" t="s">
        <v>7</v>
      </c>
      <c r="B85" s="201" t="s">
        <v>401</v>
      </c>
      <c r="C85" s="201">
        <v>10</v>
      </c>
      <c r="D85" s="201" t="s">
        <v>893</v>
      </c>
      <c r="E85" s="201" t="s">
        <v>375</v>
      </c>
      <c r="F85" s="202">
        <v>4372566</v>
      </c>
      <c r="G85" s="202">
        <v>245716</v>
      </c>
      <c r="H85" s="203"/>
      <c r="I85" s="203">
        <f t="shared" si="8"/>
        <v>4372566</v>
      </c>
      <c r="J85" s="204">
        <v>4600750</v>
      </c>
      <c r="K85" s="204">
        <v>240716</v>
      </c>
      <c r="L85" s="204"/>
      <c r="M85" s="204">
        <f t="shared" si="9"/>
        <v>4600750</v>
      </c>
      <c r="N85" s="204">
        <f t="shared" si="10"/>
        <v>-228184</v>
      </c>
      <c r="O85" s="204">
        <f t="shared" si="10"/>
        <v>5000</v>
      </c>
      <c r="P85" s="204">
        <f t="shared" si="10"/>
        <v>0</v>
      </c>
      <c r="Q85" s="204">
        <f t="shared" si="10"/>
        <v>-228184</v>
      </c>
    </row>
    <row r="86" spans="1:17" s="205" customFormat="1" ht="20.100000000000001" customHeight="1">
      <c r="A86" s="197" t="s">
        <v>7</v>
      </c>
      <c r="B86" s="198" t="s">
        <v>402</v>
      </c>
      <c r="C86" s="201">
        <v>11</v>
      </c>
      <c r="D86" s="201" t="s">
        <v>893</v>
      </c>
      <c r="E86" s="201" t="s">
        <v>375</v>
      </c>
      <c r="F86" s="202">
        <v>3775003.0000000005</v>
      </c>
      <c r="G86" s="202">
        <v>244192</v>
      </c>
      <c r="H86" s="203"/>
      <c r="I86" s="203">
        <f t="shared" si="8"/>
        <v>3775003.0000000005</v>
      </c>
      <c r="J86" s="204">
        <v>4048660</v>
      </c>
      <c r="K86" s="204">
        <v>239192</v>
      </c>
      <c r="L86" s="204"/>
      <c r="M86" s="204">
        <f t="shared" si="9"/>
        <v>4048660</v>
      </c>
      <c r="N86" s="204">
        <f t="shared" si="10"/>
        <v>-273656.99999999953</v>
      </c>
      <c r="O86" s="204">
        <f t="shared" si="10"/>
        <v>5000</v>
      </c>
      <c r="P86" s="204">
        <f t="shared" si="10"/>
        <v>0</v>
      </c>
      <c r="Q86" s="204">
        <f t="shared" si="10"/>
        <v>-273656.99999999953</v>
      </c>
    </row>
    <row r="87" spans="1:17" s="205" customFormat="1" ht="20.100000000000001" customHeight="1">
      <c r="A87" s="197" t="s">
        <v>7</v>
      </c>
      <c r="B87" s="198" t="s">
        <v>397</v>
      </c>
      <c r="C87" s="201">
        <v>12</v>
      </c>
      <c r="D87" s="201" t="s">
        <v>893</v>
      </c>
      <c r="E87" s="201" t="s">
        <v>375</v>
      </c>
      <c r="F87" s="202">
        <v>3795339</v>
      </c>
      <c r="G87" s="202">
        <v>247276</v>
      </c>
      <c r="H87" s="203"/>
      <c r="I87" s="203">
        <f t="shared" si="8"/>
        <v>3795339</v>
      </c>
      <c r="J87" s="204">
        <v>4048660</v>
      </c>
      <c r="K87" s="204">
        <v>242276</v>
      </c>
      <c r="L87" s="204"/>
      <c r="M87" s="204">
        <f t="shared" si="9"/>
        <v>4048660</v>
      </c>
      <c r="N87" s="204">
        <f t="shared" si="10"/>
        <v>-253321</v>
      </c>
      <c r="O87" s="204">
        <f t="shared" si="10"/>
        <v>5000</v>
      </c>
      <c r="P87" s="204">
        <f t="shared" si="10"/>
        <v>0</v>
      </c>
      <c r="Q87" s="204">
        <f t="shared" si="10"/>
        <v>-253321</v>
      </c>
    </row>
    <row r="88" spans="1:17" s="205" customFormat="1" ht="20.100000000000001" customHeight="1">
      <c r="A88" s="197"/>
      <c r="B88" s="198" t="s">
        <v>868</v>
      </c>
      <c r="C88" s="201"/>
      <c r="D88" s="201"/>
      <c r="E88" s="201"/>
      <c r="F88" s="202">
        <f>SUM(F76:F87)</f>
        <v>127562552.67</v>
      </c>
      <c r="G88" s="202">
        <f t="shared" ref="G88:Q88" si="12">SUM(G76:G87)</f>
        <v>3184231</v>
      </c>
      <c r="H88" s="202">
        <f t="shared" si="12"/>
        <v>6026068.5</v>
      </c>
      <c r="I88" s="202">
        <f t="shared" si="12"/>
        <v>133588621.17</v>
      </c>
      <c r="J88" s="202">
        <f t="shared" si="12"/>
        <v>135269365</v>
      </c>
      <c r="K88" s="202">
        <f t="shared" si="12"/>
        <v>3119231</v>
      </c>
      <c r="L88" s="202">
        <f t="shared" si="12"/>
        <v>5767012</v>
      </c>
      <c r="M88" s="202">
        <f t="shared" si="12"/>
        <v>141036377</v>
      </c>
      <c r="N88" s="202">
        <f t="shared" si="12"/>
        <v>-7706812.3300000019</v>
      </c>
      <c r="O88" s="202">
        <f t="shared" si="12"/>
        <v>65000</v>
      </c>
      <c r="P88" s="202">
        <f t="shared" si="12"/>
        <v>259056.5</v>
      </c>
      <c r="Q88" s="202">
        <f t="shared" si="12"/>
        <v>-7447755.8300000019</v>
      </c>
    </row>
    <row r="89" spans="1:17" s="205" customFormat="1" ht="20.100000000000001" customHeight="1">
      <c r="A89" s="197" t="s">
        <v>8</v>
      </c>
      <c r="B89" s="201" t="s">
        <v>381</v>
      </c>
      <c r="C89" s="201">
        <v>1</v>
      </c>
      <c r="D89" s="201" t="s">
        <v>892</v>
      </c>
      <c r="E89" s="201" t="s">
        <v>370</v>
      </c>
      <c r="F89" s="202">
        <v>22694356</v>
      </c>
      <c r="G89" s="202">
        <v>568532</v>
      </c>
      <c r="H89" s="203">
        <v>1395322.5</v>
      </c>
      <c r="I89" s="203">
        <f t="shared" si="8"/>
        <v>24089678.5</v>
      </c>
      <c r="J89" s="204">
        <v>23585775</v>
      </c>
      <c r="K89" s="204">
        <v>558532</v>
      </c>
      <c r="L89" s="204">
        <v>1369864</v>
      </c>
      <c r="M89" s="204">
        <f t="shared" si="9"/>
        <v>24955639</v>
      </c>
      <c r="N89" s="204">
        <f t="shared" si="10"/>
        <v>-891419</v>
      </c>
      <c r="O89" s="204">
        <f t="shared" si="10"/>
        <v>10000</v>
      </c>
      <c r="P89" s="204">
        <f t="shared" si="10"/>
        <v>25458.5</v>
      </c>
      <c r="Q89" s="204">
        <f t="shared" si="10"/>
        <v>-865960.5</v>
      </c>
    </row>
    <row r="90" spans="1:17" s="205" customFormat="1" ht="20.100000000000001" customHeight="1">
      <c r="A90" s="197" t="s">
        <v>8</v>
      </c>
      <c r="B90" s="201" t="s">
        <v>383</v>
      </c>
      <c r="C90" s="201">
        <v>2</v>
      </c>
      <c r="D90" s="201" t="s">
        <v>892</v>
      </c>
      <c r="E90" s="201" t="s">
        <v>370</v>
      </c>
      <c r="F90" s="202">
        <v>28568607.000000004</v>
      </c>
      <c r="G90" s="202">
        <v>323324</v>
      </c>
      <c r="H90" s="203">
        <v>1747012</v>
      </c>
      <c r="I90" s="203">
        <f t="shared" si="8"/>
        <v>30315619.000000004</v>
      </c>
      <c r="J90" s="204">
        <v>30009135</v>
      </c>
      <c r="K90" s="204">
        <v>318324</v>
      </c>
      <c r="L90" s="204">
        <v>1764512</v>
      </c>
      <c r="M90" s="204">
        <f t="shared" si="9"/>
        <v>31773647</v>
      </c>
      <c r="N90" s="204">
        <f t="shared" si="10"/>
        <v>-1440527.9999999963</v>
      </c>
      <c r="O90" s="204">
        <f t="shared" si="10"/>
        <v>5000</v>
      </c>
      <c r="P90" s="204">
        <f t="shared" si="10"/>
        <v>-17500</v>
      </c>
      <c r="Q90" s="204">
        <f t="shared" si="10"/>
        <v>-1458027.9999999963</v>
      </c>
    </row>
    <row r="91" spans="1:17" s="205" customFormat="1" ht="20.100000000000001" customHeight="1">
      <c r="A91" s="197" t="s">
        <v>8</v>
      </c>
      <c r="B91" s="201" t="s">
        <v>384</v>
      </c>
      <c r="C91" s="201">
        <v>3</v>
      </c>
      <c r="D91" s="201" t="s">
        <v>892</v>
      </c>
      <c r="E91" s="201" t="s">
        <v>370</v>
      </c>
      <c r="F91" s="214">
        <f>28096142-13200</f>
        <v>28082942</v>
      </c>
      <c r="G91" s="202">
        <f>591167-13200</f>
        <v>577967</v>
      </c>
      <c r="H91" s="203">
        <v>1669627.5</v>
      </c>
      <c r="I91" s="203">
        <f t="shared" si="8"/>
        <v>29752569.5</v>
      </c>
      <c r="J91" s="204">
        <v>28704390</v>
      </c>
      <c r="K91" s="204">
        <v>571764</v>
      </c>
      <c r="L91" s="204">
        <v>1600141</v>
      </c>
      <c r="M91" s="204">
        <f t="shared" si="9"/>
        <v>30304531</v>
      </c>
      <c r="N91" s="204">
        <f t="shared" si="10"/>
        <v>-621448</v>
      </c>
      <c r="O91" s="204">
        <f t="shared" si="10"/>
        <v>6203</v>
      </c>
      <c r="P91" s="204">
        <f t="shared" si="10"/>
        <v>69486.5</v>
      </c>
      <c r="Q91" s="204">
        <f t="shared" si="10"/>
        <v>-551961.5</v>
      </c>
    </row>
    <row r="92" spans="1:17" s="205" customFormat="1" ht="20.100000000000001" customHeight="1">
      <c r="A92" s="197" t="s">
        <v>8</v>
      </c>
      <c r="B92" s="201" t="s">
        <v>389</v>
      </c>
      <c r="C92" s="201">
        <v>4</v>
      </c>
      <c r="D92" s="201" t="s">
        <v>893</v>
      </c>
      <c r="E92" s="201" t="s">
        <v>894</v>
      </c>
      <c r="F92" s="202">
        <v>1399850</v>
      </c>
      <c r="G92" s="202"/>
      <c r="H92" s="203"/>
      <c r="I92" s="203">
        <f t="shared" si="8"/>
        <v>1399850</v>
      </c>
      <c r="J92" s="204">
        <v>1365910</v>
      </c>
      <c r="K92" s="204"/>
      <c r="L92" s="204"/>
      <c r="M92" s="204">
        <f t="shared" si="9"/>
        <v>1365910</v>
      </c>
      <c r="N92" s="204">
        <f t="shared" si="10"/>
        <v>33940</v>
      </c>
      <c r="O92" s="204">
        <f t="shared" si="10"/>
        <v>0</v>
      </c>
      <c r="P92" s="204">
        <f t="shared" si="10"/>
        <v>0</v>
      </c>
      <c r="Q92" s="204">
        <f t="shared" si="10"/>
        <v>33940</v>
      </c>
    </row>
    <row r="93" spans="1:17" s="205" customFormat="1" ht="20.100000000000001" customHeight="1">
      <c r="A93" s="197" t="s">
        <v>8</v>
      </c>
      <c r="B93" s="201" t="s">
        <v>385</v>
      </c>
      <c r="C93" s="201">
        <v>5</v>
      </c>
      <c r="D93" s="201" t="s">
        <v>893</v>
      </c>
      <c r="E93" s="201" t="s">
        <v>375</v>
      </c>
      <c r="F93" s="214">
        <f>6190294-13200</f>
        <v>6177094</v>
      </c>
      <c r="G93" s="202">
        <f>246644-13200</f>
        <v>233444</v>
      </c>
      <c r="H93" s="203"/>
      <c r="I93" s="203">
        <f t="shared" si="8"/>
        <v>6177094</v>
      </c>
      <c r="J93" s="204">
        <v>6625080</v>
      </c>
      <c r="K93" s="204">
        <v>241644</v>
      </c>
      <c r="L93" s="204"/>
      <c r="M93" s="204">
        <f t="shared" si="9"/>
        <v>6625080</v>
      </c>
      <c r="N93" s="204">
        <f t="shared" si="10"/>
        <v>-447986</v>
      </c>
      <c r="O93" s="204">
        <f t="shared" si="10"/>
        <v>-8200</v>
      </c>
      <c r="P93" s="204">
        <f t="shared" si="10"/>
        <v>0</v>
      </c>
      <c r="Q93" s="204">
        <f t="shared" si="10"/>
        <v>-447986</v>
      </c>
    </row>
    <row r="94" spans="1:17" s="205" customFormat="1" ht="20.100000000000001" customHeight="1">
      <c r="A94" s="197" t="s">
        <v>8</v>
      </c>
      <c r="B94" s="201" t="s">
        <v>386</v>
      </c>
      <c r="C94" s="201">
        <v>6</v>
      </c>
      <c r="D94" s="201" t="s">
        <v>893</v>
      </c>
      <c r="E94" s="201" t="s">
        <v>375</v>
      </c>
      <c r="F94" s="202">
        <v>10245766</v>
      </c>
      <c r="G94" s="202">
        <v>306516</v>
      </c>
      <c r="H94" s="203"/>
      <c r="I94" s="203">
        <f t="shared" si="8"/>
        <v>10245766</v>
      </c>
      <c r="J94" s="204">
        <v>10857770</v>
      </c>
      <c r="K94" s="204">
        <v>301516</v>
      </c>
      <c r="L94" s="204"/>
      <c r="M94" s="204">
        <f t="shared" si="9"/>
        <v>10857770</v>
      </c>
      <c r="N94" s="204">
        <f t="shared" si="10"/>
        <v>-612004</v>
      </c>
      <c r="O94" s="204">
        <f t="shared" si="10"/>
        <v>5000</v>
      </c>
      <c r="P94" s="204">
        <f t="shared" si="10"/>
        <v>0</v>
      </c>
      <c r="Q94" s="204">
        <f t="shared" si="10"/>
        <v>-612004</v>
      </c>
    </row>
    <row r="95" spans="1:17" s="205" customFormat="1" ht="20.100000000000001" customHeight="1">
      <c r="A95" s="197" t="s">
        <v>8</v>
      </c>
      <c r="B95" s="201" t="s">
        <v>387</v>
      </c>
      <c r="C95" s="201">
        <v>7</v>
      </c>
      <c r="D95" s="201" t="s">
        <v>893</v>
      </c>
      <c r="E95" s="201" t="s">
        <v>375</v>
      </c>
      <c r="F95" s="202">
        <v>4880629.0000000009</v>
      </c>
      <c r="G95" s="202">
        <v>173530</v>
      </c>
      <c r="H95" s="203"/>
      <c r="I95" s="203">
        <f t="shared" si="8"/>
        <v>4880629.0000000009</v>
      </c>
      <c r="J95" s="204">
        <v>5520900</v>
      </c>
      <c r="K95" s="204">
        <v>168530</v>
      </c>
      <c r="L95" s="204"/>
      <c r="M95" s="204">
        <f t="shared" si="9"/>
        <v>5520900</v>
      </c>
      <c r="N95" s="204">
        <f t="shared" si="10"/>
        <v>-640270.99999999907</v>
      </c>
      <c r="O95" s="204">
        <f t="shared" si="10"/>
        <v>5000</v>
      </c>
      <c r="P95" s="204">
        <f t="shared" si="10"/>
        <v>0</v>
      </c>
      <c r="Q95" s="204">
        <f t="shared" si="10"/>
        <v>-640270.99999999907</v>
      </c>
    </row>
    <row r="96" spans="1:17" s="205" customFormat="1" ht="20.100000000000001" customHeight="1">
      <c r="A96" s="197" t="s">
        <v>8</v>
      </c>
      <c r="B96" s="201" t="s">
        <v>388</v>
      </c>
      <c r="C96" s="201">
        <v>8</v>
      </c>
      <c r="D96" s="201" t="s">
        <v>893</v>
      </c>
      <c r="E96" s="201" t="s">
        <v>375</v>
      </c>
      <c r="F96" s="202">
        <v>7430814</v>
      </c>
      <c r="G96" s="202">
        <v>243164</v>
      </c>
      <c r="H96" s="203"/>
      <c r="I96" s="203">
        <f t="shared" si="8"/>
        <v>7430814</v>
      </c>
      <c r="J96" s="204">
        <v>7913290</v>
      </c>
      <c r="K96" s="204">
        <v>238164</v>
      </c>
      <c r="L96" s="204"/>
      <c r="M96" s="204">
        <f t="shared" si="9"/>
        <v>7913290</v>
      </c>
      <c r="N96" s="204">
        <f t="shared" si="10"/>
        <v>-482476</v>
      </c>
      <c r="O96" s="204">
        <f t="shared" si="10"/>
        <v>5000</v>
      </c>
      <c r="P96" s="204">
        <f t="shared" si="10"/>
        <v>0</v>
      </c>
      <c r="Q96" s="204">
        <f t="shared" si="10"/>
        <v>-482476</v>
      </c>
    </row>
    <row r="97" spans="1:17" s="205" customFormat="1" ht="20.100000000000001" customHeight="1">
      <c r="A97" s="197"/>
      <c r="B97" s="201" t="s">
        <v>871</v>
      </c>
      <c r="C97" s="201"/>
      <c r="D97" s="201"/>
      <c r="E97" s="201"/>
      <c r="F97" s="202">
        <f>SUM(F89:F96)</f>
        <v>109480058</v>
      </c>
      <c r="G97" s="202">
        <f t="shared" ref="G97:Q97" si="13">SUM(G89:G96)</f>
        <v>2426477</v>
      </c>
      <c r="H97" s="202">
        <f t="shared" si="13"/>
        <v>4811962</v>
      </c>
      <c r="I97" s="202">
        <f t="shared" si="13"/>
        <v>114292020</v>
      </c>
      <c r="J97" s="202">
        <f t="shared" si="13"/>
        <v>114582250</v>
      </c>
      <c r="K97" s="202">
        <f t="shared" si="13"/>
        <v>2398474</v>
      </c>
      <c r="L97" s="202">
        <f t="shared" si="13"/>
        <v>4734517</v>
      </c>
      <c r="M97" s="202">
        <f t="shared" si="13"/>
        <v>119316767</v>
      </c>
      <c r="N97" s="202">
        <f t="shared" si="13"/>
        <v>-5102191.9999999953</v>
      </c>
      <c r="O97" s="202">
        <f t="shared" si="13"/>
        <v>28003</v>
      </c>
      <c r="P97" s="202">
        <f t="shared" si="13"/>
        <v>77445</v>
      </c>
      <c r="Q97" s="202">
        <f t="shared" si="13"/>
        <v>-5024746.9999999953</v>
      </c>
    </row>
    <row r="98" spans="1:17" s="205" customFormat="1" ht="20.100000000000001" customHeight="1">
      <c r="A98" s="197" t="s">
        <v>9</v>
      </c>
      <c r="B98" s="201" t="s">
        <v>475</v>
      </c>
      <c r="C98" s="201">
        <v>1</v>
      </c>
      <c r="D98" s="201" t="s">
        <v>892</v>
      </c>
      <c r="E98" s="201" t="s">
        <v>367</v>
      </c>
      <c r="F98" s="202">
        <v>22918930</v>
      </c>
      <c r="G98" s="202">
        <v>611520</v>
      </c>
      <c r="H98" s="203">
        <v>1658886.5</v>
      </c>
      <c r="I98" s="203">
        <f t="shared" si="8"/>
        <v>24577816.5</v>
      </c>
      <c r="J98" s="204">
        <v>23284680</v>
      </c>
      <c r="K98" s="204">
        <v>599120</v>
      </c>
      <c r="L98" s="204">
        <v>1600000</v>
      </c>
      <c r="M98" s="204">
        <f t="shared" si="9"/>
        <v>24884680</v>
      </c>
      <c r="N98" s="204">
        <f t="shared" si="10"/>
        <v>-365750</v>
      </c>
      <c r="O98" s="204">
        <f t="shared" si="10"/>
        <v>12400</v>
      </c>
      <c r="P98" s="204">
        <f t="shared" si="10"/>
        <v>58886.5</v>
      </c>
      <c r="Q98" s="204">
        <f t="shared" si="10"/>
        <v>-306863.5</v>
      </c>
    </row>
    <row r="99" spans="1:17" s="205" customFormat="1" ht="20.100000000000001" customHeight="1">
      <c r="A99" s="197" t="s">
        <v>9</v>
      </c>
      <c r="B99" s="201" t="s">
        <v>477</v>
      </c>
      <c r="C99" s="201">
        <v>2</v>
      </c>
      <c r="D99" s="201" t="s">
        <v>892</v>
      </c>
      <c r="E99" s="201" t="s">
        <v>367</v>
      </c>
      <c r="F99" s="202">
        <v>14462771</v>
      </c>
      <c r="G99" s="202">
        <v>276042</v>
      </c>
      <c r="H99" s="203">
        <v>1059521</v>
      </c>
      <c r="I99" s="203">
        <f t="shared" si="8"/>
        <v>15522292</v>
      </c>
      <c r="J99" s="204">
        <v>14854020</v>
      </c>
      <c r="K99" s="204">
        <v>271042</v>
      </c>
      <c r="L99" s="204">
        <v>1000000</v>
      </c>
      <c r="M99" s="204">
        <f t="shared" si="9"/>
        <v>15854020</v>
      </c>
      <c r="N99" s="204">
        <f t="shared" si="10"/>
        <v>-391249</v>
      </c>
      <c r="O99" s="204">
        <f t="shared" si="10"/>
        <v>5000</v>
      </c>
      <c r="P99" s="204">
        <f t="shared" si="10"/>
        <v>59521</v>
      </c>
      <c r="Q99" s="204">
        <f t="shared" si="10"/>
        <v>-331728</v>
      </c>
    </row>
    <row r="100" spans="1:17" s="205" customFormat="1" ht="20.100000000000001" customHeight="1">
      <c r="A100" s="197" t="s">
        <v>9</v>
      </c>
      <c r="B100" s="201" t="s">
        <v>478</v>
      </c>
      <c r="C100" s="201">
        <v>3</v>
      </c>
      <c r="D100" s="201" t="s">
        <v>892</v>
      </c>
      <c r="E100" s="201" t="s">
        <v>367</v>
      </c>
      <c r="F100" s="202">
        <v>14379586</v>
      </c>
      <c r="G100" s="202">
        <v>262632</v>
      </c>
      <c r="H100" s="203">
        <v>1129114</v>
      </c>
      <c r="I100" s="203">
        <f t="shared" si="8"/>
        <v>15508700</v>
      </c>
      <c r="J100" s="204">
        <v>15054750</v>
      </c>
      <c r="K100" s="204">
        <v>257632</v>
      </c>
      <c r="L100" s="204">
        <v>1000000</v>
      </c>
      <c r="M100" s="204">
        <f t="shared" si="9"/>
        <v>16054750</v>
      </c>
      <c r="N100" s="204">
        <f t="shared" si="10"/>
        <v>-675164</v>
      </c>
      <c r="O100" s="204">
        <f t="shared" si="10"/>
        <v>5000</v>
      </c>
      <c r="P100" s="204">
        <f t="shared" si="10"/>
        <v>129114</v>
      </c>
      <c r="Q100" s="204">
        <f t="shared" si="10"/>
        <v>-546050</v>
      </c>
    </row>
    <row r="101" spans="1:17" s="205" customFormat="1" ht="20.100000000000001" customHeight="1">
      <c r="A101" s="197" t="s">
        <v>9</v>
      </c>
      <c r="B101" s="201" t="s">
        <v>479</v>
      </c>
      <c r="C101" s="201">
        <v>4</v>
      </c>
      <c r="D101" s="201" t="s">
        <v>892</v>
      </c>
      <c r="E101" s="201" t="s">
        <v>370</v>
      </c>
      <c r="F101" s="202">
        <v>26085898</v>
      </c>
      <c r="G101" s="202">
        <v>572088</v>
      </c>
      <c r="H101" s="203">
        <v>2094573.5</v>
      </c>
      <c r="I101" s="203">
        <f t="shared" si="8"/>
        <v>28180471.5</v>
      </c>
      <c r="J101" s="203">
        <v>27299280</v>
      </c>
      <c r="K101" s="204">
        <v>561468</v>
      </c>
      <c r="L101" s="204">
        <v>2000000</v>
      </c>
      <c r="M101" s="204">
        <f t="shared" si="9"/>
        <v>29299280</v>
      </c>
      <c r="N101" s="204">
        <f t="shared" si="10"/>
        <v>-1213382</v>
      </c>
      <c r="O101" s="204">
        <f t="shared" si="10"/>
        <v>10620</v>
      </c>
      <c r="P101" s="204">
        <f t="shared" si="10"/>
        <v>94573.5</v>
      </c>
      <c r="Q101" s="204">
        <f t="shared" si="10"/>
        <v>-1118808.5</v>
      </c>
    </row>
    <row r="102" spans="1:17" s="205" customFormat="1" ht="20.100000000000001" customHeight="1">
      <c r="A102" s="197" t="s">
        <v>9</v>
      </c>
      <c r="B102" s="201" t="s">
        <v>480</v>
      </c>
      <c r="C102" s="201">
        <v>5</v>
      </c>
      <c r="D102" s="201" t="s">
        <v>892</v>
      </c>
      <c r="E102" s="201" t="s">
        <v>372</v>
      </c>
      <c r="F102" s="202">
        <v>14750147</v>
      </c>
      <c r="G102" s="202">
        <v>660800</v>
      </c>
      <c r="H102" s="203">
        <v>857547.5</v>
      </c>
      <c r="I102" s="203">
        <f t="shared" si="8"/>
        <v>15607694.5</v>
      </c>
      <c r="J102" s="203">
        <v>15857670</v>
      </c>
      <c r="K102" s="204">
        <v>650800</v>
      </c>
      <c r="L102" s="204">
        <v>840000</v>
      </c>
      <c r="M102" s="204">
        <f t="shared" si="9"/>
        <v>16697670</v>
      </c>
      <c r="N102" s="204">
        <f t="shared" si="10"/>
        <v>-1107523</v>
      </c>
      <c r="O102" s="204">
        <f t="shared" si="10"/>
        <v>10000</v>
      </c>
      <c r="P102" s="204">
        <f t="shared" si="10"/>
        <v>17547.5</v>
      </c>
      <c r="Q102" s="204">
        <f t="shared" si="10"/>
        <v>-1089975.5</v>
      </c>
    </row>
    <row r="103" spans="1:17" s="205" customFormat="1" ht="20.100000000000001" customHeight="1">
      <c r="A103" s="197" t="s">
        <v>9</v>
      </c>
      <c r="B103" s="201" t="s">
        <v>481</v>
      </c>
      <c r="C103" s="201">
        <v>6</v>
      </c>
      <c r="D103" s="201" t="s">
        <v>892</v>
      </c>
      <c r="E103" s="201" t="s">
        <v>372</v>
      </c>
      <c r="F103" s="202">
        <v>36688317</v>
      </c>
      <c r="G103" s="202">
        <v>496376</v>
      </c>
      <c r="H103" s="203">
        <v>1920327</v>
      </c>
      <c r="I103" s="203">
        <f t="shared" si="8"/>
        <v>38608644</v>
      </c>
      <c r="J103" s="203">
        <v>39644175</v>
      </c>
      <c r="K103" s="204">
        <v>486376</v>
      </c>
      <c r="L103" s="204">
        <v>2000000</v>
      </c>
      <c r="M103" s="204">
        <f t="shared" si="9"/>
        <v>41644175</v>
      </c>
      <c r="N103" s="204">
        <f t="shared" si="10"/>
        <v>-2955858</v>
      </c>
      <c r="O103" s="204">
        <f t="shared" si="10"/>
        <v>10000</v>
      </c>
      <c r="P103" s="204">
        <f t="shared" si="10"/>
        <v>-79673</v>
      </c>
      <c r="Q103" s="204">
        <f t="shared" si="10"/>
        <v>-3035531</v>
      </c>
    </row>
    <row r="104" spans="1:17" s="205" customFormat="1" ht="20.100000000000001" customHeight="1">
      <c r="A104" s="197" t="s">
        <v>9</v>
      </c>
      <c r="B104" s="201" t="s">
        <v>482</v>
      </c>
      <c r="C104" s="201">
        <v>7</v>
      </c>
      <c r="D104" s="201" t="s">
        <v>892</v>
      </c>
      <c r="E104" s="201" t="s">
        <v>372</v>
      </c>
      <c r="F104" s="202">
        <v>16618472</v>
      </c>
      <c r="G104" s="202">
        <v>629438</v>
      </c>
      <c r="H104" s="203">
        <v>824490</v>
      </c>
      <c r="I104" s="203">
        <f t="shared" si="8"/>
        <v>17442962</v>
      </c>
      <c r="J104" s="203">
        <v>18768255</v>
      </c>
      <c r="K104" s="204">
        <v>619438</v>
      </c>
      <c r="L104" s="204">
        <v>800000</v>
      </c>
      <c r="M104" s="204">
        <f t="shared" si="9"/>
        <v>19568255</v>
      </c>
      <c r="N104" s="204">
        <f t="shared" si="10"/>
        <v>-2149783</v>
      </c>
      <c r="O104" s="204">
        <f t="shared" si="10"/>
        <v>10000</v>
      </c>
      <c r="P104" s="204">
        <f t="shared" si="10"/>
        <v>24490</v>
      </c>
      <c r="Q104" s="204">
        <f t="shared" si="10"/>
        <v>-2125293</v>
      </c>
    </row>
    <row r="105" spans="1:17" s="205" customFormat="1" ht="20.100000000000001" customHeight="1">
      <c r="A105" s="197" t="s">
        <v>9</v>
      </c>
      <c r="B105" s="201" t="s">
        <v>483</v>
      </c>
      <c r="C105" s="201">
        <v>8</v>
      </c>
      <c r="D105" s="201" t="s">
        <v>892</v>
      </c>
      <c r="E105" s="201" t="s">
        <v>372</v>
      </c>
      <c r="F105" s="202">
        <v>10300827</v>
      </c>
      <c r="G105" s="202">
        <v>263272</v>
      </c>
      <c r="H105" s="203">
        <v>561526.5</v>
      </c>
      <c r="I105" s="203">
        <f t="shared" si="8"/>
        <v>10862353.5</v>
      </c>
      <c r="J105" s="203">
        <v>11240880</v>
      </c>
      <c r="K105" s="204">
        <v>258272</v>
      </c>
      <c r="L105" s="204">
        <v>560000</v>
      </c>
      <c r="M105" s="204">
        <f t="shared" si="9"/>
        <v>11800880</v>
      </c>
      <c r="N105" s="204">
        <f t="shared" si="10"/>
        <v>-940053</v>
      </c>
      <c r="O105" s="204">
        <f t="shared" si="10"/>
        <v>5000</v>
      </c>
      <c r="P105" s="204">
        <f t="shared" si="10"/>
        <v>1526.5</v>
      </c>
      <c r="Q105" s="204">
        <f t="shared" si="10"/>
        <v>-938526.5</v>
      </c>
    </row>
    <row r="106" spans="1:17" s="205" customFormat="1" ht="20.100000000000001" customHeight="1">
      <c r="A106" s="197" t="s">
        <v>9</v>
      </c>
      <c r="B106" s="201" t="s">
        <v>490</v>
      </c>
      <c r="C106" s="201">
        <v>9</v>
      </c>
      <c r="D106" s="201" t="s">
        <v>893</v>
      </c>
      <c r="E106" s="201" t="s">
        <v>894</v>
      </c>
      <c r="F106" s="202">
        <v>949475</v>
      </c>
      <c r="G106" s="202"/>
      <c r="H106" s="203"/>
      <c r="I106" s="203">
        <f t="shared" si="8"/>
        <v>949475</v>
      </c>
      <c r="J106" s="203">
        <v>975650</v>
      </c>
      <c r="K106" s="204"/>
      <c r="L106" s="204"/>
      <c r="M106" s="204">
        <f t="shared" si="9"/>
        <v>975650</v>
      </c>
      <c r="N106" s="204">
        <f t="shared" si="10"/>
        <v>-26175</v>
      </c>
      <c r="O106" s="204">
        <f t="shared" si="10"/>
        <v>0</v>
      </c>
      <c r="P106" s="204">
        <f t="shared" si="10"/>
        <v>0</v>
      </c>
      <c r="Q106" s="204">
        <f t="shared" si="10"/>
        <v>-26175</v>
      </c>
    </row>
    <row r="107" spans="1:17" s="205" customFormat="1" ht="20.100000000000001" customHeight="1">
      <c r="A107" s="197" t="s">
        <v>9</v>
      </c>
      <c r="B107" s="201" t="s">
        <v>484</v>
      </c>
      <c r="C107" s="201">
        <v>10</v>
      </c>
      <c r="D107" s="201" t="s">
        <v>893</v>
      </c>
      <c r="E107" s="201" t="s">
        <v>375</v>
      </c>
      <c r="F107" s="202">
        <v>7878500</v>
      </c>
      <c r="G107" s="202">
        <v>296500</v>
      </c>
      <c r="H107" s="203"/>
      <c r="I107" s="203">
        <f t="shared" si="8"/>
        <v>7878500</v>
      </c>
      <c r="J107" s="203">
        <v>8649410</v>
      </c>
      <c r="K107" s="204">
        <v>291500</v>
      </c>
      <c r="L107" s="204"/>
      <c r="M107" s="204">
        <f t="shared" si="9"/>
        <v>8649410</v>
      </c>
      <c r="N107" s="204">
        <f t="shared" si="10"/>
        <v>-770910</v>
      </c>
      <c r="O107" s="204">
        <f t="shared" si="10"/>
        <v>5000</v>
      </c>
      <c r="P107" s="204">
        <f t="shared" si="10"/>
        <v>0</v>
      </c>
      <c r="Q107" s="204">
        <f t="shared" si="10"/>
        <v>-770910</v>
      </c>
    </row>
    <row r="108" spans="1:17" s="205" customFormat="1" ht="20.100000000000001" customHeight="1">
      <c r="A108" s="197" t="s">
        <v>9</v>
      </c>
      <c r="B108" s="201" t="s">
        <v>485</v>
      </c>
      <c r="C108" s="201">
        <v>11</v>
      </c>
      <c r="D108" s="201" t="s">
        <v>893</v>
      </c>
      <c r="E108" s="201" t="s">
        <v>375</v>
      </c>
      <c r="F108" s="202">
        <v>9563521</v>
      </c>
      <c r="G108" s="202">
        <v>248412</v>
      </c>
      <c r="H108" s="203"/>
      <c r="I108" s="203">
        <f t="shared" si="8"/>
        <v>9563521</v>
      </c>
      <c r="J108" s="203">
        <v>10397695</v>
      </c>
      <c r="K108" s="204">
        <v>243412</v>
      </c>
      <c r="L108" s="204"/>
      <c r="M108" s="204">
        <f t="shared" si="9"/>
        <v>10397695</v>
      </c>
      <c r="N108" s="204">
        <f t="shared" si="10"/>
        <v>-834174</v>
      </c>
      <c r="O108" s="204">
        <f t="shared" si="10"/>
        <v>5000</v>
      </c>
      <c r="P108" s="204">
        <f t="shared" si="10"/>
        <v>0</v>
      </c>
      <c r="Q108" s="204">
        <f t="shared" si="10"/>
        <v>-834174</v>
      </c>
    </row>
    <row r="109" spans="1:17" s="205" customFormat="1" ht="20.100000000000001" customHeight="1">
      <c r="A109" s="197" t="s">
        <v>9</v>
      </c>
      <c r="B109" s="201" t="s">
        <v>486</v>
      </c>
      <c r="C109" s="201">
        <v>12</v>
      </c>
      <c r="D109" s="201" t="s">
        <v>893</v>
      </c>
      <c r="E109" s="201" t="s">
        <v>375</v>
      </c>
      <c r="F109" s="202">
        <v>7156976</v>
      </c>
      <c r="G109" s="202">
        <v>293676</v>
      </c>
      <c r="H109" s="203"/>
      <c r="I109" s="203">
        <f t="shared" si="8"/>
        <v>7156976</v>
      </c>
      <c r="J109" s="203">
        <v>7913290</v>
      </c>
      <c r="K109" s="204">
        <v>288676</v>
      </c>
      <c r="L109" s="204"/>
      <c r="M109" s="204">
        <f t="shared" si="9"/>
        <v>7913290</v>
      </c>
      <c r="N109" s="204">
        <f t="shared" si="10"/>
        <v>-756314</v>
      </c>
      <c r="O109" s="204">
        <f t="shared" si="10"/>
        <v>5000</v>
      </c>
      <c r="P109" s="204">
        <f t="shared" si="10"/>
        <v>0</v>
      </c>
      <c r="Q109" s="204">
        <f t="shared" si="10"/>
        <v>-756314</v>
      </c>
    </row>
    <row r="110" spans="1:17" s="205" customFormat="1" ht="20.100000000000001" customHeight="1">
      <c r="A110" s="197" t="s">
        <v>9</v>
      </c>
      <c r="B110" s="201" t="s">
        <v>487</v>
      </c>
      <c r="C110" s="201">
        <v>13</v>
      </c>
      <c r="D110" s="201" t="s">
        <v>893</v>
      </c>
      <c r="E110" s="201" t="s">
        <v>375</v>
      </c>
      <c r="F110" s="202">
        <v>7363207</v>
      </c>
      <c r="G110" s="202">
        <v>260032</v>
      </c>
      <c r="H110" s="203"/>
      <c r="I110" s="203">
        <f t="shared" si="8"/>
        <v>7363207</v>
      </c>
      <c r="J110" s="203">
        <v>8005305</v>
      </c>
      <c r="K110" s="204">
        <v>254402</v>
      </c>
      <c r="L110" s="204"/>
      <c r="M110" s="204">
        <f t="shared" si="9"/>
        <v>8005305</v>
      </c>
      <c r="N110" s="204">
        <f t="shared" si="10"/>
        <v>-642098</v>
      </c>
      <c r="O110" s="204">
        <f t="shared" si="10"/>
        <v>5630</v>
      </c>
      <c r="P110" s="204">
        <f t="shared" si="10"/>
        <v>0</v>
      </c>
      <c r="Q110" s="204">
        <f t="shared" si="10"/>
        <v>-642098</v>
      </c>
    </row>
    <row r="111" spans="1:17" s="205" customFormat="1" ht="20.100000000000001" customHeight="1">
      <c r="A111" s="197" t="s">
        <v>9</v>
      </c>
      <c r="B111" s="198" t="s">
        <v>488</v>
      </c>
      <c r="C111" s="201">
        <v>14</v>
      </c>
      <c r="D111" s="201" t="s">
        <v>893</v>
      </c>
      <c r="E111" s="201" t="s">
        <v>375</v>
      </c>
      <c r="F111" s="202">
        <v>4960193</v>
      </c>
      <c r="G111" s="202">
        <v>241744</v>
      </c>
      <c r="H111" s="203"/>
      <c r="I111" s="203">
        <f t="shared" si="8"/>
        <v>4960193</v>
      </c>
      <c r="J111" s="203">
        <v>5612915</v>
      </c>
      <c r="K111" s="204">
        <v>236744</v>
      </c>
      <c r="L111" s="204"/>
      <c r="M111" s="204">
        <f t="shared" si="9"/>
        <v>5612915</v>
      </c>
      <c r="N111" s="204">
        <f t="shared" si="10"/>
        <v>-652722</v>
      </c>
      <c r="O111" s="204">
        <f t="shared" si="10"/>
        <v>5000</v>
      </c>
      <c r="P111" s="204">
        <f t="shared" si="10"/>
        <v>0</v>
      </c>
      <c r="Q111" s="204">
        <f t="shared" si="10"/>
        <v>-652722</v>
      </c>
    </row>
    <row r="112" spans="1:17" s="205" customFormat="1" ht="20.100000000000001" customHeight="1">
      <c r="A112" s="197" t="s">
        <v>9</v>
      </c>
      <c r="B112" s="198" t="s">
        <v>489</v>
      </c>
      <c r="C112" s="201">
        <v>15</v>
      </c>
      <c r="D112" s="201" t="s">
        <v>893</v>
      </c>
      <c r="E112" s="201" t="s">
        <v>375</v>
      </c>
      <c r="F112" s="202">
        <v>2460117</v>
      </c>
      <c r="G112" s="202">
        <v>227476</v>
      </c>
      <c r="H112" s="203"/>
      <c r="I112" s="203">
        <f t="shared" si="8"/>
        <v>2460117</v>
      </c>
      <c r="J112" s="203">
        <v>2668435</v>
      </c>
      <c r="K112" s="204">
        <v>222476</v>
      </c>
      <c r="L112" s="204"/>
      <c r="M112" s="204">
        <f t="shared" si="9"/>
        <v>2668435</v>
      </c>
      <c r="N112" s="204">
        <f t="shared" si="10"/>
        <v>-208318</v>
      </c>
      <c r="O112" s="204">
        <f t="shared" si="10"/>
        <v>5000</v>
      </c>
      <c r="P112" s="204">
        <f t="shared" si="10"/>
        <v>0</v>
      </c>
      <c r="Q112" s="204">
        <f t="shared" si="10"/>
        <v>-208318</v>
      </c>
    </row>
    <row r="113" spans="1:17" s="205" customFormat="1" ht="20.100000000000001" customHeight="1">
      <c r="A113" s="197"/>
      <c r="B113" s="198" t="s">
        <v>876</v>
      </c>
      <c r="C113" s="201"/>
      <c r="D113" s="201"/>
      <c r="E113" s="201"/>
      <c r="F113" s="202">
        <f>SUM(F98:F112)</f>
        <v>196536937</v>
      </c>
      <c r="G113" s="202">
        <f t="shared" ref="G113:Q113" si="14">SUM(G98:G112)</f>
        <v>5340008</v>
      </c>
      <c r="H113" s="202">
        <f t="shared" si="14"/>
        <v>10105986</v>
      </c>
      <c r="I113" s="202">
        <f t="shared" si="14"/>
        <v>206642923</v>
      </c>
      <c r="J113" s="202">
        <f t="shared" si="14"/>
        <v>210226410</v>
      </c>
      <c r="K113" s="202">
        <f t="shared" si="14"/>
        <v>5241358</v>
      </c>
      <c r="L113" s="202">
        <f t="shared" si="14"/>
        <v>9800000</v>
      </c>
      <c r="M113" s="202">
        <f t="shared" si="14"/>
        <v>220026410</v>
      </c>
      <c r="N113" s="202">
        <f t="shared" si="14"/>
        <v>-13689473</v>
      </c>
      <c r="O113" s="202">
        <f t="shared" si="14"/>
        <v>98650</v>
      </c>
      <c r="P113" s="202">
        <f t="shared" si="14"/>
        <v>305986</v>
      </c>
      <c r="Q113" s="202">
        <f t="shared" si="14"/>
        <v>-13383487</v>
      </c>
    </row>
    <row r="114" spans="1:17" s="205" customFormat="1" ht="20.100000000000001" customHeight="1">
      <c r="A114" s="197" t="s">
        <v>10</v>
      </c>
      <c r="B114" s="201" t="s">
        <v>365</v>
      </c>
      <c r="C114" s="201">
        <v>1</v>
      </c>
      <c r="D114" s="201" t="s">
        <v>892</v>
      </c>
      <c r="E114" s="201" t="s">
        <v>367</v>
      </c>
      <c r="F114" s="214">
        <f>14581004-68000</f>
        <v>14513004</v>
      </c>
      <c r="G114" s="202">
        <v>400416</v>
      </c>
      <c r="H114" s="203">
        <v>1037789</v>
      </c>
      <c r="I114" s="203">
        <f t="shared" si="8"/>
        <v>15550793</v>
      </c>
      <c r="J114" s="203">
        <v>14954385</v>
      </c>
      <c r="K114" s="204">
        <v>390416</v>
      </c>
      <c r="L114" s="204">
        <v>1195000</v>
      </c>
      <c r="M114" s="204">
        <f t="shared" si="9"/>
        <v>16149385</v>
      </c>
      <c r="N114" s="204">
        <f t="shared" si="10"/>
        <v>-441381</v>
      </c>
      <c r="O114" s="204">
        <f t="shared" si="10"/>
        <v>10000</v>
      </c>
      <c r="P114" s="204">
        <f t="shared" si="10"/>
        <v>-157211</v>
      </c>
      <c r="Q114" s="204">
        <f t="shared" si="10"/>
        <v>-598592</v>
      </c>
    </row>
    <row r="115" spans="1:17" s="205" customFormat="1" ht="20.100000000000001" customHeight="1">
      <c r="A115" s="197" t="s">
        <v>10</v>
      </c>
      <c r="B115" s="201" t="s">
        <v>368</v>
      </c>
      <c r="C115" s="201">
        <v>2</v>
      </c>
      <c r="D115" s="201" t="s">
        <v>892</v>
      </c>
      <c r="E115" s="201" t="s">
        <v>367</v>
      </c>
      <c r="F115" s="202">
        <v>10996035.000000002</v>
      </c>
      <c r="G115" s="202">
        <v>233380</v>
      </c>
      <c r="H115" s="203">
        <v>938637.5</v>
      </c>
      <c r="I115" s="203">
        <f t="shared" si="8"/>
        <v>11934672.500000002</v>
      </c>
      <c r="J115" s="203">
        <v>11541975</v>
      </c>
      <c r="K115" s="204">
        <v>223380</v>
      </c>
      <c r="L115" s="204">
        <v>993958</v>
      </c>
      <c r="M115" s="204">
        <f t="shared" si="9"/>
        <v>12535933</v>
      </c>
      <c r="N115" s="204">
        <f t="shared" si="10"/>
        <v>-545939.99999999814</v>
      </c>
      <c r="O115" s="204">
        <f t="shared" si="10"/>
        <v>10000</v>
      </c>
      <c r="P115" s="204">
        <f t="shared" si="10"/>
        <v>-55320.5</v>
      </c>
      <c r="Q115" s="204">
        <f t="shared" si="10"/>
        <v>-601260.49999999814</v>
      </c>
    </row>
    <row r="116" spans="1:17" s="205" customFormat="1" ht="20.100000000000001" customHeight="1">
      <c r="A116" s="197" t="s">
        <v>10</v>
      </c>
      <c r="B116" s="201" t="s">
        <v>369</v>
      </c>
      <c r="C116" s="201">
        <v>3</v>
      </c>
      <c r="D116" s="201" t="s">
        <v>892</v>
      </c>
      <c r="E116" s="201" t="s">
        <v>370</v>
      </c>
      <c r="F116" s="202">
        <v>20436298</v>
      </c>
      <c r="G116" s="202">
        <v>622148</v>
      </c>
      <c r="H116" s="203">
        <v>1378925</v>
      </c>
      <c r="I116" s="203">
        <f t="shared" si="8"/>
        <v>21815223</v>
      </c>
      <c r="J116" s="203">
        <v>21678840</v>
      </c>
      <c r="K116" s="204">
        <v>612148</v>
      </c>
      <c r="L116" s="204">
        <v>1372361</v>
      </c>
      <c r="M116" s="204">
        <f t="shared" si="9"/>
        <v>23051201</v>
      </c>
      <c r="N116" s="204">
        <f t="shared" si="10"/>
        <v>-1242542</v>
      </c>
      <c r="O116" s="204">
        <f t="shared" si="10"/>
        <v>10000</v>
      </c>
      <c r="P116" s="204">
        <f t="shared" si="10"/>
        <v>6564</v>
      </c>
      <c r="Q116" s="204">
        <f t="shared" si="10"/>
        <v>-1235978</v>
      </c>
    </row>
    <row r="117" spans="1:17" s="205" customFormat="1" ht="20.100000000000001" customHeight="1">
      <c r="A117" s="197" t="s">
        <v>10</v>
      </c>
      <c r="B117" s="201" t="s">
        <v>371</v>
      </c>
      <c r="C117" s="201">
        <v>4</v>
      </c>
      <c r="D117" s="201" t="s">
        <v>892</v>
      </c>
      <c r="E117" s="201" t="s">
        <v>372</v>
      </c>
      <c r="F117" s="202">
        <v>15294680</v>
      </c>
      <c r="G117" s="202">
        <v>437149</v>
      </c>
      <c r="H117" s="203">
        <v>685057.5</v>
      </c>
      <c r="I117" s="203">
        <f t="shared" si="8"/>
        <v>15979737.5</v>
      </c>
      <c r="J117" s="203">
        <v>16560225</v>
      </c>
      <c r="K117" s="204">
        <v>396614</v>
      </c>
      <c r="L117" s="204">
        <v>590835</v>
      </c>
      <c r="M117" s="204">
        <f t="shared" si="9"/>
        <v>17151060</v>
      </c>
      <c r="N117" s="204">
        <f t="shared" si="10"/>
        <v>-1265545</v>
      </c>
      <c r="O117" s="204">
        <f t="shared" si="10"/>
        <v>40535</v>
      </c>
      <c r="P117" s="204">
        <f t="shared" si="10"/>
        <v>94222.5</v>
      </c>
      <c r="Q117" s="204">
        <f t="shared" si="10"/>
        <v>-1171322.5</v>
      </c>
    </row>
    <row r="118" spans="1:17" s="205" customFormat="1" ht="20.100000000000001" customHeight="1">
      <c r="A118" s="197" t="s">
        <v>10</v>
      </c>
      <c r="B118" s="201" t="s">
        <v>373</v>
      </c>
      <c r="C118" s="201">
        <v>5</v>
      </c>
      <c r="D118" s="201" t="s">
        <v>892</v>
      </c>
      <c r="E118" s="201" t="s">
        <v>372</v>
      </c>
      <c r="F118" s="202">
        <v>12858694</v>
      </c>
      <c r="G118" s="202">
        <v>273572</v>
      </c>
      <c r="H118" s="203">
        <v>503693.5</v>
      </c>
      <c r="I118" s="203">
        <f t="shared" si="8"/>
        <v>13362387.5</v>
      </c>
      <c r="J118" s="203">
        <v>13950735</v>
      </c>
      <c r="K118" s="204">
        <v>266152</v>
      </c>
      <c r="L118" s="204">
        <v>585600</v>
      </c>
      <c r="M118" s="204">
        <f t="shared" si="9"/>
        <v>14536335</v>
      </c>
      <c r="N118" s="204">
        <f t="shared" si="10"/>
        <v>-1092041</v>
      </c>
      <c r="O118" s="204">
        <f t="shared" si="10"/>
        <v>7420</v>
      </c>
      <c r="P118" s="204">
        <f t="shared" si="10"/>
        <v>-81906.5</v>
      </c>
      <c r="Q118" s="204">
        <f t="shared" si="10"/>
        <v>-1173947.5</v>
      </c>
    </row>
    <row r="119" spans="1:17" s="205" customFormat="1" ht="20.100000000000001" customHeight="1">
      <c r="A119" s="197" t="s">
        <v>10</v>
      </c>
      <c r="B119" s="201" t="s">
        <v>379</v>
      </c>
      <c r="C119" s="201">
        <v>6</v>
      </c>
      <c r="D119" s="201" t="s">
        <v>893</v>
      </c>
      <c r="E119" s="201" t="s">
        <v>894</v>
      </c>
      <c r="F119" s="202">
        <v>190550</v>
      </c>
      <c r="G119" s="202"/>
      <c r="H119" s="203"/>
      <c r="I119" s="203">
        <f t="shared" si="8"/>
        <v>190550</v>
      </c>
      <c r="J119" s="203">
        <v>195130</v>
      </c>
      <c r="K119" s="204"/>
      <c r="L119" s="204"/>
      <c r="M119" s="204">
        <f t="shared" si="9"/>
        <v>195130</v>
      </c>
      <c r="N119" s="204">
        <f t="shared" si="10"/>
        <v>-4580</v>
      </c>
      <c r="O119" s="204">
        <f t="shared" si="10"/>
        <v>0</v>
      </c>
      <c r="P119" s="204">
        <f t="shared" si="10"/>
        <v>0</v>
      </c>
      <c r="Q119" s="204">
        <f t="shared" si="10"/>
        <v>-4580</v>
      </c>
    </row>
    <row r="120" spans="1:17" s="205" customFormat="1" ht="20.100000000000001" customHeight="1">
      <c r="A120" s="197" t="s">
        <v>10</v>
      </c>
      <c r="B120" s="201" t="s">
        <v>374</v>
      </c>
      <c r="C120" s="201">
        <v>7</v>
      </c>
      <c r="D120" s="201" t="s">
        <v>893</v>
      </c>
      <c r="E120" s="201" t="s">
        <v>375</v>
      </c>
      <c r="F120" s="202">
        <v>8836834</v>
      </c>
      <c r="G120" s="202">
        <v>243784</v>
      </c>
      <c r="H120" s="203"/>
      <c r="I120" s="203">
        <f t="shared" si="8"/>
        <v>8836834</v>
      </c>
      <c r="J120" s="203">
        <v>9937620</v>
      </c>
      <c r="K120" s="204">
        <v>238784</v>
      </c>
      <c r="L120" s="204"/>
      <c r="M120" s="204">
        <f t="shared" si="9"/>
        <v>9937620</v>
      </c>
      <c r="N120" s="204">
        <f t="shared" si="10"/>
        <v>-1100786</v>
      </c>
      <c r="O120" s="204">
        <f t="shared" si="10"/>
        <v>5000</v>
      </c>
      <c r="P120" s="204">
        <f t="shared" si="10"/>
        <v>0</v>
      </c>
      <c r="Q120" s="204">
        <f t="shared" si="10"/>
        <v>-1100786</v>
      </c>
    </row>
    <row r="121" spans="1:17" s="205" customFormat="1" ht="20.100000000000001" customHeight="1">
      <c r="A121" s="197" t="s">
        <v>10</v>
      </c>
      <c r="B121" s="201" t="s">
        <v>376</v>
      </c>
      <c r="C121" s="201">
        <v>8</v>
      </c>
      <c r="D121" s="201" t="s">
        <v>893</v>
      </c>
      <c r="E121" s="201" t="s">
        <v>901</v>
      </c>
      <c r="F121" s="202">
        <v>8052527</v>
      </c>
      <c r="G121" s="202">
        <v>261808</v>
      </c>
      <c r="H121" s="203"/>
      <c r="I121" s="203">
        <f t="shared" si="8"/>
        <v>8052527</v>
      </c>
      <c r="J121" s="203">
        <v>9017470</v>
      </c>
      <c r="K121" s="204">
        <v>256808</v>
      </c>
      <c r="L121" s="204"/>
      <c r="M121" s="204">
        <f t="shared" si="9"/>
        <v>9017470</v>
      </c>
      <c r="N121" s="204">
        <f t="shared" si="10"/>
        <v>-964943</v>
      </c>
      <c r="O121" s="204">
        <f t="shared" si="10"/>
        <v>5000</v>
      </c>
      <c r="P121" s="204">
        <f t="shared" si="10"/>
        <v>0</v>
      </c>
      <c r="Q121" s="204">
        <f t="shared" si="10"/>
        <v>-964943</v>
      </c>
    </row>
    <row r="122" spans="1:17" s="205" customFormat="1" ht="20.100000000000001" customHeight="1">
      <c r="A122" s="197" t="s">
        <v>10</v>
      </c>
      <c r="B122" s="201" t="s">
        <v>377</v>
      </c>
      <c r="C122" s="201">
        <v>9</v>
      </c>
      <c r="D122" s="201" t="s">
        <v>893</v>
      </c>
      <c r="E122" s="201" t="s">
        <v>375</v>
      </c>
      <c r="F122" s="202">
        <v>5926444</v>
      </c>
      <c r="G122" s="202">
        <v>273844</v>
      </c>
      <c r="H122" s="203"/>
      <c r="I122" s="203">
        <f t="shared" si="8"/>
        <v>5926444</v>
      </c>
      <c r="J122" s="203">
        <v>6809110</v>
      </c>
      <c r="K122" s="204">
        <v>268844</v>
      </c>
      <c r="L122" s="204"/>
      <c r="M122" s="204">
        <f t="shared" si="9"/>
        <v>6809110</v>
      </c>
      <c r="N122" s="204">
        <f t="shared" si="10"/>
        <v>-882666</v>
      </c>
      <c r="O122" s="204">
        <f t="shared" si="10"/>
        <v>5000</v>
      </c>
      <c r="P122" s="204">
        <f t="shared" si="10"/>
        <v>0</v>
      </c>
      <c r="Q122" s="204">
        <f t="shared" si="10"/>
        <v>-882666</v>
      </c>
    </row>
    <row r="123" spans="1:17" s="205" customFormat="1" ht="20.100000000000001" customHeight="1">
      <c r="A123" s="197" t="s">
        <v>10</v>
      </c>
      <c r="B123" s="201" t="s">
        <v>378</v>
      </c>
      <c r="C123" s="201">
        <v>10</v>
      </c>
      <c r="D123" s="201" t="s">
        <v>893</v>
      </c>
      <c r="E123" s="201" t="s">
        <v>375</v>
      </c>
      <c r="F123" s="202">
        <v>7621044</v>
      </c>
      <c r="G123" s="202">
        <v>276444</v>
      </c>
      <c r="H123" s="203"/>
      <c r="I123" s="203">
        <f t="shared" si="8"/>
        <v>7621044</v>
      </c>
      <c r="J123" s="203">
        <v>8281350</v>
      </c>
      <c r="K123" s="204">
        <v>271444</v>
      </c>
      <c r="L123" s="204"/>
      <c r="M123" s="204">
        <f t="shared" si="9"/>
        <v>8281350</v>
      </c>
      <c r="N123" s="204">
        <f t="shared" si="10"/>
        <v>-660306</v>
      </c>
      <c r="O123" s="204">
        <f t="shared" si="10"/>
        <v>5000</v>
      </c>
      <c r="P123" s="204">
        <f t="shared" si="10"/>
        <v>0</v>
      </c>
      <c r="Q123" s="204">
        <f t="shared" si="10"/>
        <v>-660306</v>
      </c>
    </row>
    <row r="124" spans="1:17" s="208" customFormat="1" ht="20.100000000000001" customHeight="1">
      <c r="A124" s="200"/>
      <c r="B124" s="206" t="s">
        <v>879</v>
      </c>
      <c r="C124" s="200"/>
      <c r="D124" s="200"/>
      <c r="E124" s="200"/>
      <c r="F124" s="207">
        <f>SUM(F114:F123)</f>
        <v>104726110</v>
      </c>
      <c r="G124" s="203">
        <f t="shared" ref="G124:Q124" si="15">SUM(G114:G123)</f>
        <v>3022545</v>
      </c>
      <c r="H124" s="203">
        <f t="shared" si="15"/>
        <v>4544102.5</v>
      </c>
      <c r="I124" s="203">
        <f t="shared" si="15"/>
        <v>109270212.5</v>
      </c>
      <c r="J124" s="203">
        <f t="shared" si="15"/>
        <v>112926840</v>
      </c>
      <c r="K124" s="203">
        <f t="shared" si="15"/>
        <v>2924590</v>
      </c>
      <c r="L124" s="203">
        <f t="shared" si="15"/>
        <v>4737754</v>
      </c>
      <c r="M124" s="203">
        <f t="shared" si="15"/>
        <v>117664594</v>
      </c>
      <c r="N124" s="203">
        <f t="shared" si="15"/>
        <v>-8200729.9999999981</v>
      </c>
      <c r="O124" s="203">
        <f t="shared" si="15"/>
        <v>97955</v>
      </c>
      <c r="P124" s="203">
        <f t="shared" si="15"/>
        <v>-193651.5</v>
      </c>
      <c r="Q124" s="203">
        <f t="shared" si="15"/>
        <v>-8394381.4999999981</v>
      </c>
    </row>
    <row r="125" spans="1:17" s="205" customFormat="1" ht="20.100000000000001" customHeight="1">
      <c r="A125" s="197"/>
      <c r="B125" s="206" t="s">
        <v>902</v>
      </c>
      <c r="C125" s="197"/>
      <c r="D125" s="197"/>
      <c r="E125" s="197"/>
      <c r="F125" s="203">
        <f t="shared" ref="F125:Q125" si="16">SUM(F124,F113,F97,F88,F75,F58,F38,F17,F9)</f>
        <v>1321567983.6700001</v>
      </c>
      <c r="G125" s="203">
        <f t="shared" si="16"/>
        <v>34220652</v>
      </c>
      <c r="H125" s="203">
        <f t="shared" si="16"/>
        <v>62403627.5</v>
      </c>
      <c r="I125" s="203">
        <f t="shared" si="16"/>
        <v>1383971611.1700001</v>
      </c>
      <c r="J125" s="203">
        <f t="shared" si="16"/>
        <v>1406623285</v>
      </c>
      <c r="K125" s="203">
        <f t="shared" si="16"/>
        <v>33503750</v>
      </c>
      <c r="L125" s="203">
        <f t="shared" si="16"/>
        <v>62101747.019999996</v>
      </c>
      <c r="M125" s="203">
        <f t="shared" si="16"/>
        <v>1468725032.02</v>
      </c>
      <c r="N125" s="203">
        <f t="shared" si="16"/>
        <v>-85055301.329999983</v>
      </c>
      <c r="O125" s="203">
        <f t="shared" si="16"/>
        <v>716902</v>
      </c>
      <c r="P125" s="203">
        <f t="shared" si="16"/>
        <v>301880.48</v>
      </c>
      <c r="Q125" s="203">
        <f t="shared" si="16"/>
        <v>-84753420.849999994</v>
      </c>
    </row>
    <row r="126" spans="1:17">
      <c r="M126" s="209"/>
    </row>
  </sheetData>
  <mergeCells count="9">
    <mergeCell ref="A1:Q1"/>
    <mergeCell ref="A2:A3"/>
    <mergeCell ref="B2:B3"/>
    <mergeCell ref="C2:C3"/>
    <mergeCell ref="D2:D3"/>
    <mergeCell ref="E2:E3"/>
    <mergeCell ref="F2:I2"/>
    <mergeCell ref="J2:M2"/>
    <mergeCell ref="N2:Q2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0" orientation="landscape" r:id="rId1"/>
  <headerFooter>
    <oddFooter>第 &amp;P 页，共 &amp;N 页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D123"/>
  <sheetViews>
    <sheetView workbookViewId="0">
      <selection activeCell="B10" sqref="B10"/>
    </sheetView>
  </sheetViews>
  <sheetFormatPr defaultColWidth="9" defaultRowHeight="13.5" outlineLevelRow="2"/>
  <cols>
    <col min="1" max="1" width="19.25" style="80" customWidth="1"/>
    <col min="2" max="2" width="40.25" style="80" customWidth="1"/>
    <col min="3" max="3" width="20.625" style="80" hidden="1" customWidth="1"/>
    <col min="4" max="4" width="24.75" style="80" customWidth="1"/>
    <col min="5" max="16384" width="9" style="80"/>
  </cols>
  <sheetData>
    <row r="1" spans="1:4" s="76" customFormat="1" ht="20.25">
      <c r="A1" s="494" t="s">
        <v>924</v>
      </c>
      <c r="B1" s="495"/>
      <c r="C1" s="495"/>
      <c r="D1" s="495"/>
    </row>
    <row r="2" spans="1:4">
      <c r="A2" s="77" t="s">
        <v>494</v>
      </c>
      <c r="B2" s="77" t="s">
        <v>495</v>
      </c>
      <c r="C2" s="77" t="s">
        <v>535</v>
      </c>
      <c r="D2" s="77" t="s">
        <v>496</v>
      </c>
    </row>
    <row r="3" spans="1:4" outlineLevel="2">
      <c r="A3" s="77" t="s">
        <v>497</v>
      </c>
      <c r="B3" s="79" t="s">
        <v>536</v>
      </c>
      <c r="C3" s="77">
        <v>1050840</v>
      </c>
      <c r="D3" s="77">
        <f>ROUND(C3/0.07*0.015*0.9,2)</f>
        <v>202662</v>
      </c>
    </row>
    <row r="4" spans="1:4" outlineLevel="2">
      <c r="A4" s="77" t="s">
        <v>497</v>
      </c>
      <c r="B4" s="79" t="s">
        <v>537</v>
      </c>
      <c r="C4" s="77">
        <v>687540</v>
      </c>
      <c r="D4" s="77">
        <f>ROUND(C4/0.07*0.015*0.9,2)</f>
        <v>132597</v>
      </c>
    </row>
    <row r="5" spans="1:4" outlineLevel="2">
      <c r="A5" s="77" t="s">
        <v>497</v>
      </c>
      <c r="B5" s="79" t="s">
        <v>538</v>
      </c>
      <c r="C5" s="77">
        <v>382824</v>
      </c>
      <c r="D5" s="77">
        <f t="shared" ref="D5:D68" si="0">ROUND(C5/0.07*0.015*0.9,2)</f>
        <v>73830.34</v>
      </c>
    </row>
    <row r="6" spans="1:4" outlineLevel="2">
      <c r="A6" s="77" t="s">
        <v>497</v>
      </c>
      <c r="B6" s="79" t="s">
        <v>539</v>
      </c>
      <c r="C6" s="77">
        <v>103500</v>
      </c>
      <c r="D6" s="77">
        <f t="shared" si="0"/>
        <v>19960.71</v>
      </c>
    </row>
    <row r="7" spans="1:4" outlineLevel="2">
      <c r="A7" s="77" t="s">
        <v>497</v>
      </c>
      <c r="B7" s="79" t="s">
        <v>540</v>
      </c>
      <c r="C7" s="77">
        <v>2338608</v>
      </c>
      <c r="D7" s="77">
        <f t="shared" si="0"/>
        <v>451017.26</v>
      </c>
    </row>
    <row r="8" spans="1:4" outlineLevel="1">
      <c r="A8" s="78" t="s">
        <v>498</v>
      </c>
      <c r="B8" s="79"/>
      <c r="C8" s="77">
        <f>SUBTOTAL(9,C3:C7)</f>
        <v>4563312</v>
      </c>
      <c r="D8" s="77">
        <f>SUM(D3:D7)</f>
        <v>880067.31</v>
      </c>
    </row>
    <row r="9" spans="1:4" outlineLevel="2">
      <c r="A9" s="77" t="s">
        <v>499</v>
      </c>
      <c r="B9" s="81" t="s">
        <v>190</v>
      </c>
      <c r="C9" s="77">
        <v>1090276</v>
      </c>
      <c r="D9" s="77">
        <f t="shared" si="0"/>
        <v>210267.51</v>
      </c>
    </row>
    <row r="10" spans="1:4" outlineLevel="2">
      <c r="A10" s="77" t="s">
        <v>499</v>
      </c>
      <c r="B10" s="81" t="s">
        <v>191</v>
      </c>
      <c r="C10" s="77">
        <v>739600</v>
      </c>
      <c r="D10" s="77">
        <f t="shared" si="0"/>
        <v>142637.14000000001</v>
      </c>
    </row>
    <row r="11" spans="1:4" outlineLevel="2">
      <c r="A11" s="77" t="s">
        <v>499</v>
      </c>
      <c r="B11" s="81" t="s">
        <v>192</v>
      </c>
      <c r="C11" s="77">
        <v>232400</v>
      </c>
      <c r="D11" s="77">
        <f t="shared" si="0"/>
        <v>44820</v>
      </c>
    </row>
    <row r="12" spans="1:4" outlineLevel="2">
      <c r="A12" s="77" t="s">
        <v>499</v>
      </c>
      <c r="B12" s="81" t="s">
        <v>193</v>
      </c>
      <c r="C12" s="77">
        <v>600000</v>
      </c>
      <c r="D12" s="77">
        <f t="shared" si="0"/>
        <v>115714.29</v>
      </c>
    </row>
    <row r="13" spans="1:4" outlineLevel="2">
      <c r="A13" s="77" t="s">
        <v>499</v>
      </c>
      <c r="B13" s="81" t="s">
        <v>194</v>
      </c>
      <c r="C13" s="77">
        <v>650000</v>
      </c>
      <c r="D13" s="77">
        <f t="shared" si="0"/>
        <v>125357.14</v>
      </c>
    </row>
    <row r="14" spans="1:4" outlineLevel="2">
      <c r="A14" s="77" t="s">
        <v>499</v>
      </c>
      <c r="B14" s="81" t="s">
        <v>195</v>
      </c>
      <c r="C14" s="77">
        <v>98092.52</v>
      </c>
      <c r="D14" s="77">
        <f t="shared" si="0"/>
        <v>18917.84</v>
      </c>
    </row>
    <row r="15" spans="1:4" outlineLevel="1">
      <c r="A15" s="78" t="s">
        <v>500</v>
      </c>
      <c r="B15" s="81"/>
      <c r="C15" s="77">
        <f>SUBTOTAL(9,C9:C14)</f>
        <v>3410368.52</v>
      </c>
      <c r="D15" s="77">
        <f>SUM(D9:D14)</f>
        <v>657713.91999999993</v>
      </c>
    </row>
    <row r="16" spans="1:4" outlineLevel="2">
      <c r="A16" s="77" t="s">
        <v>501</v>
      </c>
      <c r="B16" s="81" t="s">
        <v>541</v>
      </c>
      <c r="C16" s="77">
        <v>5148792</v>
      </c>
      <c r="D16" s="77">
        <f t="shared" si="0"/>
        <v>992981.31</v>
      </c>
    </row>
    <row r="17" spans="1:4" outlineLevel="2">
      <c r="A17" s="77" t="s">
        <v>501</v>
      </c>
      <c r="B17" s="81" t="s">
        <v>542</v>
      </c>
      <c r="C17" s="77">
        <v>1611804</v>
      </c>
      <c r="D17" s="77">
        <f t="shared" si="0"/>
        <v>310847.90999999997</v>
      </c>
    </row>
    <row r="18" spans="1:4" outlineLevel="2">
      <c r="A18" s="77" t="s">
        <v>501</v>
      </c>
      <c r="B18" s="81" t="s">
        <v>543</v>
      </c>
      <c r="C18" s="77">
        <v>1305912</v>
      </c>
      <c r="D18" s="77">
        <f t="shared" si="0"/>
        <v>251854.46</v>
      </c>
    </row>
    <row r="19" spans="1:4" outlineLevel="2">
      <c r="A19" s="77" t="s">
        <v>501</v>
      </c>
      <c r="B19" s="81" t="s">
        <v>544</v>
      </c>
      <c r="C19" s="77">
        <v>1750200</v>
      </c>
      <c r="D19" s="77">
        <f t="shared" si="0"/>
        <v>337538.57</v>
      </c>
    </row>
    <row r="20" spans="1:4" outlineLevel="2">
      <c r="A20" s="77" t="s">
        <v>501</v>
      </c>
      <c r="B20" s="81" t="s">
        <v>545</v>
      </c>
      <c r="C20" s="77">
        <v>5749068</v>
      </c>
      <c r="D20" s="77">
        <f t="shared" si="0"/>
        <v>1108748.83</v>
      </c>
    </row>
    <row r="21" spans="1:4" outlineLevel="2">
      <c r="A21" s="77" t="s">
        <v>501</v>
      </c>
      <c r="B21" s="81" t="s">
        <v>546</v>
      </c>
      <c r="C21" s="77">
        <v>993084</v>
      </c>
      <c r="D21" s="77">
        <f t="shared" si="0"/>
        <v>191523.34</v>
      </c>
    </row>
    <row r="22" spans="1:4" outlineLevel="2">
      <c r="A22" s="77" t="s">
        <v>501</v>
      </c>
      <c r="B22" s="81" t="s">
        <v>547</v>
      </c>
      <c r="C22" s="77">
        <v>2227212</v>
      </c>
      <c r="D22" s="77">
        <f t="shared" si="0"/>
        <v>429533.74</v>
      </c>
    </row>
    <row r="23" spans="1:4" outlineLevel="2">
      <c r="A23" s="77" t="s">
        <v>501</v>
      </c>
      <c r="B23" s="81" t="s">
        <v>548</v>
      </c>
      <c r="C23" s="77">
        <v>976332</v>
      </c>
      <c r="D23" s="77">
        <f t="shared" si="0"/>
        <v>188292.6</v>
      </c>
    </row>
    <row r="24" spans="1:4" outlineLevel="2">
      <c r="A24" s="77" t="s">
        <v>501</v>
      </c>
      <c r="B24" s="81" t="s">
        <v>549</v>
      </c>
      <c r="C24" s="77">
        <v>2152644</v>
      </c>
      <c r="D24" s="77">
        <f t="shared" si="0"/>
        <v>415152.77</v>
      </c>
    </row>
    <row r="25" spans="1:4" outlineLevel="2">
      <c r="A25" s="77" t="s">
        <v>501</v>
      </c>
      <c r="B25" s="81" t="s">
        <v>550</v>
      </c>
      <c r="C25" s="77">
        <v>1492788</v>
      </c>
      <c r="D25" s="77">
        <f t="shared" si="0"/>
        <v>287894.83</v>
      </c>
    </row>
    <row r="26" spans="1:4" outlineLevel="2">
      <c r="A26" s="77" t="s">
        <v>501</v>
      </c>
      <c r="B26" s="81" t="s">
        <v>551</v>
      </c>
      <c r="C26" s="77">
        <v>668004</v>
      </c>
      <c r="D26" s="77">
        <f t="shared" si="0"/>
        <v>128829.34</v>
      </c>
    </row>
    <row r="27" spans="1:4" outlineLevel="2">
      <c r="A27" s="77" t="s">
        <v>501</v>
      </c>
      <c r="B27" s="81" t="s">
        <v>552</v>
      </c>
      <c r="C27" s="77">
        <v>686748</v>
      </c>
      <c r="D27" s="77">
        <f t="shared" si="0"/>
        <v>132444.26</v>
      </c>
    </row>
    <row r="28" spans="1:4" outlineLevel="2">
      <c r="A28" s="77" t="s">
        <v>501</v>
      </c>
      <c r="B28" s="81" t="s">
        <v>553</v>
      </c>
      <c r="C28" s="77">
        <v>457164</v>
      </c>
      <c r="D28" s="77">
        <f t="shared" si="0"/>
        <v>88167.34</v>
      </c>
    </row>
    <row r="29" spans="1:4" outlineLevel="2">
      <c r="A29" s="77" t="s">
        <v>501</v>
      </c>
      <c r="B29" s="81" t="s">
        <v>554</v>
      </c>
      <c r="C29" s="77">
        <v>638076</v>
      </c>
      <c r="D29" s="77">
        <f t="shared" si="0"/>
        <v>123057.51</v>
      </c>
    </row>
    <row r="30" spans="1:4" outlineLevel="2">
      <c r="A30" s="77" t="s">
        <v>501</v>
      </c>
      <c r="B30" s="81" t="s">
        <v>555</v>
      </c>
      <c r="C30" s="77">
        <v>292776</v>
      </c>
      <c r="D30" s="77">
        <f t="shared" si="0"/>
        <v>56463.94</v>
      </c>
    </row>
    <row r="31" spans="1:4" outlineLevel="2">
      <c r="A31" s="77" t="s">
        <v>501</v>
      </c>
      <c r="B31" s="81" t="s">
        <v>556</v>
      </c>
      <c r="C31" s="77">
        <v>277176</v>
      </c>
      <c r="D31" s="77">
        <f t="shared" si="0"/>
        <v>53455.37</v>
      </c>
    </row>
    <row r="32" spans="1:4" outlineLevel="2">
      <c r="A32" s="77" t="s">
        <v>501</v>
      </c>
      <c r="B32" s="81" t="s">
        <v>557</v>
      </c>
      <c r="C32" s="77">
        <v>1231068</v>
      </c>
      <c r="D32" s="77">
        <f t="shared" si="0"/>
        <v>237420.26</v>
      </c>
    </row>
    <row r="33" spans="1:4" outlineLevel="2">
      <c r="A33" s="77" t="s">
        <v>501</v>
      </c>
      <c r="B33" s="81" t="s">
        <v>558</v>
      </c>
      <c r="C33" s="77">
        <v>136668</v>
      </c>
      <c r="D33" s="77">
        <f t="shared" si="0"/>
        <v>26357.4</v>
      </c>
    </row>
    <row r="34" spans="1:4" outlineLevel="2">
      <c r="A34" s="77" t="s">
        <v>501</v>
      </c>
      <c r="B34" s="81" t="s">
        <v>559</v>
      </c>
      <c r="C34" s="77">
        <v>1223280</v>
      </c>
      <c r="D34" s="77">
        <f t="shared" si="0"/>
        <v>235918.29</v>
      </c>
    </row>
    <row r="35" spans="1:4" outlineLevel="2">
      <c r="A35" s="77" t="s">
        <v>501</v>
      </c>
      <c r="B35" s="81" t="s">
        <v>560</v>
      </c>
      <c r="C35" s="77">
        <v>129684</v>
      </c>
      <c r="D35" s="77">
        <f t="shared" si="0"/>
        <v>25010.49</v>
      </c>
    </row>
    <row r="36" spans="1:4" outlineLevel="1">
      <c r="A36" s="78" t="s">
        <v>502</v>
      </c>
      <c r="B36" s="81"/>
      <c r="C36" s="77">
        <f>SUBTOTAL(9,C16:C35)</f>
        <v>29148480</v>
      </c>
      <c r="D36" s="77">
        <f>SUM(D16:D35)</f>
        <v>5621492.5600000005</v>
      </c>
    </row>
    <row r="37" spans="1:4" outlineLevel="2">
      <c r="A37" s="77" t="s">
        <v>503</v>
      </c>
      <c r="B37" s="81" t="s">
        <v>253</v>
      </c>
      <c r="C37" s="77">
        <v>1496544</v>
      </c>
      <c r="D37" s="77">
        <f t="shared" si="0"/>
        <v>288619.2</v>
      </c>
    </row>
    <row r="38" spans="1:4" outlineLevel="2">
      <c r="A38" s="77" t="s">
        <v>503</v>
      </c>
      <c r="B38" s="81" t="s">
        <v>561</v>
      </c>
      <c r="C38" s="77">
        <v>1502184</v>
      </c>
      <c r="D38" s="77">
        <f t="shared" si="0"/>
        <v>289706.90999999997</v>
      </c>
    </row>
    <row r="39" spans="1:4" outlineLevel="2">
      <c r="A39" s="77" t="s">
        <v>503</v>
      </c>
      <c r="B39" s="81" t="s">
        <v>255</v>
      </c>
      <c r="C39" s="77">
        <v>1270068</v>
      </c>
      <c r="D39" s="77">
        <f t="shared" si="0"/>
        <v>244941.69</v>
      </c>
    </row>
    <row r="40" spans="1:4" outlineLevel="2">
      <c r="A40" s="77" t="s">
        <v>503</v>
      </c>
      <c r="B40" s="81" t="s">
        <v>256</v>
      </c>
      <c r="C40" s="77">
        <v>1425438</v>
      </c>
      <c r="D40" s="77">
        <f t="shared" si="0"/>
        <v>274905.90000000002</v>
      </c>
    </row>
    <row r="41" spans="1:4" outlineLevel="2">
      <c r="A41" s="77" t="s">
        <v>503</v>
      </c>
      <c r="B41" s="81" t="s">
        <v>562</v>
      </c>
      <c r="C41" s="77">
        <v>483000</v>
      </c>
      <c r="D41" s="77">
        <f t="shared" si="0"/>
        <v>93150</v>
      </c>
    </row>
    <row r="42" spans="1:4" outlineLevel="2">
      <c r="A42" s="77" t="s">
        <v>503</v>
      </c>
      <c r="B42" s="81" t="s">
        <v>258</v>
      </c>
      <c r="C42" s="77">
        <v>1483236</v>
      </c>
      <c r="D42" s="77">
        <f t="shared" si="0"/>
        <v>286052.65999999997</v>
      </c>
    </row>
    <row r="43" spans="1:4" outlineLevel="2">
      <c r="A43" s="77" t="s">
        <v>503</v>
      </c>
      <c r="B43" s="81" t="s">
        <v>259</v>
      </c>
      <c r="C43" s="77">
        <v>1457364</v>
      </c>
      <c r="D43" s="77">
        <f t="shared" si="0"/>
        <v>281063.06</v>
      </c>
    </row>
    <row r="44" spans="1:4" outlineLevel="2">
      <c r="A44" s="77" t="s">
        <v>503</v>
      </c>
      <c r="B44" s="81" t="s">
        <v>563</v>
      </c>
      <c r="C44" s="77">
        <v>1019988</v>
      </c>
      <c r="D44" s="77">
        <f t="shared" si="0"/>
        <v>196711.97</v>
      </c>
    </row>
    <row r="45" spans="1:4" outlineLevel="2">
      <c r="A45" s="77" t="s">
        <v>503</v>
      </c>
      <c r="B45" s="81" t="s">
        <v>261</v>
      </c>
      <c r="C45" s="77">
        <v>1579643</v>
      </c>
      <c r="D45" s="77">
        <f t="shared" si="0"/>
        <v>304645.44</v>
      </c>
    </row>
    <row r="46" spans="1:4" outlineLevel="2">
      <c r="A46" s="77" t="s">
        <v>503</v>
      </c>
      <c r="B46" s="81" t="s">
        <v>564</v>
      </c>
      <c r="C46" s="77">
        <v>1007568</v>
      </c>
      <c r="D46" s="77">
        <f t="shared" si="0"/>
        <v>194316.69</v>
      </c>
    </row>
    <row r="47" spans="1:4" outlineLevel="2">
      <c r="A47" s="77" t="s">
        <v>503</v>
      </c>
      <c r="B47" s="81" t="s">
        <v>263</v>
      </c>
      <c r="C47" s="77">
        <v>899064</v>
      </c>
      <c r="D47" s="77">
        <f t="shared" si="0"/>
        <v>173390.91</v>
      </c>
    </row>
    <row r="48" spans="1:4" outlineLevel="2">
      <c r="A48" s="77" t="s">
        <v>503</v>
      </c>
      <c r="B48" s="81" t="s">
        <v>565</v>
      </c>
      <c r="C48" s="77">
        <v>1003944</v>
      </c>
      <c r="D48" s="77">
        <f t="shared" si="0"/>
        <v>193617.77</v>
      </c>
    </row>
    <row r="49" spans="1:4" outlineLevel="2">
      <c r="A49" s="77" t="s">
        <v>503</v>
      </c>
      <c r="B49" s="81" t="s">
        <v>566</v>
      </c>
      <c r="C49" s="77">
        <v>757960</v>
      </c>
      <c r="D49" s="77">
        <f t="shared" si="0"/>
        <v>146178</v>
      </c>
    </row>
    <row r="50" spans="1:4" outlineLevel="2">
      <c r="A50" s="77" t="s">
        <v>503</v>
      </c>
      <c r="B50" s="81" t="s">
        <v>567</v>
      </c>
      <c r="C50" s="77">
        <v>286716</v>
      </c>
      <c r="D50" s="77">
        <f t="shared" si="0"/>
        <v>55295.23</v>
      </c>
    </row>
    <row r="51" spans="1:4" outlineLevel="2">
      <c r="A51" s="77" t="s">
        <v>503</v>
      </c>
      <c r="B51" s="81" t="s">
        <v>568</v>
      </c>
      <c r="C51" s="77">
        <v>338700</v>
      </c>
      <c r="D51" s="77">
        <f t="shared" si="0"/>
        <v>65320.71</v>
      </c>
    </row>
    <row r="52" spans="1:4" outlineLevel="2">
      <c r="A52" s="77" t="s">
        <v>503</v>
      </c>
      <c r="B52" s="81" t="s">
        <v>569</v>
      </c>
      <c r="C52" s="77">
        <v>352332</v>
      </c>
      <c r="D52" s="77">
        <f t="shared" si="0"/>
        <v>67949.740000000005</v>
      </c>
    </row>
    <row r="53" spans="1:4" outlineLevel="2">
      <c r="A53" s="77" t="s">
        <v>503</v>
      </c>
      <c r="B53" s="81" t="s">
        <v>269</v>
      </c>
      <c r="C53" s="77">
        <v>609804</v>
      </c>
      <c r="D53" s="77">
        <f t="shared" si="0"/>
        <v>117605.06</v>
      </c>
    </row>
    <row r="54" spans="1:4" outlineLevel="2">
      <c r="A54" s="77" t="s">
        <v>503</v>
      </c>
      <c r="B54" s="81" t="s">
        <v>270</v>
      </c>
      <c r="C54" s="77">
        <v>519317</v>
      </c>
      <c r="D54" s="77">
        <f t="shared" si="0"/>
        <v>100153.99</v>
      </c>
    </row>
    <row r="55" spans="1:4" outlineLevel="2">
      <c r="A55" s="77" t="s">
        <v>503</v>
      </c>
      <c r="B55" s="81" t="s">
        <v>570</v>
      </c>
      <c r="C55" s="77">
        <v>100740</v>
      </c>
      <c r="D55" s="77">
        <f t="shared" si="0"/>
        <v>19428.43</v>
      </c>
    </row>
    <row r="56" spans="1:4" outlineLevel="1">
      <c r="A56" s="78" t="s">
        <v>504</v>
      </c>
      <c r="B56" s="81"/>
      <c r="C56" s="77">
        <f>SUBTOTAL(9,C37:C55)</f>
        <v>17593610</v>
      </c>
      <c r="D56" s="77">
        <f>SUM(D37:D55)</f>
        <v>3393053.3600000008</v>
      </c>
    </row>
    <row r="57" spans="1:4" outlineLevel="2">
      <c r="A57" s="77" t="s">
        <v>505</v>
      </c>
      <c r="B57" s="81" t="s">
        <v>506</v>
      </c>
      <c r="C57" s="77">
        <v>2323608</v>
      </c>
      <c r="D57" s="77">
        <f t="shared" si="0"/>
        <v>448124.4</v>
      </c>
    </row>
    <row r="58" spans="1:4" outlineLevel="2">
      <c r="A58" s="77" t="s">
        <v>505</v>
      </c>
      <c r="B58" s="81" t="s">
        <v>507</v>
      </c>
      <c r="C58" s="77">
        <v>1261236</v>
      </c>
      <c r="D58" s="77">
        <f t="shared" si="0"/>
        <v>243238.37</v>
      </c>
    </row>
    <row r="59" spans="1:4" outlineLevel="2">
      <c r="A59" s="77" t="s">
        <v>505</v>
      </c>
      <c r="B59" s="81" t="s">
        <v>508</v>
      </c>
      <c r="C59" s="77">
        <v>1292880</v>
      </c>
      <c r="D59" s="77">
        <f t="shared" si="0"/>
        <v>249341.14</v>
      </c>
    </row>
    <row r="60" spans="1:4" outlineLevel="2">
      <c r="A60" s="77" t="s">
        <v>505</v>
      </c>
      <c r="B60" s="81" t="s">
        <v>509</v>
      </c>
      <c r="C60" s="77">
        <v>1412580</v>
      </c>
      <c r="D60" s="77">
        <f t="shared" si="0"/>
        <v>272426.14</v>
      </c>
    </row>
    <row r="61" spans="1:4" outlineLevel="2">
      <c r="A61" s="77" t="s">
        <v>505</v>
      </c>
      <c r="B61" s="81" t="s">
        <v>571</v>
      </c>
      <c r="C61" s="77">
        <v>1240992</v>
      </c>
      <c r="D61" s="77">
        <f t="shared" si="0"/>
        <v>239334.17</v>
      </c>
    </row>
    <row r="62" spans="1:4" outlineLevel="2">
      <c r="A62" s="77" t="s">
        <v>505</v>
      </c>
      <c r="B62" s="81" t="s">
        <v>572</v>
      </c>
      <c r="C62" s="77">
        <v>1082220</v>
      </c>
      <c r="D62" s="77">
        <f t="shared" si="0"/>
        <v>208713.86</v>
      </c>
    </row>
    <row r="63" spans="1:4" outlineLevel="2">
      <c r="A63" s="77" t="s">
        <v>505</v>
      </c>
      <c r="B63" s="81" t="s">
        <v>510</v>
      </c>
      <c r="C63" s="77">
        <v>1915212</v>
      </c>
      <c r="D63" s="77">
        <f t="shared" si="0"/>
        <v>369362.31</v>
      </c>
    </row>
    <row r="64" spans="1:4" outlineLevel="2">
      <c r="A64" s="77" t="s">
        <v>505</v>
      </c>
      <c r="B64" s="81" t="s">
        <v>511</v>
      </c>
      <c r="C64" s="77">
        <v>888840</v>
      </c>
      <c r="D64" s="77">
        <f t="shared" si="0"/>
        <v>171419.14</v>
      </c>
    </row>
    <row r="65" spans="1:4" outlineLevel="2">
      <c r="A65" s="77" t="s">
        <v>505</v>
      </c>
      <c r="B65" s="81" t="s">
        <v>573</v>
      </c>
      <c r="C65" s="77">
        <v>641352</v>
      </c>
      <c r="D65" s="77">
        <f t="shared" si="0"/>
        <v>123689.31</v>
      </c>
    </row>
    <row r="66" spans="1:4" outlineLevel="2">
      <c r="A66" s="77" t="s">
        <v>505</v>
      </c>
      <c r="B66" s="81" t="s">
        <v>512</v>
      </c>
      <c r="C66" s="77">
        <v>1060488</v>
      </c>
      <c r="D66" s="77">
        <f t="shared" si="0"/>
        <v>204522.69</v>
      </c>
    </row>
    <row r="67" spans="1:4" outlineLevel="2">
      <c r="A67" s="77" t="s">
        <v>505</v>
      </c>
      <c r="B67" s="81" t="s">
        <v>513</v>
      </c>
      <c r="C67" s="77">
        <v>749808</v>
      </c>
      <c r="D67" s="77">
        <f t="shared" si="0"/>
        <v>144605.82999999999</v>
      </c>
    </row>
    <row r="68" spans="1:4" outlineLevel="2">
      <c r="A68" s="77" t="s">
        <v>505</v>
      </c>
      <c r="B68" s="81" t="s">
        <v>514</v>
      </c>
      <c r="C68" s="77">
        <v>672180</v>
      </c>
      <c r="D68" s="77">
        <f t="shared" si="0"/>
        <v>129634.71</v>
      </c>
    </row>
    <row r="69" spans="1:4" outlineLevel="2">
      <c r="A69" s="77" t="s">
        <v>505</v>
      </c>
      <c r="B69" s="81" t="s">
        <v>515</v>
      </c>
      <c r="C69" s="77">
        <v>655572</v>
      </c>
      <c r="D69" s="77">
        <f t="shared" ref="D69:D121" si="1">ROUND(C69/0.07*0.015*0.9,2)</f>
        <v>126431.74</v>
      </c>
    </row>
    <row r="70" spans="1:4" outlineLevel="2">
      <c r="A70" s="77" t="s">
        <v>505</v>
      </c>
      <c r="B70" s="81" t="s">
        <v>516</v>
      </c>
      <c r="C70" s="77">
        <v>242460</v>
      </c>
      <c r="D70" s="77">
        <f t="shared" si="1"/>
        <v>46760.14</v>
      </c>
    </row>
    <row r="71" spans="1:4" outlineLevel="2">
      <c r="A71" s="77" t="s">
        <v>505</v>
      </c>
      <c r="B71" s="81" t="s">
        <v>517</v>
      </c>
      <c r="C71" s="77">
        <v>120816</v>
      </c>
      <c r="D71" s="77">
        <f t="shared" si="1"/>
        <v>23300.23</v>
      </c>
    </row>
    <row r="72" spans="1:4" outlineLevel="2">
      <c r="A72" s="77" t="s">
        <v>505</v>
      </c>
      <c r="B72" s="81" t="s">
        <v>518</v>
      </c>
      <c r="C72" s="77">
        <v>72828</v>
      </c>
      <c r="D72" s="77">
        <f t="shared" si="1"/>
        <v>14045.4</v>
      </c>
    </row>
    <row r="73" spans="1:4" outlineLevel="1">
      <c r="A73" s="78" t="s">
        <v>519</v>
      </c>
      <c r="B73" s="81"/>
      <c r="C73" s="77">
        <f>SUBTOTAL(9,C57:C72)</f>
        <v>15633072</v>
      </c>
      <c r="D73" s="77">
        <f>SUM(D57:D72)</f>
        <v>3014949.5800000005</v>
      </c>
    </row>
    <row r="74" spans="1:4" outlineLevel="2">
      <c r="A74" s="77" t="s">
        <v>520</v>
      </c>
      <c r="B74" s="81" t="s">
        <v>574</v>
      </c>
      <c r="C74" s="77">
        <v>163896</v>
      </c>
      <c r="D74" s="77">
        <f t="shared" si="1"/>
        <v>31608.51</v>
      </c>
    </row>
    <row r="75" spans="1:4" outlineLevel="2">
      <c r="A75" s="77" t="s">
        <v>520</v>
      </c>
      <c r="B75" s="81" t="s">
        <v>575</v>
      </c>
      <c r="C75" s="77">
        <v>1706484</v>
      </c>
      <c r="D75" s="77">
        <f t="shared" si="1"/>
        <v>329107.63</v>
      </c>
    </row>
    <row r="76" spans="1:4" outlineLevel="2">
      <c r="A76" s="77" t="s">
        <v>520</v>
      </c>
      <c r="B76" s="81" t="s">
        <v>576</v>
      </c>
      <c r="C76" s="77">
        <v>2887836</v>
      </c>
      <c r="D76" s="77">
        <f t="shared" si="1"/>
        <v>556939.80000000005</v>
      </c>
    </row>
    <row r="77" spans="1:4" outlineLevel="2">
      <c r="A77" s="77" t="s">
        <v>520</v>
      </c>
      <c r="B77" s="81" t="s">
        <v>577</v>
      </c>
      <c r="C77" s="77">
        <v>1368636</v>
      </c>
      <c r="D77" s="77">
        <f t="shared" si="1"/>
        <v>263951.23</v>
      </c>
    </row>
    <row r="78" spans="1:4" outlineLevel="2">
      <c r="A78" s="77" t="s">
        <v>520</v>
      </c>
      <c r="B78" s="81" t="s">
        <v>578</v>
      </c>
      <c r="C78" s="77">
        <v>2939808</v>
      </c>
      <c r="D78" s="77">
        <f t="shared" si="1"/>
        <v>566962.97</v>
      </c>
    </row>
    <row r="79" spans="1:4" outlineLevel="2">
      <c r="A79" s="77" t="s">
        <v>520</v>
      </c>
      <c r="B79" s="81" t="s">
        <v>579</v>
      </c>
      <c r="C79" s="77">
        <v>425208</v>
      </c>
      <c r="D79" s="77">
        <f t="shared" si="1"/>
        <v>82004.399999999994</v>
      </c>
    </row>
    <row r="80" spans="1:4" outlineLevel="2">
      <c r="A80" s="77" t="s">
        <v>520</v>
      </c>
      <c r="B80" s="81" t="s">
        <v>580</v>
      </c>
      <c r="C80" s="77">
        <v>325500</v>
      </c>
      <c r="D80" s="77">
        <f t="shared" si="1"/>
        <v>62775</v>
      </c>
    </row>
    <row r="81" spans="1:4" outlineLevel="2">
      <c r="A81" s="77" t="s">
        <v>520</v>
      </c>
      <c r="B81" s="81" t="s">
        <v>581</v>
      </c>
      <c r="C81" s="77">
        <v>376848</v>
      </c>
      <c r="D81" s="77">
        <f t="shared" si="1"/>
        <v>72677.83</v>
      </c>
    </row>
    <row r="82" spans="1:4" outlineLevel="2">
      <c r="A82" s="77" t="s">
        <v>520</v>
      </c>
      <c r="B82" s="81" t="s">
        <v>582</v>
      </c>
      <c r="C82" s="77">
        <v>741588</v>
      </c>
      <c r="D82" s="77">
        <f t="shared" si="1"/>
        <v>143020.54</v>
      </c>
    </row>
    <row r="83" spans="1:4" outlineLevel="2">
      <c r="A83" s="77" t="s">
        <v>520</v>
      </c>
      <c r="B83" s="81" t="s">
        <v>583</v>
      </c>
      <c r="C83" s="77">
        <v>452844</v>
      </c>
      <c r="D83" s="77">
        <f t="shared" si="1"/>
        <v>87334.2</v>
      </c>
    </row>
    <row r="84" spans="1:4" outlineLevel="2">
      <c r="A84" s="77" t="s">
        <v>520</v>
      </c>
      <c r="B84" s="81" t="s">
        <v>584</v>
      </c>
      <c r="C84" s="77">
        <v>348672</v>
      </c>
      <c r="D84" s="77">
        <f t="shared" si="1"/>
        <v>67243.89</v>
      </c>
    </row>
    <row r="85" spans="1:4" outlineLevel="2">
      <c r="A85" s="77" t="s">
        <v>520</v>
      </c>
      <c r="B85" s="81" t="s">
        <v>585</v>
      </c>
      <c r="C85" s="77">
        <v>332424</v>
      </c>
      <c r="D85" s="77">
        <f t="shared" si="1"/>
        <v>64110.34</v>
      </c>
    </row>
    <row r="86" spans="1:4" outlineLevel="1">
      <c r="A86" s="78" t="s">
        <v>521</v>
      </c>
      <c r="B86" s="81"/>
      <c r="C86" s="77">
        <f>SUBTOTAL(9,C74:C85)</f>
        <v>12069744</v>
      </c>
      <c r="D86" s="77">
        <f>SUM(D74:D85)</f>
        <v>2327736.34</v>
      </c>
    </row>
    <row r="87" spans="1:4" outlineLevel="2">
      <c r="A87" s="77" t="s">
        <v>522</v>
      </c>
      <c r="B87" s="77" t="s">
        <v>528</v>
      </c>
      <c r="C87" s="77">
        <v>2469972</v>
      </c>
      <c r="D87" s="77">
        <f t="shared" si="1"/>
        <v>476351.74</v>
      </c>
    </row>
    <row r="88" spans="1:4" outlineLevel="2">
      <c r="A88" s="77" t="s">
        <v>522</v>
      </c>
      <c r="B88" s="77" t="s">
        <v>529</v>
      </c>
      <c r="C88" s="77">
        <v>2469096</v>
      </c>
      <c r="D88" s="77">
        <f t="shared" si="1"/>
        <v>476182.8</v>
      </c>
    </row>
    <row r="89" spans="1:4" outlineLevel="2">
      <c r="A89" s="77" t="s">
        <v>522</v>
      </c>
      <c r="B89" s="77" t="s">
        <v>530</v>
      </c>
      <c r="C89" s="77">
        <v>2039388</v>
      </c>
      <c r="D89" s="77">
        <f t="shared" si="1"/>
        <v>393310.54</v>
      </c>
    </row>
    <row r="90" spans="1:4" outlineLevel="2">
      <c r="A90" s="77" t="s">
        <v>522</v>
      </c>
      <c r="B90" s="77" t="s">
        <v>531</v>
      </c>
      <c r="C90" s="77">
        <v>440748</v>
      </c>
      <c r="D90" s="77">
        <f t="shared" si="1"/>
        <v>85001.4</v>
      </c>
    </row>
    <row r="91" spans="1:4" outlineLevel="2">
      <c r="A91" s="77" t="s">
        <v>522</v>
      </c>
      <c r="B91" s="77" t="s">
        <v>532</v>
      </c>
      <c r="C91" s="77">
        <v>900876</v>
      </c>
      <c r="D91" s="77">
        <f t="shared" si="1"/>
        <v>173740.37</v>
      </c>
    </row>
    <row r="92" spans="1:4" outlineLevel="2">
      <c r="A92" s="77" t="s">
        <v>522</v>
      </c>
      <c r="B92" s="77" t="s">
        <v>533</v>
      </c>
      <c r="C92" s="77">
        <v>537672</v>
      </c>
      <c r="D92" s="77">
        <f t="shared" si="1"/>
        <v>103693.89</v>
      </c>
    </row>
    <row r="93" spans="1:4" outlineLevel="2">
      <c r="A93" s="77" t="s">
        <v>522</v>
      </c>
      <c r="B93" s="77" t="s">
        <v>534</v>
      </c>
      <c r="C93" s="77">
        <v>655284</v>
      </c>
      <c r="D93" s="77">
        <f t="shared" si="1"/>
        <v>126376.2</v>
      </c>
    </row>
    <row r="94" spans="1:4" outlineLevel="2">
      <c r="A94" s="77" t="s">
        <v>522</v>
      </c>
      <c r="B94" s="77" t="s">
        <v>303</v>
      </c>
      <c r="C94" s="77">
        <v>127248</v>
      </c>
      <c r="D94" s="77">
        <f t="shared" si="1"/>
        <v>24540.69</v>
      </c>
    </row>
    <row r="95" spans="1:4" outlineLevel="1">
      <c r="A95" s="78" t="s">
        <v>523</v>
      </c>
      <c r="B95" s="77"/>
      <c r="C95" s="77">
        <f>SUBTOTAL(9,C87:C94)</f>
        <v>9640284</v>
      </c>
      <c r="D95" s="77">
        <f>SUM(D87:D94)</f>
        <v>1859197.63</v>
      </c>
    </row>
    <row r="96" spans="1:4" outlineLevel="2">
      <c r="A96" s="77" t="s">
        <v>524</v>
      </c>
      <c r="B96" s="81" t="s">
        <v>292</v>
      </c>
      <c r="C96" s="77">
        <v>2115140</v>
      </c>
      <c r="D96" s="77">
        <f t="shared" si="1"/>
        <v>407919.86</v>
      </c>
    </row>
    <row r="97" spans="1:4" outlineLevel="2">
      <c r="A97" s="77" t="s">
        <v>524</v>
      </c>
      <c r="B97" s="81" t="s">
        <v>293</v>
      </c>
      <c r="C97" s="77">
        <v>1270000</v>
      </c>
      <c r="D97" s="77">
        <f t="shared" si="1"/>
        <v>244928.57</v>
      </c>
    </row>
    <row r="98" spans="1:4" outlineLevel="2">
      <c r="A98" s="77" t="s">
        <v>524</v>
      </c>
      <c r="B98" s="81" t="s">
        <v>294</v>
      </c>
      <c r="C98" s="77">
        <v>1298754</v>
      </c>
      <c r="D98" s="77">
        <f t="shared" si="1"/>
        <v>250473.99</v>
      </c>
    </row>
    <row r="99" spans="1:4" outlineLevel="2">
      <c r="A99" s="77" t="s">
        <v>524</v>
      </c>
      <c r="B99" s="81" t="s">
        <v>295</v>
      </c>
      <c r="C99" s="77">
        <v>1462782</v>
      </c>
      <c r="D99" s="77">
        <f t="shared" si="1"/>
        <v>282107.96000000002</v>
      </c>
    </row>
    <row r="100" spans="1:4" outlineLevel="2">
      <c r="A100" s="77" t="s">
        <v>524</v>
      </c>
      <c r="B100" s="81" t="s">
        <v>296</v>
      </c>
      <c r="C100" s="77">
        <v>2915234</v>
      </c>
      <c r="D100" s="77">
        <f t="shared" si="1"/>
        <v>562223.69999999995</v>
      </c>
    </row>
    <row r="101" spans="1:4" outlineLevel="2">
      <c r="A101" s="77" t="s">
        <v>524</v>
      </c>
      <c r="B101" s="81" t="s">
        <v>297</v>
      </c>
      <c r="C101" s="77">
        <v>582602</v>
      </c>
      <c r="D101" s="77">
        <f t="shared" si="1"/>
        <v>112358.96</v>
      </c>
    </row>
    <row r="102" spans="1:4" outlineLevel="2">
      <c r="A102" s="77" t="s">
        <v>524</v>
      </c>
      <c r="B102" s="81" t="s">
        <v>298</v>
      </c>
      <c r="C102" s="77">
        <v>859498</v>
      </c>
      <c r="D102" s="77">
        <f t="shared" si="1"/>
        <v>165760.32999999999</v>
      </c>
    </row>
    <row r="103" spans="1:4" outlineLevel="2">
      <c r="A103" s="77" t="s">
        <v>524</v>
      </c>
      <c r="B103" s="81" t="s">
        <v>299</v>
      </c>
      <c r="C103" s="77">
        <v>680248</v>
      </c>
      <c r="D103" s="77">
        <f t="shared" si="1"/>
        <v>131190.69</v>
      </c>
    </row>
    <row r="104" spans="1:4" outlineLevel="2">
      <c r="A104" s="77" t="s">
        <v>524</v>
      </c>
      <c r="B104" s="81" t="s">
        <v>300</v>
      </c>
      <c r="C104" s="77">
        <v>612288</v>
      </c>
      <c r="D104" s="77">
        <f t="shared" si="1"/>
        <v>118084.11</v>
      </c>
    </row>
    <row r="105" spans="1:4" outlineLevel="2">
      <c r="A105" s="77" t="s">
        <v>524</v>
      </c>
      <c r="B105" s="81" t="s">
        <v>301</v>
      </c>
      <c r="C105" s="77">
        <v>631998</v>
      </c>
      <c r="D105" s="77">
        <f t="shared" si="1"/>
        <v>121885.33</v>
      </c>
    </row>
    <row r="106" spans="1:4" outlineLevel="2">
      <c r="A106" s="77" t="s">
        <v>524</v>
      </c>
      <c r="B106" s="81" t="s">
        <v>302</v>
      </c>
      <c r="C106" s="77">
        <v>2160000</v>
      </c>
      <c r="D106" s="77">
        <f t="shared" si="1"/>
        <v>416571.43</v>
      </c>
    </row>
    <row r="107" spans="1:4" outlineLevel="2">
      <c r="A107" s="77" t="s">
        <v>524</v>
      </c>
      <c r="B107" s="81" t="s">
        <v>303</v>
      </c>
      <c r="C107" s="77">
        <v>85026</v>
      </c>
      <c r="D107" s="77">
        <f t="shared" si="1"/>
        <v>16397.87</v>
      </c>
    </row>
    <row r="108" spans="1:4" outlineLevel="2">
      <c r="A108" s="77" t="s">
        <v>524</v>
      </c>
      <c r="B108" s="81" t="s">
        <v>586</v>
      </c>
      <c r="C108" s="77">
        <v>191162</v>
      </c>
      <c r="D108" s="77">
        <f t="shared" si="1"/>
        <v>36866.959999999999</v>
      </c>
    </row>
    <row r="109" spans="1:4" outlineLevel="2">
      <c r="A109" s="77" t="s">
        <v>524</v>
      </c>
      <c r="B109" s="81" t="s">
        <v>587</v>
      </c>
      <c r="C109" s="77">
        <v>1145034</v>
      </c>
      <c r="D109" s="77">
        <f t="shared" si="1"/>
        <v>220827.99</v>
      </c>
    </row>
    <row r="110" spans="1:4" outlineLevel="2">
      <c r="A110" s="77" t="s">
        <v>524</v>
      </c>
      <c r="B110" s="81" t="s">
        <v>588</v>
      </c>
      <c r="C110" s="77">
        <v>417183</v>
      </c>
      <c r="D110" s="77">
        <f t="shared" si="1"/>
        <v>80456.72</v>
      </c>
    </row>
    <row r="111" spans="1:4" outlineLevel="1">
      <c r="A111" s="78" t="s">
        <v>525</v>
      </c>
      <c r="B111" s="81"/>
      <c r="C111" s="77">
        <f>SUBTOTAL(9,C96:C110)</f>
        <v>16426949</v>
      </c>
      <c r="D111" s="77">
        <f>SUM(D96:D110)</f>
        <v>3168054.47</v>
      </c>
    </row>
    <row r="112" spans="1:4" outlineLevel="2">
      <c r="A112" s="77" t="s">
        <v>526</v>
      </c>
      <c r="B112" s="77" t="s">
        <v>307</v>
      </c>
      <c r="C112" s="77">
        <v>1367730</v>
      </c>
      <c r="D112" s="77">
        <f t="shared" si="1"/>
        <v>263776.5</v>
      </c>
    </row>
    <row r="113" spans="1:4" outlineLevel="2">
      <c r="A113" s="77" t="s">
        <v>526</v>
      </c>
      <c r="B113" s="77" t="s">
        <v>308</v>
      </c>
      <c r="C113" s="77">
        <v>980350</v>
      </c>
      <c r="D113" s="77">
        <f t="shared" si="1"/>
        <v>189067.5</v>
      </c>
    </row>
    <row r="114" spans="1:4" outlineLevel="2">
      <c r="A114" s="77" t="s">
        <v>526</v>
      </c>
      <c r="B114" s="77" t="s">
        <v>309</v>
      </c>
      <c r="C114" s="77">
        <v>1950410</v>
      </c>
      <c r="D114" s="77">
        <f t="shared" si="1"/>
        <v>376150.5</v>
      </c>
    </row>
    <row r="115" spans="1:4" outlineLevel="2">
      <c r="A115" s="77" t="s">
        <v>526</v>
      </c>
      <c r="B115" s="77" t="s">
        <v>310</v>
      </c>
      <c r="C115" s="77">
        <v>1348270</v>
      </c>
      <c r="D115" s="77">
        <f t="shared" si="1"/>
        <v>260023.5</v>
      </c>
    </row>
    <row r="116" spans="1:4" outlineLevel="2">
      <c r="A116" s="77" t="s">
        <v>526</v>
      </c>
      <c r="B116" s="77" t="s">
        <v>311</v>
      </c>
      <c r="C116" s="77">
        <v>1221920</v>
      </c>
      <c r="D116" s="77">
        <f t="shared" si="1"/>
        <v>235656</v>
      </c>
    </row>
    <row r="117" spans="1:4" outlineLevel="2">
      <c r="A117" s="77" t="s">
        <v>526</v>
      </c>
      <c r="B117" s="77" t="s">
        <v>312</v>
      </c>
      <c r="C117" s="77">
        <v>830060</v>
      </c>
      <c r="D117" s="77">
        <f t="shared" si="1"/>
        <v>160083</v>
      </c>
    </row>
    <row r="118" spans="1:4" outlineLevel="2">
      <c r="A118" s="77" t="s">
        <v>526</v>
      </c>
      <c r="B118" s="77" t="s">
        <v>313</v>
      </c>
      <c r="C118" s="77">
        <v>762020</v>
      </c>
      <c r="D118" s="77">
        <f t="shared" si="1"/>
        <v>146961</v>
      </c>
    </row>
    <row r="119" spans="1:4" outlineLevel="2">
      <c r="A119" s="77" t="s">
        <v>526</v>
      </c>
      <c r="B119" s="77" t="s">
        <v>314</v>
      </c>
      <c r="C119" s="77">
        <v>559720</v>
      </c>
      <c r="D119" s="77">
        <f t="shared" si="1"/>
        <v>107946</v>
      </c>
    </row>
    <row r="120" spans="1:4" outlineLevel="2">
      <c r="A120" s="77" t="s">
        <v>526</v>
      </c>
      <c r="B120" s="77" t="s">
        <v>315</v>
      </c>
      <c r="C120" s="77">
        <v>700070</v>
      </c>
      <c r="D120" s="77">
        <f t="shared" si="1"/>
        <v>135013.5</v>
      </c>
    </row>
    <row r="121" spans="1:4" outlineLevel="2">
      <c r="A121" s="77" t="s">
        <v>526</v>
      </c>
      <c r="B121" s="77" t="s">
        <v>303</v>
      </c>
      <c r="C121" s="77">
        <v>24360</v>
      </c>
      <c r="D121" s="77">
        <f t="shared" si="1"/>
        <v>4698</v>
      </c>
    </row>
    <row r="122" spans="1:4" outlineLevel="1">
      <c r="A122" s="78" t="s">
        <v>527</v>
      </c>
      <c r="B122" s="77"/>
      <c r="C122" s="77">
        <f>SUBTOTAL(9,C112:C121)</f>
        <v>9744910</v>
      </c>
      <c r="D122" s="77">
        <f>SUM(D112:D121)</f>
        <v>1879375.5</v>
      </c>
    </row>
    <row r="123" spans="1:4">
      <c r="A123" s="78" t="s">
        <v>492</v>
      </c>
      <c r="B123" s="77"/>
      <c r="C123" s="77">
        <f>SUBTOTAL(9,C3:C121)</f>
        <v>118230729.52</v>
      </c>
      <c r="D123" s="77">
        <f>SUM(D122,D111,D95,D86,D73,D56,D36,D15,D8)</f>
        <v>22801640.670000006</v>
      </c>
    </row>
  </sheetData>
  <mergeCells count="1">
    <mergeCell ref="A1:D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Footer>第 &amp;P 页，共 &amp;N 页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dimension ref="A1:D29"/>
  <sheetViews>
    <sheetView topLeftCell="A10" workbookViewId="0">
      <selection activeCell="D27" sqref="D27"/>
    </sheetView>
  </sheetViews>
  <sheetFormatPr defaultColWidth="9" defaultRowHeight="13.5" outlineLevelRow="2"/>
  <cols>
    <col min="1" max="1" width="24.125" style="80" customWidth="1"/>
    <col min="2" max="2" width="39.5" style="80" customWidth="1"/>
    <col min="3" max="3" width="20.625" style="80" hidden="1" customWidth="1"/>
    <col min="4" max="4" width="20.625" style="80" customWidth="1"/>
    <col min="5" max="16384" width="9" style="80"/>
  </cols>
  <sheetData>
    <row r="1" spans="1:4" s="76" customFormat="1" ht="20.25">
      <c r="A1" s="494" t="s">
        <v>1024</v>
      </c>
      <c r="B1" s="495"/>
      <c r="C1" s="495"/>
      <c r="D1" s="495"/>
    </row>
    <row r="2" spans="1:4" ht="24.95" customHeight="1">
      <c r="A2" s="197" t="s">
        <v>494</v>
      </c>
      <c r="B2" s="197" t="s">
        <v>495</v>
      </c>
      <c r="C2" s="197" t="s">
        <v>535</v>
      </c>
      <c r="D2" s="197" t="s">
        <v>496</v>
      </c>
    </row>
    <row r="3" spans="1:4" ht="24.95" customHeight="1" outlineLevel="2">
      <c r="A3" s="235" t="s">
        <v>1027</v>
      </c>
      <c r="B3" s="235" t="s">
        <v>1028</v>
      </c>
      <c r="C3" s="235"/>
      <c r="D3" s="235">
        <v>152558</v>
      </c>
    </row>
    <row r="4" spans="1:4" ht="24.95" customHeight="1" outlineLevel="2">
      <c r="A4" s="235" t="s">
        <v>1027</v>
      </c>
      <c r="B4" s="235" t="s">
        <v>368</v>
      </c>
      <c r="C4" s="235"/>
      <c r="D4" s="235">
        <v>136546</v>
      </c>
    </row>
    <row r="5" spans="1:4" ht="24.95" customHeight="1" outlineLevel="1">
      <c r="A5" s="238" t="s">
        <v>527</v>
      </c>
      <c r="B5" s="235"/>
      <c r="C5" s="235"/>
      <c r="D5" s="235">
        <f>SUBTOTAL(9,D3:D4)</f>
        <v>289104</v>
      </c>
    </row>
    <row r="6" spans="1:4" ht="24.95" customHeight="1" outlineLevel="2">
      <c r="A6" s="235" t="s">
        <v>1029</v>
      </c>
      <c r="B6" s="235" t="s">
        <v>190</v>
      </c>
      <c r="C6" s="235"/>
      <c r="D6" s="235">
        <v>141664</v>
      </c>
    </row>
    <row r="7" spans="1:4" ht="24.95" customHeight="1" outlineLevel="1">
      <c r="A7" s="238" t="s">
        <v>500</v>
      </c>
      <c r="B7" s="235"/>
      <c r="C7" s="235"/>
      <c r="D7" s="235">
        <f>SUBTOTAL(9,D6:D6)</f>
        <v>141664</v>
      </c>
    </row>
    <row r="8" spans="1:4" ht="24.95" customHeight="1" outlineLevel="2">
      <c r="A8" s="235" t="s">
        <v>1030</v>
      </c>
      <c r="B8" s="235" t="s">
        <v>383</v>
      </c>
      <c r="C8" s="235"/>
      <c r="D8" s="235">
        <v>118020</v>
      </c>
    </row>
    <row r="9" spans="1:4" ht="24.95" customHeight="1" outlineLevel="2">
      <c r="A9" s="235" t="s">
        <v>1030</v>
      </c>
      <c r="B9" s="235" t="s">
        <v>1031</v>
      </c>
      <c r="C9" s="235"/>
      <c r="D9" s="235">
        <f>95140+5192</f>
        <v>100332</v>
      </c>
    </row>
    <row r="10" spans="1:4" ht="24.95" customHeight="1" outlineLevel="2">
      <c r="A10" s="235" t="s">
        <v>1030</v>
      </c>
      <c r="B10" s="235" t="s">
        <v>1032</v>
      </c>
      <c r="C10" s="235"/>
      <c r="D10" s="235">
        <v>231708</v>
      </c>
    </row>
    <row r="11" spans="1:4" ht="24.95" customHeight="1" outlineLevel="1">
      <c r="A11" s="238" t="s">
        <v>523</v>
      </c>
      <c r="B11" s="235"/>
      <c r="C11" s="235"/>
      <c r="D11" s="235">
        <f>SUBTOTAL(9,D8:D10)</f>
        <v>450060</v>
      </c>
    </row>
    <row r="12" spans="1:4" ht="24.95" customHeight="1" outlineLevel="2">
      <c r="A12" s="235" t="s">
        <v>1033</v>
      </c>
      <c r="B12" s="235" t="s">
        <v>1034</v>
      </c>
      <c r="C12" s="235"/>
      <c r="D12" s="235">
        <v>454184</v>
      </c>
    </row>
    <row r="13" spans="1:4" ht="24.95" customHeight="1" outlineLevel="1">
      <c r="A13" s="238" t="s">
        <v>521</v>
      </c>
      <c r="B13" s="235"/>
      <c r="C13" s="235"/>
      <c r="D13" s="235">
        <f>SUBTOTAL(9,D12:D12)</f>
        <v>454184</v>
      </c>
    </row>
    <row r="14" spans="1:4" ht="24.95" customHeight="1" outlineLevel="2">
      <c r="A14" s="235" t="s">
        <v>1035</v>
      </c>
      <c r="B14" s="235" t="s">
        <v>1036</v>
      </c>
      <c r="C14" s="235"/>
      <c r="D14" s="235">
        <v>111706</v>
      </c>
    </row>
    <row r="15" spans="1:4" ht="24.95" customHeight="1" outlineLevel="1">
      <c r="A15" s="238" t="s">
        <v>519</v>
      </c>
      <c r="B15" s="235"/>
      <c r="C15" s="235"/>
      <c r="D15" s="235">
        <f>SUBTOTAL(9,D14:D14)</f>
        <v>111706</v>
      </c>
    </row>
    <row r="16" spans="1:4" ht="24.95" customHeight="1" outlineLevel="2">
      <c r="A16" s="235" t="s">
        <v>1037</v>
      </c>
      <c r="B16" s="235" t="s">
        <v>1025</v>
      </c>
      <c r="C16" s="235"/>
      <c r="D16" s="235">
        <v>267890</v>
      </c>
    </row>
    <row r="17" spans="1:4" ht="24.95" customHeight="1" outlineLevel="2">
      <c r="A17" s="235" t="s">
        <v>1037</v>
      </c>
      <c r="B17" s="236" t="s">
        <v>1026</v>
      </c>
      <c r="C17" s="235"/>
      <c r="D17" s="235">
        <v>192046</v>
      </c>
    </row>
    <row r="18" spans="1:4" ht="24.95" customHeight="1" outlineLevel="2">
      <c r="A18" s="235" t="s">
        <v>1037</v>
      </c>
      <c r="B18" s="235" t="s">
        <v>451</v>
      </c>
      <c r="C18" s="235"/>
      <c r="D18" s="235">
        <v>128810</v>
      </c>
    </row>
    <row r="19" spans="1:4" ht="24.95" customHeight="1" outlineLevel="1">
      <c r="A19" s="238" t="s">
        <v>502</v>
      </c>
      <c r="B19" s="235"/>
      <c r="C19" s="235"/>
      <c r="D19" s="235">
        <f>SUBTOTAL(9,D16:D18)</f>
        <v>588746</v>
      </c>
    </row>
    <row r="20" spans="1:4" ht="24.95" customHeight="1" outlineLevel="2">
      <c r="A20" s="235" t="s">
        <v>1038</v>
      </c>
      <c r="B20" s="237" t="s">
        <v>481</v>
      </c>
      <c r="C20" s="235"/>
      <c r="D20" s="235">
        <v>193108</v>
      </c>
    </row>
    <row r="21" spans="1:4" ht="24.95" customHeight="1" outlineLevel="2">
      <c r="A21" s="235" t="s">
        <v>1038</v>
      </c>
      <c r="B21" s="237" t="s">
        <v>480</v>
      </c>
      <c r="C21" s="235"/>
      <c r="D21" s="235">
        <v>258790</v>
      </c>
    </row>
    <row r="22" spans="1:4" ht="24.95" customHeight="1" outlineLevel="1">
      <c r="A22" s="238" t="s">
        <v>525</v>
      </c>
      <c r="B22" s="237"/>
      <c r="C22" s="235"/>
      <c r="D22" s="235">
        <f>SUBTOTAL(9,D20:D21)</f>
        <v>451898</v>
      </c>
    </row>
    <row r="23" spans="1:4" ht="24.95" customHeight="1" outlineLevel="2">
      <c r="A23" s="235" t="s">
        <v>1039</v>
      </c>
      <c r="B23" s="235" t="s">
        <v>423</v>
      </c>
      <c r="C23" s="235"/>
      <c r="D23" s="235">
        <v>123338</v>
      </c>
    </row>
    <row r="24" spans="1:4" ht="24.95" customHeight="1" outlineLevel="2">
      <c r="A24" s="235" t="s">
        <v>1039</v>
      </c>
      <c r="B24" s="235" t="s">
        <v>425</v>
      </c>
      <c r="C24" s="235"/>
      <c r="D24" s="235">
        <v>107312</v>
      </c>
    </row>
    <row r="25" spans="1:4" ht="24.95" customHeight="1" outlineLevel="2">
      <c r="A25" s="235" t="s">
        <v>1039</v>
      </c>
      <c r="B25" s="235" t="s">
        <v>428</v>
      </c>
      <c r="C25" s="235"/>
      <c r="D25" s="235">
        <v>114804</v>
      </c>
    </row>
    <row r="26" spans="1:4" ht="24.95" customHeight="1" outlineLevel="2">
      <c r="A26" s="235" t="s">
        <v>1039</v>
      </c>
      <c r="B26" s="235" t="s">
        <v>433</v>
      </c>
      <c r="C26" s="235"/>
      <c r="D26" s="235">
        <v>98196</v>
      </c>
    </row>
    <row r="27" spans="1:4" ht="24.95" customHeight="1" outlineLevel="2">
      <c r="A27" s="235" t="s">
        <v>1039</v>
      </c>
      <c r="B27" s="235" t="s">
        <v>434</v>
      </c>
      <c r="C27" s="235"/>
      <c r="D27" s="235">
        <v>104276</v>
      </c>
    </row>
    <row r="28" spans="1:4" ht="24.95" customHeight="1" outlineLevel="1">
      <c r="A28" s="238" t="s">
        <v>504</v>
      </c>
      <c r="B28" s="235"/>
      <c r="C28" s="235"/>
      <c r="D28" s="235">
        <f>SUBTOTAL(9,D23:D27)</f>
        <v>547926</v>
      </c>
    </row>
    <row r="29" spans="1:4" ht="24.95" customHeight="1">
      <c r="A29" s="238" t="s">
        <v>492</v>
      </c>
      <c r="B29" s="235"/>
      <c r="C29" s="235"/>
      <c r="D29" s="235">
        <f>SUBTOTAL(9,D3:D27)</f>
        <v>3035288</v>
      </c>
    </row>
  </sheetData>
  <mergeCells count="1">
    <mergeCell ref="A1:D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Footer>第 &amp;P 页，共 &amp;N 页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dimension ref="A1:C13"/>
  <sheetViews>
    <sheetView workbookViewId="0">
      <selection activeCell="C12" sqref="C12"/>
    </sheetView>
  </sheetViews>
  <sheetFormatPr defaultRowHeight="13.5"/>
  <cols>
    <col min="1" max="1" width="21.25" customWidth="1"/>
    <col min="2" max="2" width="25" customWidth="1"/>
    <col min="3" max="3" width="19.375" customWidth="1"/>
  </cols>
  <sheetData>
    <row r="1" spans="1:3" ht="20.25">
      <c r="A1" s="496" t="s">
        <v>925</v>
      </c>
      <c r="B1" s="496"/>
      <c r="C1" s="496"/>
    </row>
    <row r="2" spans="1:3" ht="24.95" customHeight="1">
      <c r="A2" s="223" t="s">
        <v>494</v>
      </c>
      <c r="B2" s="223" t="s">
        <v>921</v>
      </c>
      <c r="C2" s="223" t="s">
        <v>922</v>
      </c>
    </row>
    <row r="3" spans="1:3" ht="24.95" customHeight="1">
      <c r="A3" s="224" t="s">
        <v>2</v>
      </c>
      <c r="B3" s="225">
        <v>300101</v>
      </c>
      <c r="C3" s="222">
        <f>B3*3</f>
        <v>900303</v>
      </c>
    </row>
    <row r="4" spans="1:3" ht="24.95" customHeight="1">
      <c r="A4" s="224" t="s">
        <v>3</v>
      </c>
      <c r="B4" s="225">
        <v>145517</v>
      </c>
      <c r="C4" s="222">
        <f t="shared" ref="C4:C12" si="0">B4*3</f>
        <v>436551</v>
      </c>
    </row>
    <row r="5" spans="1:3" ht="24.95" customHeight="1">
      <c r="A5" s="224" t="s">
        <v>4</v>
      </c>
      <c r="B5" s="225">
        <v>276368</v>
      </c>
      <c r="C5" s="222">
        <f t="shared" si="0"/>
        <v>829104</v>
      </c>
    </row>
    <row r="6" spans="1:3" ht="24.95" customHeight="1">
      <c r="A6" s="224" t="s">
        <v>5</v>
      </c>
      <c r="B6" s="225">
        <v>308002</v>
      </c>
      <c r="C6" s="222">
        <f t="shared" si="0"/>
        <v>924006</v>
      </c>
    </row>
    <row r="7" spans="1:3" ht="24.95" customHeight="1">
      <c r="A7" s="224" t="s">
        <v>6</v>
      </c>
      <c r="B7" s="225">
        <v>293661</v>
      </c>
      <c r="C7" s="222">
        <f t="shared" si="0"/>
        <v>880983</v>
      </c>
    </row>
    <row r="8" spans="1:3" ht="24.95" customHeight="1">
      <c r="A8" s="224" t="s">
        <v>7</v>
      </c>
      <c r="B8" s="225">
        <v>142015</v>
      </c>
      <c r="C8" s="222">
        <f t="shared" si="0"/>
        <v>426045</v>
      </c>
    </row>
    <row r="9" spans="1:3" ht="24.95" customHeight="1">
      <c r="A9" s="224" t="s">
        <v>8</v>
      </c>
      <c r="B9" s="225">
        <v>187764</v>
      </c>
      <c r="C9" s="222">
        <f t="shared" si="0"/>
        <v>563292</v>
      </c>
    </row>
    <row r="10" spans="1:3" ht="24.95" customHeight="1">
      <c r="A10" s="224" t="s">
        <v>9</v>
      </c>
      <c r="B10" s="225">
        <v>216038</v>
      </c>
      <c r="C10" s="222">
        <f t="shared" si="0"/>
        <v>648114</v>
      </c>
    </row>
    <row r="11" spans="1:3" ht="24.95" customHeight="1">
      <c r="A11" s="224" t="s">
        <v>10</v>
      </c>
      <c r="B11" s="225">
        <v>171520</v>
      </c>
      <c r="C11" s="222">
        <f t="shared" si="0"/>
        <v>514560</v>
      </c>
    </row>
    <row r="12" spans="1:3" ht="24.95" customHeight="1">
      <c r="A12" s="224" t="s">
        <v>11</v>
      </c>
      <c r="B12" s="225">
        <v>64976</v>
      </c>
      <c r="C12" s="222">
        <f t="shared" si="0"/>
        <v>194928</v>
      </c>
    </row>
    <row r="13" spans="1:3" ht="24.95" customHeight="1">
      <c r="A13" s="224" t="s">
        <v>920</v>
      </c>
      <c r="B13" s="226">
        <f>SUM(B3:B12)</f>
        <v>2105962</v>
      </c>
      <c r="C13" s="226">
        <f>SUM(C3:C12)</f>
        <v>6317886</v>
      </c>
    </row>
  </sheetData>
  <mergeCells count="1">
    <mergeCell ref="A1:C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Footer>第 &amp;P 页，共 &amp;N 页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dimension ref="A1:K9"/>
  <sheetViews>
    <sheetView workbookViewId="0">
      <selection activeCell="G15" sqref="G15"/>
    </sheetView>
  </sheetViews>
  <sheetFormatPr defaultColWidth="9" defaultRowHeight="14.25"/>
  <cols>
    <col min="1" max="1" width="4.625" style="100" customWidth="1"/>
    <col min="2" max="2" width="23.625" style="116" customWidth="1"/>
    <col min="3" max="3" width="12" style="117" bestFit="1" customWidth="1"/>
    <col min="4" max="4" width="14.125" style="100" customWidth="1"/>
    <col min="5" max="6" width="7.625" style="100" customWidth="1"/>
    <col min="7" max="7" width="12.625" style="121" customWidth="1"/>
    <col min="8" max="8" width="15.75" style="122" customWidth="1"/>
    <col min="9" max="9" width="6.25" style="100" hidden="1" customWidth="1"/>
    <col min="10" max="10" width="25.875" style="100" hidden="1" customWidth="1"/>
    <col min="11" max="11" width="31.25" style="120" customWidth="1"/>
    <col min="12" max="16384" width="9" style="100"/>
  </cols>
  <sheetData>
    <row r="1" spans="1:11" ht="32.1" customHeight="1">
      <c r="A1" s="497" t="s">
        <v>927</v>
      </c>
      <c r="B1" s="497"/>
      <c r="C1" s="497"/>
      <c r="D1" s="497"/>
      <c r="E1" s="497"/>
      <c r="F1" s="497"/>
      <c r="G1" s="497"/>
      <c r="H1" s="497"/>
      <c r="I1" s="497"/>
      <c r="J1" s="497"/>
      <c r="K1" s="497"/>
    </row>
    <row r="2" spans="1:11" ht="27" customHeight="1">
      <c r="A2" s="126" t="s">
        <v>697</v>
      </c>
      <c r="B2" s="127" t="s">
        <v>698</v>
      </c>
      <c r="C2" s="127" t="s">
        <v>699</v>
      </c>
      <c r="D2" s="128" t="s">
        <v>700</v>
      </c>
      <c r="E2" s="129" t="s">
        <v>701</v>
      </c>
      <c r="F2" s="129" t="s">
        <v>702</v>
      </c>
      <c r="G2" s="130" t="s">
        <v>703</v>
      </c>
      <c r="H2" s="131" t="s">
        <v>704</v>
      </c>
      <c r="I2" s="129" t="s">
        <v>705</v>
      </c>
      <c r="J2" s="132" t="s">
        <v>706</v>
      </c>
      <c r="K2" s="128" t="s">
        <v>706</v>
      </c>
    </row>
    <row r="3" spans="1:11" s="102" customFormat="1" ht="26.1" customHeight="1">
      <c r="A3" s="101">
        <v>1</v>
      </c>
      <c r="B3" s="107" t="s">
        <v>709</v>
      </c>
      <c r="C3" s="104" t="s">
        <v>710</v>
      </c>
      <c r="D3" s="114" t="s">
        <v>707</v>
      </c>
      <c r="E3" s="101">
        <v>1</v>
      </c>
      <c r="F3" s="108">
        <v>5</v>
      </c>
      <c r="G3" s="105">
        <v>100000</v>
      </c>
      <c r="H3" s="105">
        <f>G3*F3</f>
        <v>500000</v>
      </c>
      <c r="I3" s="106" t="s">
        <v>708</v>
      </c>
      <c r="J3" s="115" t="s">
        <v>711</v>
      </c>
      <c r="K3" s="109"/>
    </row>
    <row r="4" spans="1:11" s="102" customFormat="1" ht="26.1" customHeight="1">
      <c r="A4" s="111"/>
      <c r="B4" s="133" t="s">
        <v>714</v>
      </c>
      <c r="C4" s="134"/>
      <c r="D4" s="135"/>
      <c r="E4" s="136">
        <f>SUM(E3:E3)</f>
        <v>1</v>
      </c>
      <c r="F4" s="136">
        <f>SUM(F3:F3)</f>
        <v>5</v>
      </c>
      <c r="G4" s="110"/>
      <c r="H4" s="137">
        <f>ROUND((SUM(H3:H3)),2)</f>
        <v>500000</v>
      </c>
      <c r="I4" s="136"/>
      <c r="J4" s="138"/>
      <c r="K4" s="113"/>
    </row>
    <row r="5" spans="1:11" s="102" customFormat="1" ht="26.1" customHeight="1">
      <c r="A5" s="101">
        <v>1</v>
      </c>
      <c r="B5" s="103" t="s">
        <v>673</v>
      </c>
      <c r="C5" s="104" t="s">
        <v>710</v>
      </c>
      <c r="D5" s="114" t="s">
        <v>712</v>
      </c>
      <c r="E5" s="101">
        <v>1</v>
      </c>
      <c r="F5" s="108">
        <v>5</v>
      </c>
      <c r="G5" s="105">
        <v>100000</v>
      </c>
      <c r="H5" s="105">
        <f>G5*F5</f>
        <v>500000</v>
      </c>
      <c r="I5" s="112" t="s">
        <v>713</v>
      </c>
      <c r="J5" s="115" t="s">
        <v>711</v>
      </c>
      <c r="K5" s="109"/>
    </row>
    <row r="6" spans="1:11" s="102" customFormat="1" ht="26.1" customHeight="1">
      <c r="A6" s="111"/>
      <c r="B6" s="133" t="s">
        <v>715</v>
      </c>
      <c r="C6" s="134"/>
      <c r="D6" s="135"/>
      <c r="E6" s="136">
        <f>SUM(E5:E5)</f>
        <v>1</v>
      </c>
      <c r="F6" s="136">
        <f>SUM(F5:F5)</f>
        <v>5</v>
      </c>
      <c r="G6" s="110"/>
      <c r="H6" s="137">
        <f>ROUND((SUM(H5:H5)),2)</f>
        <v>500000</v>
      </c>
      <c r="I6" s="136"/>
      <c r="J6" s="138"/>
      <c r="K6" s="113"/>
    </row>
    <row r="7" spans="1:11" s="125" customFormat="1" ht="26.1" customHeight="1">
      <c r="A7" s="498"/>
      <c r="B7" s="498"/>
      <c r="C7" s="498"/>
      <c r="D7" s="499"/>
      <c r="E7" s="101">
        <f>E4+E6</f>
        <v>2</v>
      </c>
      <c r="F7" s="101">
        <f>F4+F6</f>
        <v>10</v>
      </c>
      <c r="G7" s="101">
        <v>101332</v>
      </c>
      <c r="H7" s="139">
        <f>H4+H6</f>
        <v>1000000</v>
      </c>
      <c r="I7" s="140"/>
      <c r="J7" s="141"/>
      <c r="K7" s="124"/>
    </row>
    <row r="8" spans="1:11">
      <c r="G8" s="118"/>
      <c r="H8" s="119"/>
    </row>
    <row r="9" spans="1:11">
      <c r="G9" s="118"/>
      <c r="H9" s="119"/>
    </row>
  </sheetData>
  <mergeCells count="2">
    <mergeCell ref="A1:K1"/>
    <mergeCell ref="A7:D7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  <headerFooter>
    <oddFooter>第 &amp;P 页，共 &amp;N 页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>
  <dimension ref="A1:AO117"/>
  <sheetViews>
    <sheetView topLeftCell="B1" workbookViewId="0">
      <pane xSplit="2" ySplit="3" topLeftCell="AM100" activePane="bottomRight" state="frozen"/>
      <selection activeCell="B1" sqref="B1"/>
      <selection pane="topRight" activeCell="D1" sqref="D1"/>
      <selection pane="bottomLeft" activeCell="B4" sqref="B4"/>
      <selection pane="bottomRight" activeCell="AN114" sqref="AN114"/>
    </sheetView>
  </sheetViews>
  <sheetFormatPr defaultColWidth="9" defaultRowHeight="11.25"/>
  <cols>
    <col min="1" max="1" width="8.125" style="82" hidden="1" customWidth="1"/>
    <col min="2" max="2" width="20.375" style="82" customWidth="1"/>
    <col min="3" max="3" width="5.75" style="82" customWidth="1"/>
    <col min="4" max="4" width="9.75" style="82" hidden="1" customWidth="1"/>
    <col min="5" max="24" width="9" style="82" hidden="1" customWidth="1"/>
    <col min="25" max="25" width="8.375" style="82" hidden="1" customWidth="1"/>
    <col min="26" max="26" width="9.625" style="82" hidden="1" customWidth="1"/>
    <col min="27" max="27" width="9.375" style="82" hidden="1" customWidth="1"/>
    <col min="28" max="28" width="12.5" style="82" hidden="1" customWidth="1"/>
    <col min="29" max="29" width="9.875" style="82" hidden="1" customWidth="1"/>
    <col min="30" max="30" width="11.625" style="82" customWidth="1"/>
    <col min="31" max="31" width="10.5" style="82" customWidth="1"/>
    <col min="32" max="32" width="10.875" style="82" customWidth="1"/>
    <col min="33" max="33" width="11.375" style="82" customWidth="1"/>
    <col min="34" max="34" width="11.625" style="82" customWidth="1"/>
    <col min="35" max="35" width="11.375" style="82" customWidth="1"/>
    <col min="36" max="36" width="9.125" style="82" bestFit="1" customWidth="1"/>
    <col min="37" max="37" width="11" style="82" customWidth="1"/>
    <col min="38" max="39" width="12.125" style="82" customWidth="1"/>
    <col min="40" max="40" width="12.5" style="82" customWidth="1"/>
    <col min="41" max="41" width="12.75" style="98" customWidth="1"/>
    <col min="42" max="16384" width="9" style="82"/>
  </cols>
  <sheetData>
    <row r="1" spans="1:41" ht="18.75">
      <c r="A1" s="500" t="s">
        <v>696</v>
      </c>
      <c r="B1" s="501"/>
      <c r="C1" s="501"/>
      <c r="D1" s="501"/>
      <c r="E1" s="501"/>
      <c r="F1" s="501"/>
      <c r="G1" s="501"/>
      <c r="H1" s="501"/>
      <c r="I1" s="501"/>
      <c r="J1" s="501"/>
      <c r="K1" s="501"/>
      <c r="L1" s="501"/>
      <c r="M1" s="501"/>
      <c r="N1" s="501"/>
      <c r="O1" s="501"/>
      <c r="P1" s="501"/>
      <c r="Q1" s="501"/>
      <c r="R1" s="501"/>
      <c r="S1" s="501"/>
      <c r="T1" s="501"/>
      <c r="U1" s="501"/>
      <c r="V1" s="501"/>
      <c r="W1" s="501"/>
      <c r="X1" s="501"/>
      <c r="Y1" s="501"/>
      <c r="Z1" s="501"/>
      <c r="AA1" s="501"/>
      <c r="AB1" s="501"/>
      <c r="AC1" s="501"/>
      <c r="AD1" s="501"/>
      <c r="AE1" s="501"/>
      <c r="AF1" s="501"/>
      <c r="AG1" s="501"/>
      <c r="AH1" s="501"/>
      <c r="AI1" s="501"/>
      <c r="AJ1" s="501"/>
      <c r="AK1" s="501"/>
      <c r="AL1" s="501"/>
      <c r="AM1" s="501"/>
      <c r="AN1" s="501"/>
      <c r="AO1" s="502"/>
    </row>
    <row r="2" spans="1:41" ht="11.25" customHeight="1">
      <c r="A2" s="503" t="s">
        <v>589</v>
      </c>
      <c r="B2" s="503" t="s">
        <v>590</v>
      </c>
      <c r="C2" s="503" t="s">
        <v>591</v>
      </c>
      <c r="D2" s="503" t="s">
        <v>592</v>
      </c>
      <c r="E2" s="503" t="s">
        <v>881</v>
      </c>
      <c r="F2" s="503"/>
      <c r="G2" s="503"/>
      <c r="H2" s="503"/>
      <c r="I2" s="503"/>
      <c r="J2" s="503" t="s">
        <v>882</v>
      </c>
      <c r="K2" s="503"/>
      <c r="L2" s="503"/>
      <c r="M2" s="503"/>
      <c r="N2" s="503"/>
      <c r="O2" s="506" t="s">
        <v>593</v>
      </c>
      <c r="P2" s="506"/>
      <c r="Q2" s="506"/>
      <c r="R2" s="506"/>
      <c r="S2" s="506"/>
      <c r="T2" s="506" t="s">
        <v>884</v>
      </c>
      <c r="U2" s="506"/>
      <c r="V2" s="506"/>
      <c r="W2" s="506"/>
      <c r="X2" s="506"/>
      <c r="Y2" s="506" t="s">
        <v>594</v>
      </c>
      <c r="Z2" s="506"/>
      <c r="AA2" s="506"/>
      <c r="AB2" s="506"/>
      <c r="AC2" s="506"/>
      <c r="AD2" s="503" t="s">
        <v>883</v>
      </c>
      <c r="AE2" s="503"/>
      <c r="AF2" s="503"/>
      <c r="AG2" s="503"/>
      <c r="AH2" s="503"/>
      <c r="AI2" s="503"/>
      <c r="AJ2" s="503"/>
      <c r="AK2" s="503"/>
      <c r="AL2" s="503"/>
      <c r="AM2" s="503"/>
      <c r="AN2" s="503"/>
      <c r="AO2" s="504" t="s">
        <v>695</v>
      </c>
    </row>
    <row r="3" spans="1:41" ht="33.75">
      <c r="A3" s="503"/>
      <c r="B3" s="503"/>
      <c r="C3" s="503"/>
      <c r="D3" s="503"/>
      <c r="E3" s="83" t="s">
        <v>595</v>
      </c>
      <c r="F3" s="83" t="s">
        <v>596</v>
      </c>
      <c r="G3" s="83" t="s">
        <v>597</v>
      </c>
      <c r="H3" s="83" t="s">
        <v>598</v>
      </c>
      <c r="I3" s="84" t="s">
        <v>21</v>
      </c>
      <c r="J3" s="83" t="s">
        <v>595</v>
      </c>
      <c r="K3" s="83" t="s">
        <v>596</v>
      </c>
      <c r="L3" s="83" t="s">
        <v>597</v>
      </c>
      <c r="M3" s="83" t="s">
        <v>598</v>
      </c>
      <c r="N3" s="84" t="s">
        <v>21</v>
      </c>
      <c r="O3" s="83" t="s">
        <v>595</v>
      </c>
      <c r="P3" s="83" t="s">
        <v>596</v>
      </c>
      <c r="Q3" s="83" t="s">
        <v>597</v>
      </c>
      <c r="R3" s="83" t="s">
        <v>598</v>
      </c>
      <c r="S3" s="84" t="s">
        <v>21</v>
      </c>
      <c r="T3" s="83" t="s">
        <v>595</v>
      </c>
      <c r="U3" s="83" t="s">
        <v>596</v>
      </c>
      <c r="V3" s="83" t="s">
        <v>597</v>
      </c>
      <c r="W3" s="83" t="s">
        <v>598</v>
      </c>
      <c r="X3" s="84" t="s">
        <v>21</v>
      </c>
      <c r="Y3" s="83" t="s">
        <v>595</v>
      </c>
      <c r="Z3" s="83" t="s">
        <v>596</v>
      </c>
      <c r="AA3" s="83" t="s">
        <v>597</v>
      </c>
      <c r="AB3" s="83" t="s">
        <v>598</v>
      </c>
      <c r="AC3" s="84" t="s">
        <v>21</v>
      </c>
      <c r="AD3" s="83" t="s">
        <v>599</v>
      </c>
      <c r="AE3" s="83" t="s">
        <v>600</v>
      </c>
      <c r="AF3" s="83" t="s">
        <v>601</v>
      </c>
      <c r="AG3" s="83" t="s">
        <v>602</v>
      </c>
      <c r="AH3" s="83" t="s">
        <v>603</v>
      </c>
      <c r="AI3" s="83" t="s">
        <v>604</v>
      </c>
      <c r="AJ3" s="83" t="s">
        <v>605</v>
      </c>
      <c r="AK3" s="83" t="s">
        <v>1666</v>
      </c>
      <c r="AL3" s="83" t="s">
        <v>606</v>
      </c>
      <c r="AM3" s="83" t="s">
        <v>607</v>
      </c>
      <c r="AN3" s="84" t="s">
        <v>608</v>
      </c>
      <c r="AO3" s="505"/>
    </row>
    <row r="4" spans="1:41" ht="17.100000000000001" customHeight="1">
      <c r="A4" s="85" t="s">
        <v>10</v>
      </c>
      <c r="B4" s="86" t="s">
        <v>378</v>
      </c>
      <c r="C4" s="86" t="s">
        <v>609</v>
      </c>
      <c r="D4" s="87">
        <v>2</v>
      </c>
      <c r="E4" s="88">
        <v>0</v>
      </c>
      <c r="F4" s="88">
        <v>2</v>
      </c>
      <c r="G4" s="88">
        <v>23.33</v>
      </c>
      <c r="H4" s="88">
        <v>2.67</v>
      </c>
      <c r="I4" s="89">
        <f>SUM(E4:H4)</f>
        <v>28</v>
      </c>
      <c r="J4" s="90">
        <v>0</v>
      </c>
      <c r="K4" s="90">
        <v>0</v>
      </c>
      <c r="L4" s="90">
        <v>0</v>
      </c>
      <c r="M4" s="90">
        <v>0</v>
      </c>
      <c r="N4" s="89">
        <f>SUM(J4:M4)</f>
        <v>0</v>
      </c>
      <c r="O4" s="89">
        <f>E4+J4</f>
        <v>0</v>
      </c>
      <c r="P4" s="89">
        <f t="shared" ref="P4:R12" si="0">F4+K4</f>
        <v>2</v>
      </c>
      <c r="Q4" s="89">
        <f t="shared" si="0"/>
        <v>23.33</v>
      </c>
      <c r="R4" s="89">
        <f t="shared" si="0"/>
        <v>2.67</v>
      </c>
      <c r="S4" s="89">
        <f>SUM(O4:R4)</f>
        <v>28</v>
      </c>
      <c r="T4" s="90">
        <v>0</v>
      </c>
      <c r="U4" s="90">
        <v>1.92</v>
      </c>
      <c r="V4" s="90">
        <v>22.25</v>
      </c>
      <c r="W4" s="90">
        <v>3</v>
      </c>
      <c r="X4" s="89">
        <f>SUM(T4:W4)</f>
        <v>27.17</v>
      </c>
      <c r="Y4" s="90">
        <v>0</v>
      </c>
      <c r="Z4" s="90">
        <v>1.92</v>
      </c>
      <c r="AA4" s="90">
        <v>22.25</v>
      </c>
      <c r="AB4" s="90">
        <v>3</v>
      </c>
      <c r="AC4" s="89">
        <f>SUM(Y4:AB4)</f>
        <v>27.17</v>
      </c>
      <c r="AD4" s="89">
        <f>(Y4*6400+Z4*5550+AA4*5094+AB4*4300)*12</f>
        <v>1642770</v>
      </c>
      <c r="AE4" s="89">
        <f>AC4*4320</f>
        <v>117374.40000000001</v>
      </c>
      <c r="AF4" s="89">
        <f>AC4*6000</f>
        <v>163020</v>
      </c>
      <c r="AG4" s="89">
        <f>AC4*2400</f>
        <v>65208.000000000007</v>
      </c>
      <c r="AH4" s="89">
        <f>AC4*9400</f>
        <v>255398.00000000003</v>
      </c>
      <c r="AI4" s="89">
        <f>AC4*800</f>
        <v>21736</v>
      </c>
      <c r="AJ4" s="89">
        <f>D4*50*200</f>
        <v>20000</v>
      </c>
      <c r="AK4" s="89">
        <f>AC4*960</f>
        <v>26083.200000000001</v>
      </c>
      <c r="AL4" s="89">
        <f>ROUND((7310*12)*0.35256,2)*AC4</f>
        <v>840274.63520000014</v>
      </c>
      <c r="AM4" s="89"/>
      <c r="AN4" s="89">
        <f>SUM(AD4:AM4)</f>
        <v>3151864.2352</v>
      </c>
      <c r="AO4" s="215">
        <f>ROUND(AN4*0.8,0)</f>
        <v>2521491</v>
      </c>
    </row>
    <row r="5" spans="1:41" ht="17.100000000000001" customHeight="1">
      <c r="A5" s="85" t="s">
        <v>10</v>
      </c>
      <c r="B5" s="86" t="s">
        <v>377</v>
      </c>
      <c r="C5" s="86" t="s">
        <v>609</v>
      </c>
      <c r="D5" s="87">
        <v>2</v>
      </c>
      <c r="E5" s="88">
        <v>0</v>
      </c>
      <c r="F5" s="88">
        <v>1.33</v>
      </c>
      <c r="G5" s="88">
        <v>18.329999999999998</v>
      </c>
      <c r="H5" s="88">
        <v>2.67</v>
      </c>
      <c r="I5" s="89">
        <f t="shared" ref="I5:I67" si="1">SUM(E5:H5)</f>
        <v>22.33</v>
      </c>
      <c r="J5" s="90">
        <v>0</v>
      </c>
      <c r="K5" s="90">
        <v>0</v>
      </c>
      <c r="L5" s="90">
        <v>0</v>
      </c>
      <c r="M5" s="90">
        <v>0</v>
      </c>
      <c r="N5" s="89">
        <f t="shared" ref="N5:N12" si="2">SUM(J5:M5)</f>
        <v>0</v>
      </c>
      <c r="O5" s="89">
        <f t="shared" ref="O5:O12" si="3">E5+J5</f>
        <v>0</v>
      </c>
      <c r="P5" s="89">
        <f t="shared" si="0"/>
        <v>1.33</v>
      </c>
      <c r="Q5" s="89">
        <f t="shared" si="0"/>
        <v>18.329999999999998</v>
      </c>
      <c r="R5" s="89">
        <f t="shared" si="0"/>
        <v>2.67</v>
      </c>
      <c r="S5" s="89">
        <f t="shared" ref="S5:S12" si="4">SUM(O5:R5)</f>
        <v>22.33</v>
      </c>
      <c r="T5" s="90">
        <v>1</v>
      </c>
      <c r="U5" s="90">
        <v>0.08</v>
      </c>
      <c r="V5" s="90">
        <v>17.420000000000002</v>
      </c>
      <c r="W5" s="90">
        <v>3</v>
      </c>
      <c r="X5" s="89">
        <f t="shared" ref="X5:X12" si="5">SUM(T5:W5)</f>
        <v>21.5</v>
      </c>
      <c r="Y5" s="90">
        <v>1</v>
      </c>
      <c r="Z5" s="90">
        <v>0.08</v>
      </c>
      <c r="AA5" s="90">
        <v>17.420000000000002</v>
      </c>
      <c r="AB5" s="90">
        <v>3</v>
      </c>
      <c r="AC5" s="89">
        <f t="shared" ref="AC5:AC12" si="6">SUM(Y5:AB5)</f>
        <v>21.5</v>
      </c>
      <c r="AD5" s="89">
        <f t="shared" ref="AD5:AD67" si="7">(Y5*6400+Z5*5550+AA5*5094+AB5*4300)*12</f>
        <v>1301777.7600000002</v>
      </c>
      <c r="AE5" s="89">
        <f t="shared" ref="AE5:AE65" si="8">AC5*4320</f>
        <v>92880</v>
      </c>
      <c r="AF5" s="89">
        <f t="shared" ref="AF5:AF65" si="9">AC5*6000</f>
        <v>129000</v>
      </c>
      <c r="AG5" s="89">
        <f t="shared" ref="AG5:AG65" si="10">AC5*2400</f>
        <v>51600</v>
      </c>
      <c r="AH5" s="89">
        <f t="shared" ref="AH5:AH65" si="11">AC5*9400</f>
        <v>202100</v>
      </c>
      <c r="AI5" s="89">
        <f t="shared" ref="AI5:AI65" si="12">AC5*800</f>
        <v>17200</v>
      </c>
      <c r="AJ5" s="89">
        <f t="shared" ref="AJ5:AJ65" si="13">D5*50*200</f>
        <v>20000</v>
      </c>
      <c r="AK5" s="89">
        <f t="shared" ref="AK5:AK65" si="14">AC5*960</f>
        <v>20640</v>
      </c>
      <c r="AL5" s="89">
        <f t="shared" ref="AL5:AL67" si="15">ROUND((7310*12)*0.35256,2)*AC5</f>
        <v>664921.04</v>
      </c>
      <c r="AM5" s="89"/>
      <c r="AN5" s="89">
        <f t="shared" ref="AN5:AN65" si="16">SUM(AD5:AM5)</f>
        <v>2500118.8000000003</v>
      </c>
      <c r="AO5" s="215">
        <f t="shared" ref="AO5:AO67" si="17">ROUND(AN5*0.8,0)</f>
        <v>2000095</v>
      </c>
    </row>
    <row r="6" spans="1:41" ht="17.100000000000001" customHeight="1">
      <c r="A6" s="85" t="s">
        <v>10</v>
      </c>
      <c r="B6" s="86" t="s">
        <v>610</v>
      </c>
      <c r="C6" s="86" t="s">
        <v>609</v>
      </c>
      <c r="D6" s="87">
        <v>2</v>
      </c>
      <c r="E6" s="88">
        <v>0</v>
      </c>
      <c r="F6" s="88">
        <v>2</v>
      </c>
      <c r="G6" s="88">
        <v>23.33</v>
      </c>
      <c r="H6" s="88">
        <v>2.67</v>
      </c>
      <c r="I6" s="89">
        <f t="shared" si="1"/>
        <v>28</v>
      </c>
      <c r="J6" s="90">
        <v>2</v>
      </c>
      <c r="K6" s="90">
        <v>0</v>
      </c>
      <c r="L6" s="90">
        <v>0.33</v>
      </c>
      <c r="M6" s="90">
        <v>0</v>
      </c>
      <c r="N6" s="89">
        <f t="shared" si="2"/>
        <v>2.33</v>
      </c>
      <c r="O6" s="89">
        <f t="shared" si="3"/>
        <v>2</v>
      </c>
      <c r="P6" s="89">
        <f t="shared" si="0"/>
        <v>2</v>
      </c>
      <c r="Q6" s="89">
        <f t="shared" si="0"/>
        <v>23.659999999999997</v>
      </c>
      <c r="R6" s="89">
        <f t="shared" si="0"/>
        <v>2.67</v>
      </c>
      <c r="S6" s="89">
        <f t="shared" si="4"/>
        <v>30.33</v>
      </c>
      <c r="T6" s="90">
        <v>2</v>
      </c>
      <c r="U6" s="90">
        <v>2.75</v>
      </c>
      <c r="V6" s="90">
        <v>23</v>
      </c>
      <c r="W6" s="90">
        <v>2.58</v>
      </c>
      <c r="X6" s="89">
        <f t="shared" si="5"/>
        <v>30.33</v>
      </c>
      <c r="Y6" s="90">
        <v>2</v>
      </c>
      <c r="Z6" s="90">
        <v>2.75</v>
      </c>
      <c r="AA6" s="90">
        <v>23</v>
      </c>
      <c r="AB6" s="90">
        <v>2.58</v>
      </c>
      <c r="AC6" s="89">
        <f t="shared" si="6"/>
        <v>30.33</v>
      </c>
      <c r="AD6" s="89">
        <f t="shared" si="7"/>
        <v>1875822</v>
      </c>
      <c r="AE6" s="89">
        <f t="shared" si="8"/>
        <v>131025.59999999999</v>
      </c>
      <c r="AF6" s="89">
        <f t="shared" si="9"/>
        <v>181980</v>
      </c>
      <c r="AG6" s="89">
        <f t="shared" si="10"/>
        <v>72792</v>
      </c>
      <c r="AH6" s="89">
        <f t="shared" si="11"/>
        <v>285102</v>
      </c>
      <c r="AI6" s="89">
        <f t="shared" si="12"/>
        <v>24264</v>
      </c>
      <c r="AJ6" s="89">
        <f t="shared" si="13"/>
        <v>20000</v>
      </c>
      <c r="AK6" s="89">
        <f t="shared" si="14"/>
        <v>29116.799999999999</v>
      </c>
      <c r="AL6" s="89">
        <f t="shared" si="15"/>
        <v>938002.56479999993</v>
      </c>
      <c r="AM6" s="89"/>
      <c r="AN6" s="89">
        <f t="shared" si="16"/>
        <v>3558104.9647999997</v>
      </c>
      <c r="AO6" s="215">
        <f t="shared" si="17"/>
        <v>2846484</v>
      </c>
    </row>
    <row r="7" spans="1:41" ht="17.100000000000001" customHeight="1">
      <c r="A7" s="85" t="s">
        <v>10</v>
      </c>
      <c r="B7" s="86" t="s">
        <v>374</v>
      </c>
      <c r="C7" s="86" t="s">
        <v>609</v>
      </c>
      <c r="D7" s="87">
        <v>2</v>
      </c>
      <c r="E7" s="88">
        <v>0</v>
      </c>
      <c r="F7" s="88">
        <v>2</v>
      </c>
      <c r="G7" s="88">
        <v>30.33</v>
      </c>
      <c r="H7" s="88">
        <v>2.67</v>
      </c>
      <c r="I7" s="89">
        <f t="shared" si="1"/>
        <v>35</v>
      </c>
      <c r="J7" s="90">
        <v>3</v>
      </c>
      <c r="K7" s="90">
        <v>0</v>
      </c>
      <c r="L7" s="90">
        <v>0</v>
      </c>
      <c r="M7" s="90">
        <v>1</v>
      </c>
      <c r="N7" s="89">
        <f t="shared" si="2"/>
        <v>4</v>
      </c>
      <c r="O7" s="89">
        <f t="shared" si="3"/>
        <v>3</v>
      </c>
      <c r="P7" s="89">
        <f t="shared" si="0"/>
        <v>2</v>
      </c>
      <c r="Q7" s="89">
        <f t="shared" si="0"/>
        <v>30.33</v>
      </c>
      <c r="R7" s="89">
        <f t="shared" si="0"/>
        <v>3.67</v>
      </c>
      <c r="S7" s="89">
        <f t="shared" si="4"/>
        <v>39</v>
      </c>
      <c r="T7" s="90">
        <v>3.08</v>
      </c>
      <c r="U7" s="90">
        <v>1.67</v>
      </c>
      <c r="V7" s="90">
        <v>29.83</v>
      </c>
      <c r="W7" s="90">
        <v>3.83</v>
      </c>
      <c r="X7" s="89">
        <f t="shared" si="5"/>
        <v>38.409999999999997</v>
      </c>
      <c r="Y7" s="90">
        <v>3.08</v>
      </c>
      <c r="Z7" s="90">
        <v>1.67</v>
      </c>
      <c r="AA7" s="90">
        <v>29.83</v>
      </c>
      <c r="AB7" s="90">
        <v>3.83</v>
      </c>
      <c r="AC7" s="89">
        <f t="shared" si="6"/>
        <v>38.409999999999997</v>
      </c>
      <c r="AD7" s="89">
        <f t="shared" si="7"/>
        <v>2368842.2399999998</v>
      </c>
      <c r="AE7" s="89">
        <f t="shared" si="8"/>
        <v>165931.19999999998</v>
      </c>
      <c r="AF7" s="89">
        <f t="shared" si="9"/>
        <v>230459.99999999997</v>
      </c>
      <c r="AG7" s="89">
        <f t="shared" si="10"/>
        <v>92183.999999999985</v>
      </c>
      <c r="AH7" s="89">
        <f t="shared" si="11"/>
        <v>361053.99999999994</v>
      </c>
      <c r="AI7" s="89">
        <f t="shared" si="12"/>
        <v>30727.999999999996</v>
      </c>
      <c r="AJ7" s="89">
        <f t="shared" si="13"/>
        <v>20000</v>
      </c>
      <c r="AK7" s="89">
        <f t="shared" si="14"/>
        <v>36873.599999999999</v>
      </c>
      <c r="AL7" s="89">
        <f t="shared" si="15"/>
        <v>1187889.1695999999</v>
      </c>
      <c r="AM7" s="89"/>
      <c r="AN7" s="89">
        <f t="shared" si="16"/>
        <v>4493962.2095999997</v>
      </c>
      <c r="AO7" s="215">
        <f t="shared" si="17"/>
        <v>3595170</v>
      </c>
    </row>
    <row r="8" spans="1:41" ht="17.100000000000001" customHeight="1">
      <c r="A8" s="85" t="s">
        <v>10</v>
      </c>
      <c r="B8" s="86" t="s">
        <v>373</v>
      </c>
      <c r="C8" s="86" t="s">
        <v>611</v>
      </c>
      <c r="D8" s="87"/>
      <c r="E8" s="88">
        <v>3.33</v>
      </c>
      <c r="F8" s="88">
        <v>4.67</v>
      </c>
      <c r="G8" s="88">
        <v>0</v>
      </c>
      <c r="H8" s="88">
        <v>5.67</v>
      </c>
      <c r="I8" s="89">
        <f t="shared" si="1"/>
        <v>13.67</v>
      </c>
      <c r="J8" s="90">
        <v>1.33</v>
      </c>
      <c r="K8" s="90">
        <v>0.83</v>
      </c>
      <c r="L8" s="90">
        <v>0</v>
      </c>
      <c r="M8" s="90">
        <v>0</v>
      </c>
      <c r="N8" s="89">
        <f t="shared" si="2"/>
        <v>2.16</v>
      </c>
      <c r="O8" s="89">
        <f t="shared" si="3"/>
        <v>4.66</v>
      </c>
      <c r="P8" s="89">
        <f t="shared" si="0"/>
        <v>5.5</v>
      </c>
      <c r="Q8" s="89">
        <f t="shared" si="0"/>
        <v>0</v>
      </c>
      <c r="R8" s="89">
        <f t="shared" si="0"/>
        <v>5.67</v>
      </c>
      <c r="S8" s="89">
        <f t="shared" si="4"/>
        <v>15.83</v>
      </c>
      <c r="T8" s="90">
        <v>4.92</v>
      </c>
      <c r="U8" s="90">
        <v>2.33</v>
      </c>
      <c r="V8" s="90">
        <v>0</v>
      </c>
      <c r="W8" s="90">
        <v>1.5</v>
      </c>
      <c r="X8" s="89">
        <f t="shared" si="5"/>
        <v>8.75</v>
      </c>
      <c r="Y8" s="90">
        <v>4.92</v>
      </c>
      <c r="Z8" s="90">
        <v>2.33</v>
      </c>
      <c r="AA8" s="90">
        <v>0</v>
      </c>
      <c r="AB8" s="90">
        <v>1.5</v>
      </c>
      <c r="AC8" s="89">
        <f t="shared" si="6"/>
        <v>8.75</v>
      </c>
      <c r="AD8" s="89">
        <f t="shared" si="7"/>
        <v>610434</v>
      </c>
      <c r="AE8" s="89">
        <f t="shared" si="8"/>
        <v>37800</v>
      </c>
      <c r="AF8" s="89">
        <f t="shared" si="9"/>
        <v>52500</v>
      </c>
      <c r="AG8" s="89">
        <f t="shared" si="10"/>
        <v>21000</v>
      </c>
      <c r="AH8" s="89">
        <f t="shared" si="11"/>
        <v>82250</v>
      </c>
      <c r="AI8" s="89">
        <f t="shared" si="12"/>
        <v>7000</v>
      </c>
      <c r="AJ8" s="89">
        <f t="shared" si="13"/>
        <v>0</v>
      </c>
      <c r="AK8" s="89">
        <f t="shared" si="14"/>
        <v>8400</v>
      </c>
      <c r="AL8" s="89">
        <f t="shared" si="15"/>
        <v>270607.40000000002</v>
      </c>
      <c r="AM8" s="89">
        <v>68945</v>
      </c>
      <c r="AN8" s="89">
        <f t="shared" si="16"/>
        <v>1158936.3999999999</v>
      </c>
      <c r="AO8" s="215">
        <f t="shared" si="17"/>
        <v>927149</v>
      </c>
    </row>
    <row r="9" spans="1:41" ht="17.100000000000001" customHeight="1">
      <c r="A9" s="85" t="s">
        <v>10</v>
      </c>
      <c r="B9" s="86" t="s">
        <v>612</v>
      </c>
      <c r="C9" s="86" t="s">
        <v>611</v>
      </c>
      <c r="D9" s="87"/>
      <c r="E9" s="88">
        <v>1</v>
      </c>
      <c r="F9" s="88">
        <v>3.33</v>
      </c>
      <c r="G9" s="88">
        <v>0</v>
      </c>
      <c r="H9" s="88">
        <v>5.67</v>
      </c>
      <c r="I9" s="89">
        <f t="shared" si="1"/>
        <v>10</v>
      </c>
      <c r="J9" s="90">
        <v>1</v>
      </c>
      <c r="K9" s="90">
        <v>0</v>
      </c>
      <c r="L9" s="90">
        <v>0</v>
      </c>
      <c r="M9" s="90">
        <v>0</v>
      </c>
      <c r="N9" s="89">
        <f t="shared" si="2"/>
        <v>1</v>
      </c>
      <c r="O9" s="89">
        <f t="shared" si="3"/>
        <v>2</v>
      </c>
      <c r="P9" s="89">
        <f t="shared" si="0"/>
        <v>3.33</v>
      </c>
      <c r="Q9" s="89">
        <f t="shared" si="0"/>
        <v>0</v>
      </c>
      <c r="R9" s="89">
        <f t="shared" si="0"/>
        <v>5.67</v>
      </c>
      <c r="S9" s="89">
        <f t="shared" si="4"/>
        <v>11</v>
      </c>
      <c r="T9" s="90">
        <v>2.58</v>
      </c>
      <c r="U9" s="90">
        <v>2.5</v>
      </c>
      <c r="V9" s="90">
        <v>0</v>
      </c>
      <c r="W9" s="90">
        <v>5.83</v>
      </c>
      <c r="X9" s="89">
        <f t="shared" si="5"/>
        <v>10.91</v>
      </c>
      <c r="Y9" s="90">
        <v>2.58</v>
      </c>
      <c r="Z9" s="90">
        <v>2.5</v>
      </c>
      <c r="AA9" s="90">
        <v>0</v>
      </c>
      <c r="AB9" s="90">
        <v>5.83</v>
      </c>
      <c r="AC9" s="89">
        <f t="shared" si="6"/>
        <v>10.91</v>
      </c>
      <c r="AD9" s="89">
        <f t="shared" si="7"/>
        <v>665472</v>
      </c>
      <c r="AE9" s="89">
        <f t="shared" si="8"/>
        <v>47131.199999999997</v>
      </c>
      <c r="AF9" s="89">
        <f t="shared" si="9"/>
        <v>65460</v>
      </c>
      <c r="AG9" s="89">
        <f t="shared" si="10"/>
        <v>26184</v>
      </c>
      <c r="AH9" s="89">
        <f t="shared" si="11"/>
        <v>102554</v>
      </c>
      <c r="AI9" s="89">
        <f t="shared" si="12"/>
        <v>8728</v>
      </c>
      <c r="AJ9" s="89">
        <f t="shared" si="13"/>
        <v>0</v>
      </c>
      <c r="AK9" s="89">
        <f t="shared" si="14"/>
        <v>10473.6</v>
      </c>
      <c r="AL9" s="89">
        <f t="shared" si="15"/>
        <v>337408.7696</v>
      </c>
      <c r="AM9" s="89">
        <v>19225</v>
      </c>
      <c r="AN9" s="89">
        <f t="shared" si="16"/>
        <v>1282636.5696</v>
      </c>
      <c r="AO9" s="215">
        <f t="shared" si="17"/>
        <v>1026109</v>
      </c>
    </row>
    <row r="10" spans="1:41" ht="17.100000000000001" customHeight="1">
      <c r="A10" s="85" t="s">
        <v>10</v>
      </c>
      <c r="B10" s="86" t="s">
        <v>368</v>
      </c>
      <c r="C10" s="86" t="s">
        <v>611</v>
      </c>
      <c r="D10" s="87"/>
      <c r="E10" s="88">
        <v>1</v>
      </c>
      <c r="F10" s="88">
        <v>4</v>
      </c>
      <c r="G10" s="88">
        <v>0</v>
      </c>
      <c r="H10" s="88">
        <v>5</v>
      </c>
      <c r="I10" s="89">
        <f t="shared" si="1"/>
        <v>10</v>
      </c>
      <c r="J10" s="90">
        <v>0</v>
      </c>
      <c r="K10" s="90">
        <v>0.67</v>
      </c>
      <c r="L10" s="90">
        <v>0</v>
      </c>
      <c r="M10" s="90">
        <v>0</v>
      </c>
      <c r="N10" s="89">
        <f t="shared" si="2"/>
        <v>0.67</v>
      </c>
      <c r="O10" s="89">
        <f t="shared" si="3"/>
        <v>1</v>
      </c>
      <c r="P10" s="89">
        <f t="shared" si="0"/>
        <v>4.67</v>
      </c>
      <c r="Q10" s="89">
        <f t="shared" si="0"/>
        <v>0</v>
      </c>
      <c r="R10" s="89">
        <f t="shared" si="0"/>
        <v>5</v>
      </c>
      <c r="S10" s="89">
        <f t="shared" si="4"/>
        <v>10.67</v>
      </c>
      <c r="T10" s="90">
        <v>0.33</v>
      </c>
      <c r="U10" s="90">
        <v>3.17</v>
      </c>
      <c r="V10" s="90">
        <v>0</v>
      </c>
      <c r="W10" s="90">
        <v>4.92</v>
      </c>
      <c r="X10" s="89">
        <f t="shared" si="5"/>
        <v>8.42</v>
      </c>
      <c r="Y10" s="90">
        <v>0.33</v>
      </c>
      <c r="Z10" s="90">
        <v>3.17</v>
      </c>
      <c r="AA10" s="90">
        <v>0</v>
      </c>
      <c r="AB10" s="90">
        <v>4.92</v>
      </c>
      <c r="AC10" s="89">
        <f t="shared" si="6"/>
        <v>8.42</v>
      </c>
      <c r="AD10" s="89">
        <f t="shared" si="7"/>
        <v>490338</v>
      </c>
      <c r="AE10" s="89">
        <f t="shared" si="8"/>
        <v>36374.400000000001</v>
      </c>
      <c r="AF10" s="89">
        <f t="shared" si="9"/>
        <v>50520</v>
      </c>
      <c r="AG10" s="89">
        <f t="shared" si="10"/>
        <v>20208</v>
      </c>
      <c r="AH10" s="89">
        <f t="shared" si="11"/>
        <v>79148</v>
      </c>
      <c r="AI10" s="89">
        <f t="shared" si="12"/>
        <v>6736</v>
      </c>
      <c r="AJ10" s="89">
        <f t="shared" si="13"/>
        <v>0</v>
      </c>
      <c r="AK10" s="89">
        <f t="shared" si="14"/>
        <v>8083.2</v>
      </c>
      <c r="AL10" s="89">
        <f t="shared" si="15"/>
        <v>260401.63520000002</v>
      </c>
      <c r="AM10" s="89">
        <v>4147</v>
      </c>
      <c r="AN10" s="89">
        <f t="shared" si="16"/>
        <v>955956.2352</v>
      </c>
      <c r="AO10" s="215">
        <f t="shared" si="17"/>
        <v>764765</v>
      </c>
    </row>
    <row r="11" spans="1:41" ht="17.100000000000001" customHeight="1">
      <c r="A11" s="85" t="s">
        <v>10</v>
      </c>
      <c r="B11" s="86" t="s">
        <v>365</v>
      </c>
      <c r="C11" s="86" t="s">
        <v>611</v>
      </c>
      <c r="D11" s="87"/>
      <c r="E11" s="88">
        <v>0</v>
      </c>
      <c r="F11" s="88">
        <v>3.33</v>
      </c>
      <c r="G11" s="88">
        <v>0</v>
      </c>
      <c r="H11" s="88">
        <v>5</v>
      </c>
      <c r="I11" s="89">
        <f t="shared" si="1"/>
        <v>8.33</v>
      </c>
      <c r="J11" s="90">
        <v>0</v>
      </c>
      <c r="K11" s="90">
        <v>0</v>
      </c>
      <c r="L11" s="90">
        <v>0</v>
      </c>
      <c r="M11" s="90">
        <v>0</v>
      </c>
      <c r="N11" s="89">
        <f t="shared" si="2"/>
        <v>0</v>
      </c>
      <c r="O11" s="89">
        <f t="shared" si="3"/>
        <v>0</v>
      </c>
      <c r="P11" s="89">
        <f t="shared" si="0"/>
        <v>3.33</v>
      </c>
      <c r="Q11" s="89">
        <f t="shared" si="0"/>
        <v>0</v>
      </c>
      <c r="R11" s="89">
        <f t="shared" si="0"/>
        <v>5</v>
      </c>
      <c r="S11" s="89">
        <f t="shared" si="4"/>
        <v>8.33</v>
      </c>
      <c r="T11" s="90">
        <v>0</v>
      </c>
      <c r="U11" s="90">
        <v>1</v>
      </c>
      <c r="V11" s="90">
        <v>0</v>
      </c>
      <c r="W11" s="90">
        <v>5.33</v>
      </c>
      <c r="X11" s="89">
        <f t="shared" si="5"/>
        <v>6.33</v>
      </c>
      <c r="Y11" s="90">
        <v>0</v>
      </c>
      <c r="Z11" s="90">
        <v>1</v>
      </c>
      <c r="AA11" s="90">
        <v>0</v>
      </c>
      <c r="AB11" s="90">
        <v>5.33</v>
      </c>
      <c r="AC11" s="89">
        <f t="shared" si="6"/>
        <v>6.33</v>
      </c>
      <c r="AD11" s="89">
        <f t="shared" si="7"/>
        <v>341628</v>
      </c>
      <c r="AE11" s="89">
        <f t="shared" si="8"/>
        <v>27345.599999999999</v>
      </c>
      <c r="AF11" s="89">
        <f t="shared" si="9"/>
        <v>37980</v>
      </c>
      <c r="AG11" s="89">
        <f t="shared" si="10"/>
        <v>15192</v>
      </c>
      <c r="AH11" s="89">
        <f t="shared" si="11"/>
        <v>59502</v>
      </c>
      <c r="AI11" s="89">
        <f t="shared" si="12"/>
        <v>5064</v>
      </c>
      <c r="AJ11" s="89">
        <f t="shared" si="13"/>
        <v>0</v>
      </c>
      <c r="AK11" s="89">
        <f t="shared" si="14"/>
        <v>6076.8</v>
      </c>
      <c r="AL11" s="89">
        <f t="shared" si="15"/>
        <v>195765.12480000002</v>
      </c>
      <c r="AM11" s="89"/>
      <c r="AN11" s="89">
        <f t="shared" si="16"/>
        <v>688553.52480000001</v>
      </c>
      <c r="AO11" s="215">
        <f t="shared" si="17"/>
        <v>550843</v>
      </c>
    </row>
    <row r="12" spans="1:41" ht="17.100000000000001" customHeight="1">
      <c r="A12" s="85" t="s">
        <v>10</v>
      </c>
      <c r="B12" s="86" t="s">
        <v>369</v>
      </c>
      <c r="C12" s="86" t="s">
        <v>611</v>
      </c>
      <c r="D12" s="87"/>
      <c r="E12" s="88">
        <v>0</v>
      </c>
      <c r="F12" s="88">
        <v>6</v>
      </c>
      <c r="G12" s="88">
        <v>0</v>
      </c>
      <c r="H12" s="88">
        <v>7</v>
      </c>
      <c r="I12" s="89">
        <f t="shared" si="1"/>
        <v>13</v>
      </c>
      <c r="J12" s="90">
        <v>0.57999999999999996</v>
      </c>
      <c r="K12" s="88">
        <v>1</v>
      </c>
      <c r="L12" s="90">
        <v>0</v>
      </c>
      <c r="M12" s="90">
        <v>1.08</v>
      </c>
      <c r="N12" s="89">
        <f t="shared" si="2"/>
        <v>2.66</v>
      </c>
      <c r="O12" s="89">
        <f t="shared" si="3"/>
        <v>0.57999999999999996</v>
      </c>
      <c r="P12" s="89">
        <f t="shared" si="0"/>
        <v>7</v>
      </c>
      <c r="Q12" s="89">
        <f t="shared" si="0"/>
        <v>0</v>
      </c>
      <c r="R12" s="89">
        <f t="shared" si="0"/>
        <v>8.08</v>
      </c>
      <c r="S12" s="89">
        <f t="shared" si="4"/>
        <v>15.66</v>
      </c>
      <c r="T12" s="90">
        <v>0.57999999999999996</v>
      </c>
      <c r="U12" s="88">
        <v>8</v>
      </c>
      <c r="V12" s="90">
        <v>0</v>
      </c>
      <c r="W12" s="90">
        <v>7.08</v>
      </c>
      <c r="X12" s="89">
        <f t="shared" si="5"/>
        <v>15.66</v>
      </c>
      <c r="Y12" s="90">
        <v>0.57999999999999996</v>
      </c>
      <c r="Z12" s="88">
        <v>8</v>
      </c>
      <c r="AA12" s="90">
        <v>0</v>
      </c>
      <c r="AB12" s="90">
        <v>7.08</v>
      </c>
      <c r="AC12" s="89">
        <f t="shared" si="6"/>
        <v>15.66</v>
      </c>
      <c r="AD12" s="89">
        <f t="shared" si="7"/>
        <v>942672</v>
      </c>
      <c r="AE12" s="89">
        <f t="shared" si="8"/>
        <v>67651.199999999997</v>
      </c>
      <c r="AF12" s="89">
        <f t="shared" si="9"/>
        <v>93960</v>
      </c>
      <c r="AG12" s="89">
        <f t="shared" si="10"/>
        <v>37584</v>
      </c>
      <c r="AH12" s="89">
        <f t="shared" si="11"/>
        <v>147204</v>
      </c>
      <c r="AI12" s="89">
        <f t="shared" si="12"/>
        <v>12528</v>
      </c>
      <c r="AJ12" s="89">
        <f t="shared" si="13"/>
        <v>0</v>
      </c>
      <c r="AK12" s="89">
        <f t="shared" si="14"/>
        <v>15033.6</v>
      </c>
      <c r="AL12" s="89">
        <f t="shared" si="15"/>
        <v>484309.92960000003</v>
      </c>
      <c r="AM12" s="89">
        <v>39991</v>
      </c>
      <c r="AN12" s="89">
        <f t="shared" si="16"/>
        <v>1840933.7296000002</v>
      </c>
      <c r="AO12" s="215">
        <f t="shared" si="17"/>
        <v>1472747</v>
      </c>
    </row>
    <row r="13" spans="1:41" s="93" customFormat="1" ht="17.100000000000001" customHeight="1">
      <c r="A13" s="91"/>
      <c r="B13" s="91" t="s">
        <v>613</v>
      </c>
      <c r="C13" s="91"/>
      <c r="D13" s="92">
        <f t="shared" ref="D13:J13" si="18">SUM(D4:D12)</f>
        <v>8</v>
      </c>
      <c r="E13" s="92">
        <f t="shared" si="18"/>
        <v>5.33</v>
      </c>
      <c r="F13" s="92">
        <f t="shared" si="18"/>
        <v>28.659999999999997</v>
      </c>
      <c r="G13" s="92">
        <f t="shared" si="18"/>
        <v>95.32</v>
      </c>
      <c r="H13" s="92">
        <f t="shared" si="18"/>
        <v>39.020000000000003</v>
      </c>
      <c r="I13" s="92">
        <f t="shared" si="18"/>
        <v>168.33</v>
      </c>
      <c r="J13" s="92">
        <f t="shared" si="18"/>
        <v>7.91</v>
      </c>
      <c r="K13" s="92">
        <f t="shared" ref="K13:AO13" si="19">SUM(K4:K12)</f>
        <v>2.5</v>
      </c>
      <c r="L13" s="92">
        <f t="shared" si="19"/>
        <v>0.33</v>
      </c>
      <c r="M13" s="92">
        <f t="shared" si="19"/>
        <v>2.08</v>
      </c>
      <c r="N13" s="92">
        <f t="shared" si="19"/>
        <v>12.82</v>
      </c>
      <c r="O13" s="92">
        <f t="shared" si="19"/>
        <v>13.24</v>
      </c>
      <c r="P13" s="92">
        <f t="shared" si="19"/>
        <v>31.159999999999997</v>
      </c>
      <c r="Q13" s="92">
        <f t="shared" si="19"/>
        <v>95.649999999999991</v>
      </c>
      <c r="R13" s="92">
        <f t="shared" si="19"/>
        <v>41.1</v>
      </c>
      <c r="S13" s="92">
        <f t="shared" si="19"/>
        <v>181.15</v>
      </c>
      <c r="T13" s="92">
        <f t="shared" si="19"/>
        <v>14.49</v>
      </c>
      <c r="U13" s="92">
        <f t="shared" si="19"/>
        <v>23.42</v>
      </c>
      <c r="V13" s="92">
        <f t="shared" si="19"/>
        <v>92.5</v>
      </c>
      <c r="W13" s="92">
        <f t="shared" si="19"/>
        <v>37.07</v>
      </c>
      <c r="X13" s="92">
        <f t="shared" si="19"/>
        <v>167.48</v>
      </c>
      <c r="Y13" s="92">
        <f t="shared" si="19"/>
        <v>14.49</v>
      </c>
      <c r="Z13" s="92">
        <f t="shared" si="19"/>
        <v>23.42</v>
      </c>
      <c r="AA13" s="92">
        <f t="shared" si="19"/>
        <v>92.5</v>
      </c>
      <c r="AB13" s="92">
        <f t="shared" si="19"/>
        <v>37.07</v>
      </c>
      <c r="AC13" s="92">
        <f t="shared" si="19"/>
        <v>167.48</v>
      </c>
      <c r="AD13" s="92">
        <f t="shared" si="19"/>
        <v>10239756</v>
      </c>
      <c r="AE13" s="92">
        <f t="shared" si="19"/>
        <v>723513.59999999986</v>
      </c>
      <c r="AF13" s="92">
        <f t="shared" si="19"/>
        <v>1004880</v>
      </c>
      <c r="AG13" s="92">
        <f t="shared" si="19"/>
        <v>401952</v>
      </c>
      <c r="AH13" s="92">
        <f t="shared" si="19"/>
        <v>1574312</v>
      </c>
      <c r="AI13" s="92">
        <f t="shared" si="19"/>
        <v>133984</v>
      </c>
      <c r="AJ13" s="92">
        <f t="shared" si="19"/>
        <v>80000</v>
      </c>
      <c r="AK13" s="92">
        <f t="shared" si="19"/>
        <v>160780.80000000002</v>
      </c>
      <c r="AL13" s="92">
        <f t="shared" si="19"/>
        <v>5179580.2688000007</v>
      </c>
      <c r="AM13" s="92">
        <f t="shared" si="19"/>
        <v>132308</v>
      </c>
      <c r="AN13" s="92">
        <f t="shared" si="19"/>
        <v>19631066.6688</v>
      </c>
      <c r="AO13" s="92">
        <f t="shared" si="19"/>
        <v>15704853</v>
      </c>
    </row>
    <row r="14" spans="1:41" ht="17.100000000000001" customHeight="1">
      <c r="A14" s="85" t="s">
        <v>8</v>
      </c>
      <c r="B14" s="86" t="s">
        <v>614</v>
      </c>
      <c r="C14" s="86" t="s">
        <v>609</v>
      </c>
      <c r="D14" s="87">
        <v>2</v>
      </c>
      <c r="E14" s="88">
        <v>1.67</v>
      </c>
      <c r="F14" s="88">
        <v>3.67</v>
      </c>
      <c r="G14" s="88">
        <v>24.33</v>
      </c>
      <c r="H14" s="88">
        <v>2.67</v>
      </c>
      <c r="I14" s="89">
        <f t="shared" si="1"/>
        <v>32.339999999999996</v>
      </c>
      <c r="J14" s="90">
        <v>0</v>
      </c>
      <c r="K14" s="90">
        <v>2</v>
      </c>
      <c r="L14" s="90">
        <v>0</v>
      </c>
      <c r="M14" s="90">
        <v>0</v>
      </c>
      <c r="N14" s="89">
        <f t="shared" ref="N14:N67" si="20">SUM(J14:M14)</f>
        <v>2</v>
      </c>
      <c r="O14" s="89">
        <f>E14+J14</f>
        <v>1.67</v>
      </c>
      <c r="P14" s="89">
        <f t="shared" ref="P14:R20" si="21">F14+K14</f>
        <v>5.67</v>
      </c>
      <c r="Q14" s="89">
        <f t="shared" si="21"/>
        <v>24.33</v>
      </c>
      <c r="R14" s="89">
        <f t="shared" si="21"/>
        <v>2.67</v>
      </c>
      <c r="S14" s="89">
        <f t="shared" ref="S14:S67" si="22">SUM(O14:R14)</f>
        <v>34.339999999999996</v>
      </c>
      <c r="T14" s="87">
        <v>3</v>
      </c>
      <c r="U14" s="87">
        <v>5</v>
      </c>
      <c r="V14" s="87">
        <v>25</v>
      </c>
      <c r="W14" s="87">
        <v>1</v>
      </c>
      <c r="X14" s="89">
        <f t="shared" ref="X14:X67" si="23">SUM(T14:W14)</f>
        <v>34</v>
      </c>
      <c r="Y14" s="87">
        <v>3</v>
      </c>
      <c r="Z14" s="87">
        <v>5</v>
      </c>
      <c r="AA14" s="87">
        <v>25</v>
      </c>
      <c r="AB14" s="87">
        <v>1</v>
      </c>
      <c r="AC14" s="89">
        <f t="shared" ref="AC14:AC67" si="24">SUM(Y14:AB14)</f>
        <v>34</v>
      </c>
      <c r="AD14" s="89">
        <f t="shared" si="7"/>
        <v>2143200</v>
      </c>
      <c r="AE14" s="89">
        <f t="shared" si="8"/>
        <v>146880</v>
      </c>
      <c r="AF14" s="89">
        <f t="shared" si="9"/>
        <v>204000</v>
      </c>
      <c r="AG14" s="89">
        <f t="shared" si="10"/>
        <v>81600</v>
      </c>
      <c r="AH14" s="89">
        <f t="shared" si="11"/>
        <v>319600</v>
      </c>
      <c r="AI14" s="89">
        <f t="shared" si="12"/>
        <v>27200</v>
      </c>
      <c r="AJ14" s="89">
        <f t="shared" si="13"/>
        <v>20000</v>
      </c>
      <c r="AK14" s="89">
        <f t="shared" si="14"/>
        <v>32640</v>
      </c>
      <c r="AL14" s="89">
        <f t="shared" si="15"/>
        <v>1051503.04</v>
      </c>
      <c r="AM14" s="89"/>
      <c r="AN14" s="89">
        <f t="shared" si="16"/>
        <v>4026623.04</v>
      </c>
      <c r="AO14" s="99">
        <f t="shared" si="17"/>
        <v>3221298</v>
      </c>
    </row>
    <row r="15" spans="1:41" ht="17.100000000000001" customHeight="1">
      <c r="A15" s="85" t="s">
        <v>8</v>
      </c>
      <c r="B15" s="86" t="s">
        <v>387</v>
      </c>
      <c r="C15" s="86" t="s">
        <v>609</v>
      </c>
      <c r="D15" s="87">
        <v>1</v>
      </c>
      <c r="E15" s="88">
        <v>0</v>
      </c>
      <c r="F15" s="88">
        <v>2</v>
      </c>
      <c r="G15" s="88">
        <v>14.33</v>
      </c>
      <c r="H15" s="88">
        <v>2.67</v>
      </c>
      <c r="I15" s="89">
        <f t="shared" si="1"/>
        <v>19</v>
      </c>
      <c r="J15" s="90">
        <v>1.08</v>
      </c>
      <c r="K15" s="90">
        <v>0</v>
      </c>
      <c r="L15" s="90">
        <v>0</v>
      </c>
      <c r="M15" s="90">
        <v>0</v>
      </c>
      <c r="N15" s="89">
        <f t="shared" si="20"/>
        <v>1.08</v>
      </c>
      <c r="O15" s="89">
        <f t="shared" ref="O15:O20" si="25">E15+J15</f>
        <v>1.08</v>
      </c>
      <c r="P15" s="89">
        <f t="shared" si="21"/>
        <v>2</v>
      </c>
      <c r="Q15" s="89">
        <f t="shared" si="21"/>
        <v>14.33</v>
      </c>
      <c r="R15" s="89">
        <f t="shared" si="21"/>
        <v>2.67</v>
      </c>
      <c r="S15" s="89">
        <f t="shared" si="22"/>
        <v>20.079999999999998</v>
      </c>
      <c r="T15" s="87">
        <v>1.08</v>
      </c>
      <c r="U15" s="87">
        <v>2</v>
      </c>
      <c r="V15" s="87">
        <v>15</v>
      </c>
      <c r="W15" s="87">
        <v>2</v>
      </c>
      <c r="X15" s="89">
        <f t="shared" si="23"/>
        <v>20.079999999999998</v>
      </c>
      <c r="Y15" s="87">
        <v>1.08</v>
      </c>
      <c r="Z15" s="87">
        <v>2</v>
      </c>
      <c r="AA15" s="87">
        <v>15</v>
      </c>
      <c r="AB15" s="87">
        <v>2</v>
      </c>
      <c r="AC15" s="89">
        <f t="shared" si="24"/>
        <v>20.079999999999998</v>
      </c>
      <c r="AD15" s="89">
        <f t="shared" si="7"/>
        <v>1236264</v>
      </c>
      <c r="AE15" s="89">
        <f t="shared" si="8"/>
        <v>86745.599999999991</v>
      </c>
      <c r="AF15" s="89">
        <f t="shared" si="9"/>
        <v>120479.99999999999</v>
      </c>
      <c r="AG15" s="89">
        <f t="shared" si="10"/>
        <v>48191.999999999993</v>
      </c>
      <c r="AH15" s="89">
        <f t="shared" si="11"/>
        <v>188751.99999999997</v>
      </c>
      <c r="AI15" s="89">
        <f t="shared" si="12"/>
        <v>16063.999999999998</v>
      </c>
      <c r="AJ15" s="89">
        <f t="shared" si="13"/>
        <v>10000</v>
      </c>
      <c r="AK15" s="89">
        <f t="shared" si="14"/>
        <v>19276.8</v>
      </c>
      <c r="AL15" s="89">
        <f t="shared" si="15"/>
        <v>621005.32479999994</v>
      </c>
      <c r="AM15" s="89"/>
      <c r="AN15" s="89">
        <f t="shared" si="16"/>
        <v>2346779.7248</v>
      </c>
      <c r="AO15" s="99">
        <f t="shared" si="17"/>
        <v>1877424</v>
      </c>
    </row>
    <row r="16" spans="1:41" ht="17.100000000000001" customHeight="1">
      <c r="A16" s="85" t="s">
        <v>8</v>
      </c>
      <c r="B16" s="86" t="s">
        <v>615</v>
      </c>
      <c r="C16" s="86" t="s">
        <v>609</v>
      </c>
      <c r="D16" s="87">
        <v>2</v>
      </c>
      <c r="E16" s="88">
        <v>6</v>
      </c>
      <c r="F16" s="88">
        <v>3</v>
      </c>
      <c r="G16" s="88">
        <v>37</v>
      </c>
      <c r="H16" s="88">
        <v>3.33</v>
      </c>
      <c r="I16" s="89">
        <f t="shared" si="1"/>
        <v>49.33</v>
      </c>
      <c r="J16" s="90">
        <v>4</v>
      </c>
      <c r="K16" s="90">
        <v>0</v>
      </c>
      <c r="L16" s="90">
        <v>0.33</v>
      </c>
      <c r="M16" s="90">
        <v>0</v>
      </c>
      <c r="N16" s="89">
        <f t="shared" si="20"/>
        <v>4.33</v>
      </c>
      <c r="O16" s="89">
        <f t="shared" si="25"/>
        <v>10</v>
      </c>
      <c r="P16" s="89">
        <f t="shared" si="21"/>
        <v>3</v>
      </c>
      <c r="Q16" s="89">
        <f t="shared" si="21"/>
        <v>37.33</v>
      </c>
      <c r="R16" s="89">
        <f t="shared" si="21"/>
        <v>3.33</v>
      </c>
      <c r="S16" s="89">
        <f t="shared" si="22"/>
        <v>53.66</v>
      </c>
      <c r="T16" s="87">
        <v>10.58</v>
      </c>
      <c r="U16" s="87">
        <v>4.5</v>
      </c>
      <c r="V16" s="87">
        <v>36.5</v>
      </c>
      <c r="W16" s="87">
        <v>1.83</v>
      </c>
      <c r="X16" s="89">
        <f t="shared" si="23"/>
        <v>53.41</v>
      </c>
      <c r="Y16" s="87">
        <v>10.58</v>
      </c>
      <c r="Z16" s="87">
        <v>4.5</v>
      </c>
      <c r="AA16" s="87">
        <v>36.5</v>
      </c>
      <c r="AB16" s="87">
        <v>1.83</v>
      </c>
      <c r="AC16" s="89">
        <f t="shared" si="24"/>
        <v>53.41</v>
      </c>
      <c r="AD16" s="89">
        <f t="shared" si="7"/>
        <v>3437844</v>
      </c>
      <c r="AE16" s="89">
        <f t="shared" si="8"/>
        <v>230731.19999999998</v>
      </c>
      <c r="AF16" s="89">
        <f t="shared" si="9"/>
        <v>320460</v>
      </c>
      <c r="AG16" s="89">
        <f t="shared" si="10"/>
        <v>128183.99999999999</v>
      </c>
      <c r="AH16" s="89">
        <f t="shared" si="11"/>
        <v>502053.99999999994</v>
      </c>
      <c r="AI16" s="89">
        <f t="shared" si="12"/>
        <v>42728</v>
      </c>
      <c r="AJ16" s="89">
        <f t="shared" si="13"/>
        <v>20000</v>
      </c>
      <c r="AK16" s="89">
        <f t="shared" si="14"/>
        <v>51273.599999999999</v>
      </c>
      <c r="AL16" s="89">
        <f t="shared" si="15"/>
        <v>1651787.5696</v>
      </c>
      <c r="AM16" s="89"/>
      <c r="AN16" s="89">
        <f t="shared" si="16"/>
        <v>6385062.3695999999</v>
      </c>
      <c r="AO16" s="99">
        <f t="shared" si="17"/>
        <v>5108050</v>
      </c>
    </row>
    <row r="17" spans="1:41" ht="17.100000000000001" customHeight="1">
      <c r="A17" s="85" t="s">
        <v>8</v>
      </c>
      <c r="B17" s="86" t="s">
        <v>385</v>
      </c>
      <c r="C17" s="86" t="s">
        <v>609</v>
      </c>
      <c r="D17" s="87">
        <v>2</v>
      </c>
      <c r="E17" s="88">
        <v>0</v>
      </c>
      <c r="F17" s="88">
        <v>2.67</v>
      </c>
      <c r="G17" s="88">
        <v>21.67</v>
      </c>
      <c r="H17" s="88">
        <v>2.67</v>
      </c>
      <c r="I17" s="89">
        <f t="shared" si="1"/>
        <v>27.010000000000005</v>
      </c>
      <c r="J17" s="90">
        <v>0</v>
      </c>
      <c r="K17" s="90">
        <v>0</v>
      </c>
      <c r="L17" s="90">
        <v>0</v>
      </c>
      <c r="M17" s="90">
        <v>0</v>
      </c>
      <c r="N17" s="89">
        <f t="shared" si="20"/>
        <v>0</v>
      </c>
      <c r="O17" s="89">
        <f t="shared" si="25"/>
        <v>0</v>
      </c>
      <c r="P17" s="89">
        <f t="shared" si="21"/>
        <v>2.67</v>
      </c>
      <c r="Q17" s="89">
        <f t="shared" si="21"/>
        <v>21.67</v>
      </c>
      <c r="R17" s="89">
        <f t="shared" si="21"/>
        <v>2.67</v>
      </c>
      <c r="S17" s="89">
        <f t="shared" si="22"/>
        <v>27.010000000000005</v>
      </c>
      <c r="T17" s="87">
        <v>1.5</v>
      </c>
      <c r="U17" s="87">
        <v>2</v>
      </c>
      <c r="V17" s="87">
        <v>21.08</v>
      </c>
      <c r="W17" s="87">
        <v>1.92</v>
      </c>
      <c r="X17" s="89">
        <f t="shared" si="23"/>
        <v>26.5</v>
      </c>
      <c r="Y17" s="87">
        <v>1.5</v>
      </c>
      <c r="Z17" s="87">
        <v>2</v>
      </c>
      <c r="AA17" s="87">
        <v>21.08</v>
      </c>
      <c r="AB17" s="87">
        <v>1.92</v>
      </c>
      <c r="AC17" s="89">
        <f t="shared" si="24"/>
        <v>26.5</v>
      </c>
      <c r="AD17" s="89">
        <f t="shared" si="7"/>
        <v>1636050.2399999998</v>
      </c>
      <c r="AE17" s="89">
        <f t="shared" si="8"/>
        <v>114480</v>
      </c>
      <c r="AF17" s="89">
        <f t="shared" si="9"/>
        <v>159000</v>
      </c>
      <c r="AG17" s="89">
        <f t="shared" si="10"/>
        <v>63600</v>
      </c>
      <c r="AH17" s="89">
        <f t="shared" si="11"/>
        <v>249100</v>
      </c>
      <c r="AI17" s="89">
        <f t="shared" si="12"/>
        <v>21200</v>
      </c>
      <c r="AJ17" s="89">
        <f t="shared" si="13"/>
        <v>20000</v>
      </c>
      <c r="AK17" s="89">
        <f t="shared" si="14"/>
        <v>25440</v>
      </c>
      <c r="AL17" s="89">
        <f t="shared" si="15"/>
        <v>819553.84000000008</v>
      </c>
      <c r="AM17" s="89"/>
      <c r="AN17" s="89">
        <f t="shared" si="16"/>
        <v>3108424.08</v>
      </c>
      <c r="AO17" s="99">
        <f t="shared" si="17"/>
        <v>2486739</v>
      </c>
    </row>
    <row r="18" spans="1:41" ht="17.100000000000001" customHeight="1">
      <c r="A18" s="85" t="s">
        <v>8</v>
      </c>
      <c r="B18" s="86" t="s">
        <v>383</v>
      </c>
      <c r="C18" s="86" t="s">
        <v>611</v>
      </c>
      <c r="D18" s="87"/>
      <c r="E18" s="88">
        <v>8</v>
      </c>
      <c r="F18" s="88">
        <v>6</v>
      </c>
      <c r="G18" s="88">
        <v>0</v>
      </c>
      <c r="H18" s="88">
        <v>10</v>
      </c>
      <c r="I18" s="89">
        <f t="shared" si="1"/>
        <v>24</v>
      </c>
      <c r="J18" s="90">
        <v>1.33</v>
      </c>
      <c r="K18" s="90">
        <v>0.75</v>
      </c>
      <c r="L18" s="90">
        <v>0</v>
      </c>
      <c r="M18" s="90">
        <v>0</v>
      </c>
      <c r="N18" s="89">
        <f t="shared" si="20"/>
        <v>2.08</v>
      </c>
      <c r="O18" s="89">
        <f t="shared" si="25"/>
        <v>9.33</v>
      </c>
      <c r="P18" s="89">
        <f t="shared" si="21"/>
        <v>6.75</v>
      </c>
      <c r="Q18" s="89">
        <f t="shared" si="21"/>
        <v>0</v>
      </c>
      <c r="R18" s="89">
        <f t="shared" si="21"/>
        <v>10</v>
      </c>
      <c r="S18" s="89">
        <f t="shared" si="22"/>
        <v>26.08</v>
      </c>
      <c r="T18" s="87">
        <v>5.25</v>
      </c>
      <c r="U18" s="87">
        <v>7.25</v>
      </c>
      <c r="V18" s="87">
        <v>0</v>
      </c>
      <c r="W18" s="87">
        <v>6.33</v>
      </c>
      <c r="X18" s="89">
        <f t="shared" si="23"/>
        <v>18.829999999999998</v>
      </c>
      <c r="Y18" s="87">
        <v>5.25</v>
      </c>
      <c r="Z18" s="87">
        <v>7.25</v>
      </c>
      <c r="AA18" s="87">
        <v>0</v>
      </c>
      <c r="AB18" s="87">
        <v>6.33</v>
      </c>
      <c r="AC18" s="89">
        <f t="shared" si="24"/>
        <v>18.829999999999998</v>
      </c>
      <c r="AD18" s="89">
        <f t="shared" si="7"/>
        <v>1212678</v>
      </c>
      <c r="AE18" s="89">
        <f t="shared" si="8"/>
        <v>81345.599999999991</v>
      </c>
      <c r="AF18" s="89">
        <f t="shared" si="9"/>
        <v>112979.99999999999</v>
      </c>
      <c r="AG18" s="89">
        <f t="shared" si="10"/>
        <v>45191.999999999993</v>
      </c>
      <c r="AH18" s="89">
        <f t="shared" si="11"/>
        <v>177001.99999999997</v>
      </c>
      <c r="AI18" s="89">
        <f t="shared" si="12"/>
        <v>15063.999999999998</v>
      </c>
      <c r="AJ18" s="89">
        <f t="shared" si="13"/>
        <v>0</v>
      </c>
      <c r="AK18" s="89">
        <f t="shared" si="14"/>
        <v>18076.8</v>
      </c>
      <c r="AL18" s="89">
        <f t="shared" si="15"/>
        <v>582347.12479999999</v>
      </c>
      <c r="AM18" s="89">
        <v>49868</v>
      </c>
      <c r="AN18" s="89">
        <f t="shared" si="16"/>
        <v>2294553.5248000002</v>
      </c>
      <c r="AO18" s="99">
        <f t="shared" si="17"/>
        <v>1835643</v>
      </c>
    </row>
    <row r="19" spans="1:41" ht="17.100000000000001" customHeight="1">
      <c r="A19" s="85" t="s">
        <v>8</v>
      </c>
      <c r="B19" s="86" t="s">
        <v>384</v>
      </c>
      <c r="C19" s="86" t="s">
        <v>611</v>
      </c>
      <c r="D19" s="87"/>
      <c r="E19" s="88">
        <v>5</v>
      </c>
      <c r="F19" s="88">
        <v>6</v>
      </c>
      <c r="G19" s="88">
        <v>0</v>
      </c>
      <c r="H19" s="88">
        <v>10</v>
      </c>
      <c r="I19" s="89">
        <f t="shared" si="1"/>
        <v>21</v>
      </c>
      <c r="J19" s="90">
        <v>1.67</v>
      </c>
      <c r="K19" s="90">
        <v>0</v>
      </c>
      <c r="L19" s="90">
        <v>0</v>
      </c>
      <c r="M19" s="90">
        <v>1.42</v>
      </c>
      <c r="N19" s="89">
        <f t="shared" si="20"/>
        <v>3.09</v>
      </c>
      <c r="O19" s="89">
        <f t="shared" si="25"/>
        <v>6.67</v>
      </c>
      <c r="P19" s="89">
        <f t="shared" si="21"/>
        <v>6</v>
      </c>
      <c r="Q19" s="89">
        <f t="shared" si="21"/>
        <v>0</v>
      </c>
      <c r="R19" s="89">
        <f t="shared" si="21"/>
        <v>11.42</v>
      </c>
      <c r="S19" s="89">
        <f t="shared" si="22"/>
        <v>24.09</v>
      </c>
      <c r="T19" s="87">
        <v>6.42</v>
      </c>
      <c r="U19" s="87">
        <v>5.33</v>
      </c>
      <c r="V19" s="87">
        <v>0</v>
      </c>
      <c r="W19" s="87">
        <v>7</v>
      </c>
      <c r="X19" s="89">
        <f t="shared" si="23"/>
        <v>18.75</v>
      </c>
      <c r="Y19" s="87">
        <v>6.42</v>
      </c>
      <c r="Z19" s="87">
        <v>5.33</v>
      </c>
      <c r="AA19" s="87">
        <v>0</v>
      </c>
      <c r="AB19" s="87">
        <v>7</v>
      </c>
      <c r="AC19" s="89">
        <f t="shared" si="24"/>
        <v>18.75</v>
      </c>
      <c r="AD19" s="89">
        <f t="shared" si="7"/>
        <v>1209234</v>
      </c>
      <c r="AE19" s="89">
        <f t="shared" si="8"/>
        <v>81000</v>
      </c>
      <c r="AF19" s="89">
        <f t="shared" si="9"/>
        <v>112500</v>
      </c>
      <c r="AG19" s="89">
        <f t="shared" si="10"/>
        <v>45000</v>
      </c>
      <c r="AH19" s="89">
        <f t="shared" si="11"/>
        <v>176250</v>
      </c>
      <c r="AI19" s="89">
        <f t="shared" si="12"/>
        <v>15000</v>
      </c>
      <c r="AJ19" s="89">
        <f t="shared" si="13"/>
        <v>0</v>
      </c>
      <c r="AK19" s="89">
        <f t="shared" si="14"/>
        <v>18000</v>
      </c>
      <c r="AL19" s="89">
        <f t="shared" si="15"/>
        <v>579873</v>
      </c>
      <c r="AM19" s="89">
        <v>86535.5</v>
      </c>
      <c r="AN19" s="89">
        <f t="shared" si="16"/>
        <v>2323392.5</v>
      </c>
      <c r="AO19" s="99">
        <f t="shared" si="17"/>
        <v>1858714</v>
      </c>
    </row>
    <row r="20" spans="1:41" ht="17.100000000000001" customHeight="1">
      <c r="A20" s="85" t="s">
        <v>8</v>
      </c>
      <c r="B20" s="86" t="s">
        <v>616</v>
      </c>
      <c r="C20" s="86" t="s">
        <v>611</v>
      </c>
      <c r="D20" s="87"/>
      <c r="E20" s="88">
        <v>0</v>
      </c>
      <c r="F20" s="88">
        <v>4</v>
      </c>
      <c r="G20" s="88">
        <v>0</v>
      </c>
      <c r="H20" s="88">
        <v>9</v>
      </c>
      <c r="I20" s="89">
        <f t="shared" si="1"/>
        <v>13</v>
      </c>
      <c r="J20" s="90">
        <v>0</v>
      </c>
      <c r="K20" s="90">
        <v>0</v>
      </c>
      <c r="L20" s="90">
        <v>0</v>
      </c>
      <c r="M20" s="90">
        <v>0</v>
      </c>
      <c r="N20" s="89">
        <f t="shared" si="20"/>
        <v>0</v>
      </c>
      <c r="O20" s="89">
        <f t="shared" si="25"/>
        <v>0</v>
      </c>
      <c r="P20" s="89">
        <f t="shared" si="21"/>
        <v>4</v>
      </c>
      <c r="Q20" s="89">
        <f t="shared" si="21"/>
        <v>0</v>
      </c>
      <c r="R20" s="89">
        <f t="shared" si="21"/>
        <v>9</v>
      </c>
      <c r="S20" s="89">
        <f t="shared" si="22"/>
        <v>13</v>
      </c>
      <c r="T20" s="87">
        <v>0</v>
      </c>
      <c r="U20" s="87">
        <v>3.17</v>
      </c>
      <c r="V20" s="87">
        <v>0</v>
      </c>
      <c r="W20" s="87">
        <v>8</v>
      </c>
      <c r="X20" s="89">
        <f t="shared" si="23"/>
        <v>11.17</v>
      </c>
      <c r="Y20" s="87">
        <v>0</v>
      </c>
      <c r="Z20" s="87">
        <v>3.17</v>
      </c>
      <c r="AA20" s="87">
        <v>0</v>
      </c>
      <c r="AB20" s="87">
        <v>8</v>
      </c>
      <c r="AC20" s="89">
        <f t="shared" si="24"/>
        <v>11.17</v>
      </c>
      <c r="AD20" s="89">
        <f t="shared" si="7"/>
        <v>623922</v>
      </c>
      <c r="AE20" s="89">
        <f t="shared" si="8"/>
        <v>48254.400000000001</v>
      </c>
      <c r="AF20" s="89">
        <f t="shared" si="9"/>
        <v>67020</v>
      </c>
      <c r="AG20" s="89">
        <f t="shared" si="10"/>
        <v>26808</v>
      </c>
      <c r="AH20" s="89">
        <f t="shared" si="11"/>
        <v>104998</v>
      </c>
      <c r="AI20" s="89">
        <f t="shared" si="12"/>
        <v>8936</v>
      </c>
      <c r="AJ20" s="89">
        <f t="shared" si="13"/>
        <v>0</v>
      </c>
      <c r="AK20" s="89">
        <f t="shared" si="14"/>
        <v>10723.2</v>
      </c>
      <c r="AL20" s="89">
        <f t="shared" si="15"/>
        <v>345449.6752</v>
      </c>
      <c r="AM20" s="89">
        <v>16320</v>
      </c>
      <c r="AN20" s="89">
        <f t="shared" si="16"/>
        <v>1252431.2752</v>
      </c>
      <c r="AO20" s="99">
        <f t="shared" si="17"/>
        <v>1001945</v>
      </c>
    </row>
    <row r="21" spans="1:41" s="93" customFormat="1" ht="17.100000000000001" customHeight="1">
      <c r="A21" s="91"/>
      <c r="B21" s="91" t="s">
        <v>617</v>
      </c>
      <c r="C21" s="91"/>
      <c r="D21" s="92">
        <f>SUM(D14:D20)</f>
        <v>7</v>
      </c>
      <c r="E21" s="92">
        <f t="shared" ref="E21:AO21" si="26">SUM(E14:E20)</f>
        <v>20.67</v>
      </c>
      <c r="F21" s="92">
        <f t="shared" si="26"/>
        <v>27.34</v>
      </c>
      <c r="G21" s="92">
        <f t="shared" si="26"/>
        <v>97.33</v>
      </c>
      <c r="H21" s="92">
        <f t="shared" si="26"/>
        <v>40.340000000000003</v>
      </c>
      <c r="I21" s="92">
        <f t="shared" si="26"/>
        <v>185.68</v>
      </c>
      <c r="J21" s="92">
        <f t="shared" si="26"/>
        <v>8.08</v>
      </c>
      <c r="K21" s="92">
        <f t="shared" si="26"/>
        <v>2.75</v>
      </c>
      <c r="L21" s="92">
        <f t="shared" si="26"/>
        <v>0.33</v>
      </c>
      <c r="M21" s="92">
        <f t="shared" si="26"/>
        <v>1.42</v>
      </c>
      <c r="N21" s="92">
        <f t="shared" si="26"/>
        <v>12.58</v>
      </c>
      <c r="O21" s="92">
        <f t="shared" si="26"/>
        <v>28.75</v>
      </c>
      <c r="P21" s="92">
        <f t="shared" si="26"/>
        <v>30.09</v>
      </c>
      <c r="Q21" s="92">
        <f t="shared" si="26"/>
        <v>97.66</v>
      </c>
      <c r="R21" s="92">
        <f t="shared" si="26"/>
        <v>41.76</v>
      </c>
      <c r="S21" s="92">
        <f t="shared" si="26"/>
        <v>198.25999999999996</v>
      </c>
      <c r="T21" s="92">
        <f t="shared" si="26"/>
        <v>27.83</v>
      </c>
      <c r="U21" s="92">
        <f t="shared" si="26"/>
        <v>29.25</v>
      </c>
      <c r="V21" s="92">
        <f t="shared" si="26"/>
        <v>97.58</v>
      </c>
      <c r="W21" s="92">
        <f t="shared" si="26"/>
        <v>28.08</v>
      </c>
      <c r="X21" s="92">
        <f t="shared" si="26"/>
        <v>182.73999999999998</v>
      </c>
      <c r="Y21" s="92">
        <f t="shared" si="26"/>
        <v>27.83</v>
      </c>
      <c r="Z21" s="92">
        <f t="shared" si="26"/>
        <v>29.25</v>
      </c>
      <c r="AA21" s="92">
        <f t="shared" si="26"/>
        <v>97.58</v>
      </c>
      <c r="AB21" s="92">
        <f t="shared" si="26"/>
        <v>28.08</v>
      </c>
      <c r="AC21" s="92">
        <f t="shared" si="26"/>
        <v>182.73999999999998</v>
      </c>
      <c r="AD21" s="92">
        <f t="shared" si="26"/>
        <v>11499192.24</v>
      </c>
      <c r="AE21" s="92">
        <f t="shared" si="26"/>
        <v>789436.79999999993</v>
      </c>
      <c r="AF21" s="92">
        <f t="shared" si="26"/>
        <v>1096440</v>
      </c>
      <c r="AG21" s="92">
        <f t="shared" si="26"/>
        <v>438576</v>
      </c>
      <c r="AH21" s="92">
        <f t="shared" si="26"/>
        <v>1717756</v>
      </c>
      <c r="AI21" s="92">
        <f t="shared" si="26"/>
        <v>146192</v>
      </c>
      <c r="AJ21" s="92">
        <f t="shared" si="26"/>
        <v>70000</v>
      </c>
      <c r="AK21" s="92">
        <f t="shared" si="26"/>
        <v>175430.39999999999</v>
      </c>
      <c r="AL21" s="92">
        <f t="shared" si="26"/>
        <v>5651519.5744000012</v>
      </c>
      <c r="AM21" s="92">
        <f t="shared" si="26"/>
        <v>152723.5</v>
      </c>
      <c r="AN21" s="92">
        <f t="shared" si="26"/>
        <v>21737266.514399998</v>
      </c>
      <c r="AO21" s="92">
        <f t="shared" si="26"/>
        <v>17389813</v>
      </c>
    </row>
    <row r="22" spans="1:41" ht="17.100000000000001" customHeight="1">
      <c r="A22" s="85" t="s">
        <v>7</v>
      </c>
      <c r="B22" s="86" t="s">
        <v>618</v>
      </c>
      <c r="C22" s="86" t="s">
        <v>609</v>
      </c>
      <c r="D22" s="87">
        <v>1</v>
      </c>
      <c r="E22" s="94">
        <v>0.67</v>
      </c>
      <c r="F22" s="94">
        <v>2</v>
      </c>
      <c r="G22" s="94">
        <v>15.67</v>
      </c>
      <c r="H22" s="94">
        <v>2.33</v>
      </c>
      <c r="I22" s="89">
        <f t="shared" si="1"/>
        <v>20.67</v>
      </c>
      <c r="J22" s="87">
        <v>2</v>
      </c>
      <c r="K22" s="87">
        <v>0</v>
      </c>
      <c r="L22" s="87">
        <v>0</v>
      </c>
      <c r="M22" s="87">
        <v>0</v>
      </c>
      <c r="N22" s="89">
        <f t="shared" si="20"/>
        <v>2</v>
      </c>
      <c r="O22" s="89">
        <f>E22+J22</f>
        <v>2.67</v>
      </c>
      <c r="P22" s="89">
        <f t="shared" ref="P22:R32" si="27">F22+K22</f>
        <v>2</v>
      </c>
      <c r="Q22" s="89">
        <f t="shared" si="27"/>
        <v>15.67</v>
      </c>
      <c r="R22" s="89">
        <f t="shared" si="27"/>
        <v>2.33</v>
      </c>
      <c r="S22" s="89">
        <f t="shared" si="22"/>
        <v>22.67</v>
      </c>
      <c r="T22" s="87">
        <v>4</v>
      </c>
      <c r="U22" s="87">
        <v>1.08</v>
      </c>
      <c r="V22" s="87">
        <v>16</v>
      </c>
      <c r="W22" s="87">
        <v>0.83</v>
      </c>
      <c r="X22" s="89">
        <f t="shared" si="23"/>
        <v>21.909999999999997</v>
      </c>
      <c r="Y22" s="87">
        <v>4</v>
      </c>
      <c r="Z22" s="87">
        <v>1.08</v>
      </c>
      <c r="AA22" s="87">
        <v>16</v>
      </c>
      <c r="AB22" s="87">
        <v>0.83</v>
      </c>
      <c r="AC22" s="89">
        <f t="shared" si="24"/>
        <v>21.909999999999997</v>
      </c>
      <c r="AD22" s="89">
        <f t="shared" si="7"/>
        <v>1400004</v>
      </c>
      <c r="AE22" s="89">
        <f t="shared" si="8"/>
        <v>94651.199999999983</v>
      </c>
      <c r="AF22" s="89">
        <f t="shared" si="9"/>
        <v>131459.99999999997</v>
      </c>
      <c r="AG22" s="89">
        <f t="shared" si="10"/>
        <v>52583.999999999993</v>
      </c>
      <c r="AH22" s="89">
        <f t="shared" si="11"/>
        <v>205953.99999999997</v>
      </c>
      <c r="AI22" s="89">
        <f t="shared" si="12"/>
        <v>17527.999999999996</v>
      </c>
      <c r="AJ22" s="89">
        <f t="shared" si="13"/>
        <v>10000</v>
      </c>
      <c r="AK22" s="89">
        <f t="shared" si="14"/>
        <v>21033.599999999999</v>
      </c>
      <c r="AL22" s="89">
        <f t="shared" si="15"/>
        <v>677600.92959999992</v>
      </c>
      <c r="AM22" s="89"/>
      <c r="AN22" s="89">
        <f t="shared" si="16"/>
        <v>2610815.7296000002</v>
      </c>
      <c r="AO22" s="99">
        <f t="shared" si="17"/>
        <v>2088653</v>
      </c>
    </row>
    <row r="23" spans="1:41" ht="17.100000000000001" customHeight="1">
      <c r="A23" s="85" t="s">
        <v>7</v>
      </c>
      <c r="B23" s="86" t="s">
        <v>619</v>
      </c>
      <c r="C23" s="86" t="s">
        <v>609</v>
      </c>
      <c r="D23" s="87">
        <v>2</v>
      </c>
      <c r="E23" s="94">
        <v>5.33</v>
      </c>
      <c r="F23" s="94">
        <v>3</v>
      </c>
      <c r="G23" s="94">
        <v>32.67</v>
      </c>
      <c r="H23" s="94">
        <v>3.67</v>
      </c>
      <c r="I23" s="89">
        <f t="shared" si="1"/>
        <v>44.67</v>
      </c>
      <c r="J23" s="87">
        <v>0</v>
      </c>
      <c r="K23" s="87">
        <v>0</v>
      </c>
      <c r="L23" s="87">
        <v>0</v>
      </c>
      <c r="M23" s="87">
        <v>0</v>
      </c>
      <c r="N23" s="89">
        <f t="shared" si="20"/>
        <v>0</v>
      </c>
      <c r="O23" s="89">
        <f t="shared" ref="O23:O32" si="28">E23+J23</f>
        <v>5.33</v>
      </c>
      <c r="P23" s="89">
        <f t="shared" si="27"/>
        <v>3</v>
      </c>
      <c r="Q23" s="89">
        <f t="shared" si="27"/>
        <v>32.67</v>
      </c>
      <c r="R23" s="89">
        <f t="shared" si="27"/>
        <v>3.67</v>
      </c>
      <c r="S23" s="89">
        <f t="shared" si="22"/>
        <v>44.67</v>
      </c>
      <c r="T23" s="87">
        <v>5.83</v>
      </c>
      <c r="U23" s="87">
        <v>2.75</v>
      </c>
      <c r="V23" s="87">
        <v>31.58</v>
      </c>
      <c r="W23" s="87">
        <v>2.92</v>
      </c>
      <c r="X23" s="89">
        <f t="shared" si="23"/>
        <v>43.08</v>
      </c>
      <c r="Y23" s="87">
        <v>5.83</v>
      </c>
      <c r="Z23" s="87">
        <v>2.75</v>
      </c>
      <c r="AA23" s="87">
        <v>31.58</v>
      </c>
      <c r="AB23" s="87">
        <v>2.92</v>
      </c>
      <c r="AC23" s="89">
        <f t="shared" si="24"/>
        <v>43.08</v>
      </c>
      <c r="AD23" s="89">
        <f t="shared" si="7"/>
        <v>2711988.2399999998</v>
      </c>
      <c r="AE23" s="89">
        <f t="shared" si="8"/>
        <v>186105.60000000001</v>
      </c>
      <c r="AF23" s="89">
        <f t="shared" si="9"/>
        <v>258480</v>
      </c>
      <c r="AG23" s="89">
        <f t="shared" si="10"/>
        <v>103392</v>
      </c>
      <c r="AH23" s="89">
        <f t="shared" si="11"/>
        <v>404952</v>
      </c>
      <c r="AI23" s="89">
        <f t="shared" si="12"/>
        <v>34464</v>
      </c>
      <c r="AJ23" s="89">
        <f t="shared" si="13"/>
        <v>20000</v>
      </c>
      <c r="AK23" s="89">
        <f t="shared" si="14"/>
        <v>41356.799999999996</v>
      </c>
      <c r="AL23" s="89">
        <f t="shared" si="15"/>
        <v>1332316.2047999999</v>
      </c>
      <c r="AM23" s="89"/>
      <c r="AN23" s="89">
        <f t="shared" si="16"/>
        <v>5093054.8447999991</v>
      </c>
      <c r="AO23" s="99">
        <f t="shared" si="17"/>
        <v>4074444</v>
      </c>
    </row>
    <row r="24" spans="1:41" ht="17.100000000000001" customHeight="1">
      <c r="A24" s="85" t="s">
        <v>7</v>
      </c>
      <c r="B24" s="86" t="s">
        <v>620</v>
      </c>
      <c r="C24" s="86" t="s">
        <v>609</v>
      </c>
      <c r="D24" s="87">
        <v>1</v>
      </c>
      <c r="E24" s="94">
        <v>12.67</v>
      </c>
      <c r="F24" s="94">
        <v>2</v>
      </c>
      <c r="G24" s="94">
        <v>20</v>
      </c>
      <c r="H24" s="94">
        <v>2.67</v>
      </c>
      <c r="I24" s="89">
        <f t="shared" si="1"/>
        <v>37.340000000000003</v>
      </c>
      <c r="J24" s="87">
        <v>0.33</v>
      </c>
      <c r="K24" s="87">
        <v>0</v>
      </c>
      <c r="L24" s="87">
        <v>0</v>
      </c>
      <c r="M24" s="87">
        <v>0</v>
      </c>
      <c r="N24" s="89">
        <f t="shared" si="20"/>
        <v>0.33</v>
      </c>
      <c r="O24" s="89">
        <f t="shared" si="28"/>
        <v>13</v>
      </c>
      <c r="P24" s="89">
        <f t="shared" si="27"/>
        <v>2</v>
      </c>
      <c r="Q24" s="89">
        <f t="shared" si="27"/>
        <v>20</v>
      </c>
      <c r="R24" s="89">
        <f t="shared" si="27"/>
        <v>2.67</v>
      </c>
      <c r="S24" s="89">
        <f t="shared" si="22"/>
        <v>37.67</v>
      </c>
      <c r="T24" s="87">
        <v>9.17</v>
      </c>
      <c r="U24" s="87">
        <v>4.17</v>
      </c>
      <c r="V24" s="87">
        <v>20.079999999999998</v>
      </c>
      <c r="W24" s="87">
        <v>2</v>
      </c>
      <c r="X24" s="89">
        <f t="shared" si="23"/>
        <v>35.42</v>
      </c>
      <c r="Y24" s="87">
        <v>9.17</v>
      </c>
      <c r="Z24" s="87">
        <v>4.17</v>
      </c>
      <c r="AA24" s="87">
        <v>20.079999999999998</v>
      </c>
      <c r="AB24" s="87">
        <v>2</v>
      </c>
      <c r="AC24" s="89">
        <f t="shared" si="24"/>
        <v>35.42</v>
      </c>
      <c r="AD24" s="89">
        <f t="shared" si="7"/>
        <v>2312628.2399999998</v>
      </c>
      <c r="AE24" s="89">
        <f t="shared" si="8"/>
        <v>153014.39999999999</v>
      </c>
      <c r="AF24" s="89">
        <f t="shared" si="9"/>
        <v>212520</v>
      </c>
      <c r="AG24" s="89">
        <f t="shared" si="10"/>
        <v>85008</v>
      </c>
      <c r="AH24" s="89">
        <f t="shared" si="11"/>
        <v>332948</v>
      </c>
      <c r="AI24" s="89">
        <f t="shared" si="12"/>
        <v>28336</v>
      </c>
      <c r="AJ24" s="89">
        <f t="shared" si="13"/>
        <v>10000</v>
      </c>
      <c r="AK24" s="89">
        <f t="shared" si="14"/>
        <v>34003.200000000004</v>
      </c>
      <c r="AL24" s="89">
        <f t="shared" si="15"/>
        <v>1095418.7552</v>
      </c>
      <c r="AM24" s="89"/>
      <c r="AN24" s="89">
        <f t="shared" si="16"/>
        <v>4263876.5952000003</v>
      </c>
      <c r="AO24" s="99">
        <f t="shared" si="17"/>
        <v>3411101</v>
      </c>
    </row>
    <row r="25" spans="1:41" ht="17.100000000000001" customHeight="1">
      <c r="A25" s="85" t="s">
        <v>7</v>
      </c>
      <c r="B25" s="86" t="s">
        <v>621</v>
      </c>
      <c r="C25" s="86" t="s">
        <v>609</v>
      </c>
      <c r="D25" s="87">
        <v>1</v>
      </c>
      <c r="E25" s="94">
        <v>1</v>
      </c>
      <c r="F25" s="94">
        <v>2</v>
      </c>
      <c r="G25" s="94">
        <v>13</v>
      </c>
      <c r="H25" s="94">
        <v>2</v>
      </c>
      <c r="I25" s="89">
        <f t="shared" si="1"/>
        <v>18</v>
      </c>
      <c r="J25" s="87">
        <v>3</v>
      </c>
      <c r="K25" s="87">
        <v>0</v>
      </c>
      <c r="L25" s="87">
        <v>0</v>
      </c>
      <c r="M25" s="87">
        <v>0</v>
      </c>
      <c r="N25" s="89">
        <f t="shared" si="20"/>
        <v>3</v>
      </c>
      <c r="O25" s="89">
        <f t="shared" si="28"/>
        <v>4</v>
      </c>
      <c r="P25" s="89">
        <f t="shared" si="27"/>
        <v>2</v>
      </c>
      <c r="Q25" s="89">
        <f t="shared" si="27"/>
        <v>13</v>
      </c>
      <c r="R25" s="89">
        <f t="shared" si="27"/>
        <v>2</v>
      </c>
      <c r="S25" s="89">
        <f t="shared" si="22"/>
        <v>21</v>
      </c>
      <c r="T25" s="87">
        <v>4</v>
      </c>
      <c r="U25" s="87">
        <v>2</v>
      </c>
      <c r="V25" s="87">
        <v>12.83</v>
      </c>
      <c r="W25" s="87">
        <v>2</v>
      </c>
      <c r="X25" s="89">
        <f t="shared" si="23"/>
        <v>20.83</v>
      </c>
      <c r="Y25" s="87">
        <v>4</v>
      </c>
      <c r="Z25" s="87">
        <v>2</v>
      </c>
      <c r="AA25" s="87">
        <v>12.83</v>
      </c>
      <c r="AB25" s="87">
        <v>2</v>
      </c>
      <c r="AC25" s="89">
        <f t="shared" si="24"/>
        <v>20.83</v>
      </c>
      <c r="AD25" s="89">
        <f t="shared" si="7"/>
        <v>1327872.2399999998</v>
      </c>
      <c r="AE25" s="89">
        <f t="shared" si="8"/>
        <v>89985.599999999991</v>
      </c>
      <c r="AF25" s="89">
        <f t="shared" si="9"/>
        <v>124979.99999999999</v>
      </c>
      <c r="AG25" s="89">
        <f t="shared" si="10"/>
        <v>49991.999999999993</v>
      </c>
      <c r="AH25" s="89">
        <f t="shared" si="11"/>
        <v>195801.99999999997</v>
      </c>
      <c r="AI25" s="89">
        <f t="shared" si="12"/>
        <v>16664</v>
      </c>
      <c r="AJ25" s="89">
        <f t="shared" si="13"/>
        <v>10000</v>
      </c>
      <c r="AK25" s="89">
        <f t="shared" si="14"/>
        <v>19996.8</v>
      </c>
      <c r="AL25" s="89">
        <f t="shared" si="15"/>
        <v>644200.24479999999</v>
      </c>
      <c r="AM25" s="89"/>
      <c r="AN25" s="89">
        <f t="shared" si="16"/>
        <v>2479492.8848000001</v>
      </c>
      <c r="AO25" s="99">
        <f t="shared" si="17"/>
        <v>1983594</v>
      </c>
    </row>
    <row r="26" spans="1:41" ht="17.100000000000001" customHeight="1">
      <c r="A26" s="85" t="s">
        <v>7</v>
      </c>
      <c r="B26" s="86" t="s">
        <v>396</v>
      </c>
      <c r="C26" s="86" t="s">
        <v>609</v>
      </c>
      <c r="D26" s="87">
        <v>1</v>
      </c>
      <c r="E26" s="94">
        <v>0</v>
      </c>
      <c r="F26" s="94">
        <v>2</v>
      </c>
      <c r="G26" s="94">
        <v>16</v>
      </c>
      <c r="H26" s="94">
        <v>2.33</v>
      </c>
      <c r="I26" s="89">
        <f t="shared" si="1"/>
        <v>20.329999999999998</v>
      </c>
      <c r="J26" s="87">
        <v>0</v>
      </c>
      <c r="K26" s="87">
        <v>0</v>
      </c>
      <c r="L26" s="87">
        <v>0</v>
      </c>
      <c r="M26" s="87">
        <v>0</v>
      </c>
      <c r="N26" s="89">
        <f t="shared" si="20"/>
        <v>0</v>
      </c>
      <c r="O26" s="89">
        <f t="shared" si="28"/>
        <v>0</v>
      </c>
      <c r="P26" s="89">
        <f t="shared" si="27"/>
        <v>2</v>
      </c>
      <c r="Q26" s="89">
        <f t="shared" si="27"/>
        <v>16</v>
      </c>
      <c r="R26" s="89">
        <f t="shared" si="27"/>
        <v>2.33</v>
      </c>
      <c r="S26" s="89">
        <f t="shared" si="22"/>
        <v>20.329999999999998</v>
      </c>
      <c r="T26" s="87">
        <v>1</v>
      </c>
      <c r="U26" s="87">
        <v>2</v>
      </c>
      <c r="V26" s="87">
        <v>16</v>
      </c>
      <c r="W26" s="87">
        <v>1</v>
      </c>
      <c r="X26" s="89">
        <f t="shared" si="23"/>
        <v>20</v>
      </c>
      <c r="Y26" s="87">
        <v>1</v>
      </c>
      <c r="Z26" s="87">
        <v>2</v>
      </c>
      <c r="AA26" s="87">
        <v>16</v>
      </c>
      <c r="AB26" s="87">
        <v>1</v>
      </c>
      <c r="AC26" s="89">
        <f t="shared" si="24"/>
        <v>20</v>
      </c>
      <c r="AD26" s="89">
        <f t="shared" si="7"/>
        <v>1239648</v>
      </c>
      <c r="AE26" s="89">
        <f t="shared" si="8"/>
        <v>86400</v>
      </c>
      <c r="AF26" s="89">
        <f t="shared" si="9"/>
        <v>120000</v>
      </c>
      <c r="AG26" s="89">
        <f t="shared" si="10"/>
        <v>48000</v>
      </c>
      <c r="AH26" s="89">
        <f t="shared" si="11"/>
        <v>188000</v>
      </c>
      <c r="AI26" s="89">
        <f t="shared" si="12"/>
        <v>16000</v>
      </c>
      <c r="AJ26" s="89">
        <f t="shared" si="13"/>
        <v>10000</v>
      </c>
      <c r="AK26" s="89">
        <f t="shared" si="14"/>
        <v>19200</v>
      </c>
      <c r="AL26" s="89">
        <f t="shared" si="15"/>
        <v>618531.20000000007</v>
      </c>
      <c r="AM26" s="89"/>
      <c r="AN26" s="89">
        <f t="shared" si="16"/>
        <v>2345779.2000000002</v>
      </c>
      <c r="AO26" s="99">
        <f t="shared" si="17"/>
        <v>1876623</v>
      </c>
    </row>
    <row r="27" spans="1:41" ht="17.100000000000001" customHeight="1">
      <c r="A27" s="85" t="s">
        <v>7</v>
      </c>
      <c r="B27" s="86" t="s">
        <v>622</v>
      </c>
      <c r="C27" s="86" t="s">
        <v>611</v>
      </c>
      <c r="D27" s="87"/>
      <c r="E27" s="94">
        <v>1.67</v>
      </c>
      <c r="F27" s="94">
        <v>5.33</v>
      </c>
      <c r="G27" s="94">
        <v>0</v>
      </c>
      <c r="H27" s="94">
        <v>6.33</v>
      </c>
      <c r="I27" s="89">
        <f t="shared" si="1"/>
        <v>13.33</v>
      </c>
      <c r="J27" s="87">
        <v>4</v>
      </c>
      <c r="K27" s="87">
        <v>0.33</v>
      </c>
      <c r="L27" s="87">
        <v>0</v>
      </c>
      <c r="M27" s="87">
        <v>0</v>
      </c>
      <c r="N27" s="89">
        <f t="shared" si="20"/>
        <v>4.33</v>
      </c>
      <c r="O27" s="89">
        <f t="shared" si="28"/>
        <v>5.67</v>
      </c>
      <c r="P27" s="89">
        <f t="shared" si="27"/>
        <v>5.66</v>
      </c>
      <c r="Q27" s="89">
        <f t="shared" si="27"/>
        <v>0</v>
      </c>
      <c r="R27" s="89">
        <f t="shared" si="27"/>
        <v>6.33</v>
      </c>
      <c r="S27" s="89">
        <f t="shared" si="22"/>
        <v>17.66</v>
      </c>
      <c r="T27" s="87">
        <v>6</v>
      </c>
      <c r="U27" s="87">
        <v>2.92</v>
      </c>
      <c r="V27" s="87">
        <v>0</v>
      </c>
      <c r="W27" s="87">
        <v>8.08</v>
      </c>
      <c r="X27" s="89">
        <f t="shared" si="23"/>
        <v>17</v>
      </c>
      <c r="Y27" s="87">
        <v>6</v>
      </c>
      <c r="Z27" s="87">
        <v>2.92</v>
      </c>
      <c r="AA27" s="87">
        <v>0</v>
      </c>
      <c r="AB27" s="87">
        <v>8.08</v>
      </c>
      <c r="AC27" s="89">
        <f t="shared" si="24"/>
        <v>17</v>
      </c>
      <c r="AD27" s="89">
        <f t="shared" si="7"/>
        <v>1072200</v>
      </c>
      <c r="AE27" s="89">
        <f t="shared" si="8"/>
        <v>73440</v>
      </c>
      <c r="AF27" s="89">
        <f t="shared" si="9"/>
        <v>102000</v>
      </c>
      <c r="AG27" s="89">
        <f t="shared" si="10"/>
        <v>40800</v>
      </c>
      <c r="AH27" s="89">
        <f t="shared" si="11"/>
        <v>159800</v>
      </c>
      <c r="AI27" s="89">
        <f t="shared" si="12"/>
        <v>13600</v>
      </c>
      <c r="AJ27" s="89">
        <f t="shared" si="13"/>
        <v>0</v>
      </c>
      <c r="AK27" s="89">
        <f t="shared" si="14"/>
        <v>16320</v>
      </c>
      <c r="AL27" s="89">
        <f t="shared" si="15"/>
        <v>525751.52</v>
      </c>
      <c r="AM27" s="89">
        <v>298124</v>
      </c>
      <c r="AN27" s="89">
        <f t="shared" si="16"/>
        <v>2302035.52</v>
      </c>
      <c r="AO27" s="99">
        <f t="shared" si="17"/>
        <v>1841628</v>
      </c>
    </row>
    <row r="28" spans="1:41" ht="17.100000000000001" customHeight="1">
      <c r="A28" s="85" t="s">
        <v>7</v>
      </c>
      <c r="B28" s="86" t="s">
        <v>623</v>
      </c>
      <c r="C28" s="86" t="s">
        <v>611</v>
      </c>
      <c r="D28" s="87"/>
      <c r="E28" s="94">
        <v>6.67</v>
      </c>
      <c r="F28" s="94">
        <v>5.67</v>
      </c>
      <c r="G28" s="94">
        <v>0</v>
      </c>
      <c r="H28" s="94">
        <v>6.33</v>
      </c>
      <c r="I28" s="89">
        <f t="shared" si="1"/>
        <v>18.670000000000002</v>
      </c>
      <c r="J28" s="87">
        <v>0</v>
      </c>
      <c r="K28" s="87">
        <v>2</v>
      </c>
      <c r="L28" s="87">
        <v>0</v>
      </c>
      <c r="M28" s="87">
        <v>2</v>
      </c>
      <c r="N28" s="89">
        <f t="shared" si="20"/>
        <v>4</v>
      </c>
      <c r="O28" s="89">
        <f t="shared" si="28"/>
        <v>6.67</v>
      </c>
      <c r="P28" s="89">
        <f t="shared" si="27"/>
        <v>7.67</v>
      </c>
      <c r="Q28" s="89">
        <f t="shared" si="27"/>
        <v>0</v>
      </c>
      <c r="R28" s="89">
        <f t="shared" si="27"/>
        <v>8.33</v>
      </c>
      <c r="S28" s="89">
        <f t="shared" si="22"/>
        <v>22.67</v>
      </c>
      <c r="T28" s="87">
        <v>3.25</v>
      </c>
      <c r="U28" s="87">
        <v>8.58</v>
      </c>
      <c r="V28" s="87">
        <v>1</v>
      </c>
      <c r="W28" s="87">
        <v>8.92</v>
      </c>
      <c r="X28" s="89">
        <f t="shared" si="23"/>
        <v>21.75</v>
      </c>
      <c r="Y28" s="87">
        <v>3.25</v>
      </c>
      <c r="Z28" s="87">
        <v>8.58</v>
      </c>
      <c r="AA28" s="87">
        <v>1</v>
      </c>
      <c r="AB28" s="87">
        <v>8.92</v>
      </c>
      <c r="AC28" s="89">
        <f t="shared" si="24"/>
        <v>21.75</v>
      </c>
      <c r="AD28" s="89">
        <f t="shared" si="7"/>
        <v>1342428</v>
      </c>
      <c r="AE28" s="89">
        <f t="shared" si="8"/>
        <v>93960</v>
      </c>
      <c r="AF28" s="89">
        <f t="shared" si="9"/>
        <v>130500</v>
      </c>
      <c r="AG28" s="89">
        <f t="shared" si="10"/>
        <v>52200</v>
      </c>
      <c r="AH28" s="89">
        <f t="shared" si="11"/>
        <v>204450</v>
      </c>
      <c r="AI28" s="89">
        <f t="shared" si="12"/>
        <v>17400</v>
      </c>
      <c r="AJ28" s="89">
        <f t="shared" si="13"/>
        <v>0</v>
      </c>
      <c r="AK28" s="89">
        <f t="shared" si="14"/>
        <v>20880</v>
      </c>
      <c r="AL28" s="89">
        <f t="shared" si="15"/>
        <v>672652.68</v>
      </c>
      <c r="AM28" s="89">
        <v>37230</v>
      </c>
      <c r="AN28" s="89">
        <f t="shared" si="16"/>
        <v>2571700.6800000002</v>
      </c>
      <c r="AO28" s="99">
        <f t="shared" si="17"/>
        <v>2057361</v>
      </c>
    </row>
    <row r="29" spans="1:41" ht="17.100000000000001" customHeight="1">
      <c r="A29" s="85" t="s">
        <v>7</v>
      </c>
      <c r="B29" s="86" t="s">
        <v>624</v>
      </c>
      <c r="C29" s="86" t="s">
        <v>611</v>
      </c>
      <c r="D29" s="87"/>
      <c r="E29" s="94">
        <v>0</v>
      </c>
      <c r="F29" s="94">
        <v>4</v>
      </c>
      <c r="G29" s="94">
        <v>0</v>
      </c>
      <c r="H29" s="94">
        <v>9.33</v>
      </c>
      <c r="I29" s="89">
        <f t="shared" si="1"/>
        <v>13.33</v>
      </c>
      <c r="J29" s="87">
        <v>0</v>
      </c>
      <c r="K29" s="87">
        <v>0</v>
      </c>
      <c r="L29" s="87">
        <v>0</v>
      </c>
      <c r="M29" s="87">
        <v>0</v>
      </c>
      <c r="N29" s="89">
        <f t="shared" si="20"/>
        <v>0</v>
      </c>
      <c r="O29" s="89">
        <f t="shared" si="28"/>
        <v>0</v>
      </c>
      <c r="P29" s="89">
        <f t="shared" si="27"/>
        <v>4</v>
      </c>
      <c r="Q29" s="89">
        <f t="shared" si="27"/>
        <v>0</v>
      </c>
      <c r="R29" s="89">
        <f t="shared" si="27"/>
        <v>9.33</v>
      </c>
      <c r="S29" s="89">
        <f t="shared" si="22"/>
        <v>13.33</v>
      </c>
      <c r="T29" s="87">
        <v>0</v>
      </c>
      <c r="U29" s="87">
        <v>1</v>
      </c>
      <c r="V29" s="87">
        <v>0</v>
      </c>
      <c r="W29" s="87">
        <v>11.75</v>
      </c>
      <c r="X29" s="89">
        <f t="shared" si="23"/>
        <v>12.75</v>
      </c>
      <c r="Y29" s="87">
        <v>0</v>
      </c>
      <c r="Z29" s="87">
        <v>1</v>
      </c>
      <c r="AA29" s="87">
        <v>0</v>
      </c>
      <c r="AB29" s="87">
        <v>11.75</v>
      </c>
      <c r="AC29" s="89">
        <f t="shared" si="24"/>
        <v>12.75</v>
      </c>
      <c r="AD29" s="89">
        <f t="shared" si="7"/>
        <v>672900</v>
      </c>
      <c r="AE29" s="89">
        <f t="shared" si="8"/>
        <v>55080</v>
      </c>
      <c r="AF29" s="89">
        <f t="shared" si="9"/>
        <v>76500</v>
      </c>
      <c r="AG29" s="89">
        <f t="shared" si="10"/>
        <v>30600</v>
      </c>
      <c r="AH29" s="89">
        <f t="shared" si="11"/>
        <v>119850</v>
      </c>
      <c r="AI29" s="89">
        <f t="shared" si="12"/>
        <v>10200</v>
      </c>
      <c r="AJ29" s="89">
        <f t="shared" si="13"/>
        <v>0</v>
      </c>
      <c r="AK29" s="89">
        <f t="shared" si="14"/>
        <v>12240</v>
      </c>
      <c r="AL29" s="89">
        <f t="shared" si="15"/>
        <v>394313.64</v>
      </c>
      <c r="AM29" s="89"/>
      <c r="AN29" s="89">
        <f t="shared" si="16"/>
        <v>1371683.6400000001</v>
      </c>
      <c r="AO29" s="99">
        <f t="shared" si="17"/>
        <v>1097347</v>
      </c>
    </row>
    <row r="30" spans="1:41" ht="17.100000000000001" customHeight="1">
      <c r="A30" s="85" t="s">
        <v>7</v>
      </c>
      <c r="B30" s="86" t="s">
        <v>625</v>
      </c>
      <c r="C30" s="86" t="s">
        <v>611</v>
      </c>
      <c r="D30" s="87"/>
      <c r="E30" s="94">
        <v>1.67</v>
      </c>
      <c r="F30" s="94">
        <v>4.67</v>
      </c>
      <c r="G30" s="94">
        <v>0</v>
      </c>
      <c r="H30" s="94">
        <v>6</v>
      </c>
      <c r="I30" s="89">
        <f t="shared" si="1"/>
        <v>12.34</v>
      </c>
      <c r="J30" s="87">
        <v>5</v>
      </c>
      <c r="K30" s="87">
        <v>0</v>
      </c>
      <c r="L30" s="87">
        <v>0</v>
      </c>
      <c r="M30" s="87">
        <v>0</v>
      </c>
      <c r="N30" s="89">
        <f t="shared" si="20"/>
        <v>5</v>
      </c>
      <c r="O30" s="89">
        <f t="shared" si="28"/>
        <v>6.67</v>
      </c>
      <c r="P30" s="89">
        <f t="shared" si="27"/>
        <v>4.67</v>
      </c>
      <c r="Q30" s="89">
        <f t="shared" si="27"/>
        <v>0</v>
      </c>
      <c r="R30" s="89">
        <f t="shared" si="27"/>
        <v>6</v>
      </c>
      <c r="S30" s="89">
        <f t="shared" si="22"/>
        <v>17.34</v>
      </c>
      <c r="T30" s="87">
        <v>4.42</v>
      </c>
      <c r="U30" s="87">
        <v>7</v>
      </c>
      <c r="V30" s="87">
        <v>0</v>
      </c>
      <c r="W30" s="87">
        <v>5</v>
      </c>
      <c r="X30" s="89">
        <f t="shared" si="23"/>
        <v>16.420000000000002</v>
      </c>
      <c r="Y30" s="87">
        <v>4.42</v>
      </c>
      <c r="Z30" s="87">
        <v>7</v>
      </c>
      <c r="AA30" s="87">
        <v>0</v>
      </c>
      <c r="AB30" s="87">
        <v>5</v>
      </c>
      <c r="AC30" s="89">
        <f t="shared" si="24"/>
        <v>16.420000000000002</v>
      </c>
      <c r="AD30" s="89">
        <f t="shared" si="7"/>
        <v>1063656</v>
      </c>
      <c r="AE30" s="89">
        <f t="shared" si="8"/>
        <v>70934.400000000009</v>
      </c>
      <c r="AF30" s="89">
        <f t="shared" si="9"/>
        <v>98520.000000000015</v>
      </c>
      <c r="AG30" s="89">
        <f t="shared" si="10"/>
        <v>39408.000000000007</v>
      </c>
      <c r="AH30" s="89">
        <f t="shared" si="11"/>
        <v>154348.00000000003</v>
      </c>
      <c r="AI30" s="89">
        <f t="shared" si="12"/>
        <v>13136.000000000002</v>
      </c>
      <c r="AJ30" s="89">
        <f t="shared" si="13"/>
        <v>0</v>
      </c>
      <c r="AK30" s="89">
        <f t="shared" si="14"/>
        <v>15763.2</v>
      </c>
      <c r="AL30" s="89">
        <f t="shared" si="15"/>
        <v>507814.11520000006</v>
      </c>
      <c r="AM30" s="89">
        <v>105120</v>
      </c>
      <c r="AN30" s="89">
        <f t="shared" si="16"/>
        <v>2068699.7152</v>
      </c>
      <c r="AO30" s="99">
        <f t="shared" si="17"/>
        <v>1654960</v>
      </c>
    </row>
    <row r="31" spans="1:41" ht="17.100000000000001" customHeight="1">
      <c r="A31" s="85" t="s">
        <v>7</v>
      </c>
      <c r="B31" s="86" t="s">
        <v>626</v>
      </c>
      <c r="C31" s="86" t="s">
        <v>609</v>
      </c>
      <c r="D31" s="87">
        <v>1</v>
      </c>
      <c r="E31" s="94">
        <v>5.33</v>
      </c>
      <c r="F31" s="94">
        <v>2</v>
      </c>
      <c r="G31" s="94">
        <v>17</v>
      </c>
      <c r="H31" s="94">
        <v>2.67</v>
      </c>
      <c r="I31" s="89">
        <f t="shared" si="1"/>
        <v>27</v>
      </c>
      <c r="J31" s="87">
        <v>3.33</v>
      </c>
      <c r="K31" s="87">
        <v>0.57999999999999996</v>
      </c>
      <c r="L31" s="87">
        <v>0</v>
      </c>
      <c r="M31" s="87">
        <v>0</v>
      </c>
      <c r="N31" s="89">
        <f t="shared" si="20"/>
        <v>3.91</v>
      </c>
      <c r="O31" s="89">
        <f t="shared" si="28"/>
        <v>8.66</v>
      </c>
      <c r="P31" s="89">
        <f t="shared" si="27"/>
        <v>2.58</v>
      </c>
      <c r="Q31" s="89">
        <f t="shared" si="27"/>
        <v>17</v>
      </c>
      <c r="R31" s="89">
        <f t="shared" si="27"/>
        <v>2.67</v>
      </c>
      <c r="S31" s="89">
        <f t="shared" si="22"/>
        <v>30.910000000000004</v>
      </c>
      <c r="T31" s="87">
        <v>8.08</v>
      </c>
      <c r="U31" s="87">
        <v>2.58</v>
      </c>
      <c r="V31" s="87">
        <v>16.5</v>
      </c>
      <c r="W31" s="87">
        <v>3.5</v>
      </c>
      <c r="X31" s="89">
        <f t="shared" si="23"/>
        <v>30.66</v>
      </c>
      <c r="Y31" s="87">
        <v>8.08</v>
      </c>
      <c r="Z31" s="87">
        <v>2.58</v>
      </c>
      <c r="AA31" s="87">
        <v>16.5</v>
      </c>
      <c r="AB31" s="87">
        <v>3.5</v>
      </c>
      <c r="AC31" s="89">
        <f t="shared" si="24"/>
        <v>30.66</v>
      </c>
      <c r="AD31" s="89">
        <f t="shared" si="7"/>
        <v>1981584</v>
      </c>
      <c r="AE31" s="89">
        <f t="shared" si="8"/>
        <v>132451.20000000001</v>
      </c>
      <c r="AF31" s="89">
        <f t="shared" si="9"/>
        <v>183960</v>
      </c>
      <c r="AG31" s="89">
        <f t="shared" si="10"/>
        <v>73584</v>
      </c>
      <c r="AH31" s="89">
        <f t="shared" si="11"/>
        <v>288204</v>
      </c>
      <c r="AI31" s="89">
        <f t="shared" si="12"/>
        <v>24528</v>
      </c>
      <c r="AJ31" s="89">
        <f t="shared" si="13"/>
        <v>10000</v>
      </c>
      <c r="AK31" s="89">
        <f t="shared" si="14"/>
        <v>29433.599999999999</v>
      </c>
      <c r="AL31" s="89">
        <f t="shared" si="15"/>
        <v>948208.32960000006</v>
      </c>
      <c r="AM31" s="89"/>
      <c r="AN31" s="89">
        <f t="shared" si="16"/>
        <v>3671953.1296000006</v>
      </c>
      <c r="AO31" s="99">
        <f t="shared" si="17"/>
        <v>2937563</v>
      </c>
    </row>
    <row r="32" spans="1:41" ht="17.100000000000001" customHeight="1">
      <c r="A32" s="85" t="s">
        <v>7</v>
      </c>
      <c r="B32" s="86" t="s">
        <v>627</v>
      </c>
      <c r="C32" s="86" t="s">
        <v>609</v>
      </c>
      <c r="D32" s="87">
        <v>1</v>
      </c>
      <c r="E32" s="94">
        <v>12</v>
      </c>
      <c r="F32" s="94">
        <v>2.33</v>
      </c>
      <c r="G32" s="94">
        <v>18.329999999999998</v>
      </c>
      <c r="H32" s="94">
        <v>2.67</v>
      </c>
      <c r="I32" s="89">
        <f t="shared" si="1"/>
        <v>35.33</v>
      </c>
      <c r="J32" s="87">
        <v>6</v>
      </c>
      <c r="K32" s="87">
        <v>1</v>
      </c>
      <c r="L32" s="87">
        <v>0</v>
      </c>
      <c r="M32" s="87">
        <v>0</v>
      </c>
      <c r="N32" s="89">
        <f t="shared" si="20"/>
        <v>7</v>
      </c>
      <c r="O32" s="89">
        <f t="shared" si="28"/>
        <v>18</v>
      </c>
      <c r="P32" s="89">
        <f t="shared" si="27"/>
        <v>3.33</v>
      </c>
      <c r="Q32" s="89">
        <f t="shared" si="27"/>
        <v>18.329999999999998</v>
      </c>
      <c r="R32" s="89">
        <f t="shared" si="27"/>
        <v>2.67</v>
      </c>
      <c r="S32" s="89">
        <f t="shared" si="22"/>
        <v>42.33</v>
      </c>
      <c r="T32" s="87">
        <v>14.17</v>
      </c>
      <c r="U32" s="87">
        <v>4.25</v>
      </c>
      <c r="V32" s="87">
        <v>20.83</v>
      </c>
      <c r="W32" s="87">
        <v>2.5</v>
      </c>
      <c r="X32" s="89">
        <f t="shared" si="23"/>
        <v>41.75</v>
      </c>
      <c r="Y32" s="87">
        <v>14.17</v>
      </c>
      <c r="Z32" s="87">
        <v>4.25</v>
      </c>
      <c r="AA32" s="87">
        <v>20.83</v>
      </c>
      <c r="AB32" s="87">
        <v>2.5</v>
      </c>
      <c r="AC32" s="89">
        <f t="shared" si="24"/>
        <v>41.75</v>
      </c>
      <c r="AD32" s="89">
        <f t="shared" si="7"/>
        <v>2773602.2399999998</v>
      </c>
      <c r="AE32" s="89">
        <f t="shared" si="8"/>
        <v>180360</v>
      </c>
      <c r="AF32" s="89">
        <f t="shared" si="9"/>
        <v>250500</v>
      </c>
      <c r="AG32" s="89">
        <f t="shared" si="10"/>
        <v>100200</v>
      </c>
      <c r="AH32" s="89">
        <f t="shared" si="11"/>
        <v>392450</v>
      </c>
      <c r="AI32" s="89">
        <f t="shared" si="12"/>
        <v>33400</v>
      </c>
      <c r="AJ32" s="89">
        <f t="shared" si="13"/>
        <v>10000</v>
      </c>
      <c r="AK32" s="89">
        <f t="shared" si="14"/>
        <v>40080</v>
      </c>
      <c r="AL32" s="89">
        <f t="shared" si="15"/>
        <v>1291183.8800000001</v>
      </c>
      <c r="AM32" s="89"/>
      <c r="AN32" s="89">
        <f t="shared" si="16"/>
        <v>5071776.12</v>
      </c>
      <c r="AO32" s="99">
        <f t="shared" si="17"/>
        <v>4057421</v>
      </c>
    </row>
    <row r="33" spans="1:41" s="93" customFormat="1" ht="17.100000000000001" customHeight="1">
      <c r="A33" s="91"/>
      <c r="B33" s="91" t="s">
        <v>628</v>
      </c>
      <c r="C33" s="91"/>
      <c r="D33" s="92">
        <f>SUM(D22:D32)</f>
        <v>8</v>
      </c>
      <c r="E33" s="92">
        <f t="shared" ref="E33:AO33" si="29">SUM(E22:E32)</f>
        <v>47.010000000000005</v>
      </c>
      <c r="F33" s="92">
        <f t="shared" si="29"/>
        <v>35</v>
      </c>
      <c r="G33" s="92">
        <f t="shared" si="29"/>
        <v>132.67000000000002</v>
      </c>
      <c r="H33" s="92">
        <f t="shared" si="29"/>
        <v>46.33</v>
      </c>
      <c r="I33" s="92">
        <f t="shared" si="29"/>
        <v>261.01</v>
      </c>
      <c r="J33" s="92">
        <f t="shared" si="29"/>
        <v>23.66</v>
      </c>
      <c r="K33" s="92">
        <f t="shared" si="29"/>
        <v>3.91</v>
      </c>
      <c r="L33" s="92">
        <f t="shared" si="29"/>
        <v>0</v>
      </c>
      <c r="M33" s="92">
        <f t="shared" si="29"/>
        <v>2</v>
      </c>
      <c r="N33" s="92">
        <f t="shared" si="29"/>
        <v>29.57</v>
      </c>
      <c r="O33" s="92">
        <f t="shared" si="29"/>
        <v>70.67</v>
      </c>
      <c r="P33" s="92">
        <f t="shared" si="29"/>
        <v>38.909999999999997</v>
      </c>
      <c r="Q33" s="92">
        <f t="shared" si="29"/>
        <v>132.67000000000002</v>
      </c>
      <c r="R33" s="92">
        <f t="shared" si="29"/>
        <v>48.33</v>
      </c>
      <c r="S33" s="92">
        <f t="shared" si="29"/>
        <v>290.58000000000004</v>
      </c>
      <c r="T33" s="92">
        <f t="shared" si="29"/>
        <v>59.92</v>
      </c>
      <c r="U33" s="92">
        <f t="shared" si="29"/>
        <v>38.33</v>
      </c>
      <c r="V33" s="92">
        <f t="shared" si="29"/>
        <v>134.82</v>
      </c>
      <c r="W33" s="92">
        <f t="shared" si="29"/>
        <v>48.5</v>
      </c>
      <c r="X33" s="92">
        <f t="shared" si="29"/>
        <v>281.57000000000005</v>
      </c>
      <c r="Y33" s="92">
        <f t="shared" si="29"/>
        <v>59.92</v>
      </c>
      <c r="Z33" s="92">
        <f t="shared" si="29"/>
        <v>38.33</v>
      </c>
      <c r="AA33" s="92">
        <f t="shared" si="29"/>
        <v>134.82</v>
      </c>
      <c r="AB33" s="92">
        <f t="shared" si="29"/>
        <v>48.5</v>
      </c>
      <c r="AC33" s="92">
        <f t="shared" si="29"/>
        <v>281.57000000000005</v>
      </c>
      <c r="AD33" s="92">
        <f t="shared" si="29"/>
        <v>17898510.959999997</v>
      </c>
      <c r="AE33" s="92">
        <f t="shared" si="29"/>
        <v>1216382.3999999999</v>
      </c>
      <c r="AF33" s="92">
        <f t="shared" si="29"/>
        <v>1689420</v>
      </c>
      <c r="AG33" s="92">
        <f t="shared" si="29"/>
        <v>675768</v>
      </c>
      <c r="AH33" s="92">
        <f t="shared" si="29"/>
        <v>2646758</v>
      </c>
      <c r="AI33" s="92">
        <f t="shared" si="29"/>
        <v>225256</v>
      </c>
      <c r="AJ33" s="92">
        <f t="shared" si="29"/>
        <v>80000</v>
      </c>
      <c r="AK33" s="92">
        <f t="shared" si="29"/>
        <v>270307.20000000007</v>
      </c>
      <c r="AL33" s="92">
        <f t="shared" si="29"/>
        <v>8707991.4991999995</v>
      </c>
      <c r="AM33" s="92">
        <f t="shared" si="29"/>
        <v>440474</v>
      </c>
      <c r="AN33" s="92">
        <f t="shared" si="29"/>
        <v>33850868.059199996</v>
      </c>
      <c r="AO33" s="92">
        <f t="shared" si="29"/>
        <v>27080695</v>
      </c>
    </row>
    <row r="34" spans="1:41" ht="17.100000000000001" customHeight="1">
      <c r="A34" s="85" t="s">
        <v>6</v>
      </c>
      <c r="B34" s="86" t="s">
        <v>629</v>
      </c>
      <c r="C34" s="86" t="s">
        <v>609</v>
      </c>
      <c r="D34" s="87">
        <v>2</v>
      </c>
      <c r="E34" s="94">
        <v>1</v>
      </c>
      <c r="F34" s="94">
        <v>3.66</v>
      </c>
      <c r="G34" s="94">
        <v>30</v>
      </c>
      <c r="H34" s="94">
        <v>5</v>
      </c>
      <c r="I34" s="89">
        <f t="shared" si="1"/>
        <v>39.659999999999997</v>
      </c>
      <c r="J34" s="87">
        <v>1</v>
      </c>
      <c r="K34" s="87">
        <v>0.83</v>
      </c>
      <c r="L34" s="87"/>
      <c r="M34" s="87"/>
      <c r="N34" s="89">
        <f t="shared" si="20"/>
        <v>1.83</v>
      </c>
      <c r="O34" s="89">
        <f t="shared" ref="O34:R48" si="30">E34+J34</f>
        <v>2</v>
      </c>
      <c r="P34" s="89">
        <f t="shared" si="30"/>
        <v>4.49</v>
      </c>
      <c r="Q34" s="89">
        <f t="shared" si="30"/>
        <v>30</v>
      </c>
      <c r="R34" s="89">
        <f t="shared" si="30"/>
        <v>5</v>
      </c>
      <c r="S34" s="89">
        <f t="shared" si="22"/>
        <v>41.49</v>
      </c>
      <c r="T34" s="87">
        <v>4.17</v>
      </c>
      <c r="U34" s="87">
        <v>5.0599999999999996</v>
      </c>
      <c r="V34" s="87">
        <v>27.99</v>
      </c>
      <c r="W34" s="87">
        <v>4.22</v>
      </c>
      <c r="X34" s="89">
        <f t="shared" si="23"/>
        <v>41.44</v>
      </c>
      <c r="Y34" s="87">
        <v>4.17</v>
      </c>
      <c r="Z34" s="87">
        <v>5.0599999999999996</v>
      </c>
      <c r="AA34" s="87">
        <v>27.99</v>
      </c>
      <c r="AB34" s="87">
        <v>4.22</v>
      </c>
      <c r="AC34" s="89">
        <f t="shared" si="24"/>
        <v>41.44</v>
      </c>
      <c r="AD34" s="89">
        <f t="shared" si="7"/>
        <v>2585976.7199999997</v>
      </c>
      <c r="AE34" s="89">
        <f t="shared" si="8"/>
        <v>179020.79999999999</v>
      </c>
      <c r="AF34" s="89">
        <f t="shared" si="9"/>
        <v>248640</v>
      </c>
      <c r="AG34" s="89">
        <f t="shared" si="10"/>
        <v>99456</v>
      </c>
      <c r="AH34" s="89">
        <f t="shared" si="11"/>
        <v>389536</v>
      </c>
      <c r="AI34" s="89">
        <f t="shared" si="12"/>
        <v>33152</v>
      </c>
      <c r="AJ34" s="89">
        <f t="shared" si="13"/>
        <v>20000</v>
      </c>
      <c r="AK34" s="89">
        <f t="shared" si="14"/>
        <v>39782.399999999994</v>
      </c>
      <c r="AL34" s="89">
        <f t="shared" si="15"/>
        <v>1281596.6464</v>
      </c>
      <c r="AM34" s="89"/>
      <c r="AN34" s="89">
        <f t="shared" si="16"/>
        <v>4877160.566399999</v>
      </c>
      <c r="AO34" s="99">
        <f t="shared" si="17"/>
        <v>3901728</v>
      </c>
    </row>
    <row r="35" spans="1:41" ht="17.100000000000001" customHeight="1">
      <c r="A35" s="85" t="s">
        <v>6</v>
      </c>
      <c r="B35" s="86" t="s">
        <v>630</v>
      </c>
      <c r="C35" s="86" t="s">
        <v>609</v>
      </c>
      <c r="D35" s="87">
        <v>2</v>
      </c>
      <c r="E35" s="94">
        <v>0</v>
      </c>
      <c r="F35" s="94">
        <v>2</v>
      </c>
      <c r="G35" s="94">
        <v>28.67</v>
      </c>
      <c r="H35" s="94">
        <v>2.67</v>
      </c>
      <c r="I35" s="89">
        <f t="shared" si="1"/>
        <v>33.340000000000003</v>
      </c>
      <c r="J35" s="87"/>
      <c r="K35" s="87"/>
      <c r="L35" s="87"/>
      <c r="M35" s="87"/>
      <c r="N35" s="89">
        <f t="shared" si="20"/>
        <v>0</v>
      </c>
      <c r="O35" s="89">
        <f t="shared" si="30"/>
        <v>0</v>
      </c>
      <c r="P35" s="89">
        <f t="shared" si="30"/>
        <v>2</v>
      </c>
      <c r="Q35" s="89">
        <f t="shared" si="30"/>
        <v>28.67</v>
      </c>
      <c r="R35" s="89">
        <f t="shared" si="30"/>
        <v>2.67</v>
      </c>
      <c r="S35" s="89">
        <f t="shared" si="22"/>
        <v>33.340000000000003</v>
      </c>
      <c r="T35" s="87">
        <v>0</v>
      </c>
      <c r="U35" s="87">
        <v>2</v>
      </c>
      <c r="V35" s="87">
        <v>23.67</v>
      </c>
      <c r="W35" s="87">
        <v>3</v>
      </c>
      <c r="X35" s="89">
        <f t="shared" si="23"/>
        <v>28.67</v>
      </c>
      <c r="Y35" s="87">
        <v>0</v>
      </c>
      <c r="Z35" s="87">
        <v>2</v>
      </c>
      <c r="AA35" s="87">
        <v>23.67</v>
      </c>
      <c r="AB35" s="87">
        <v>3</v>
      </c>
      <c r="AC35" s="89">
        <f t="shared" si="24"/>
        <v>28.67</v>
      </c>
      <c r="AD35" s="89">
        <f t="shared" si="7"/>
        <v>1734899.7600000002</v>
      </c>
      <c r="AE35" s="89">
        <f t="shared" si="8"/>
        <v>123854.40000000001</v>
      </c>
      <c r="AF35" s="89">
        <f t="shared" si="9"/>
        <v>172020</v>
      </c>
      <c r="AG35" s="89">
        <f t="shared" si="10"/>
        <v>68808</v>
      </c>
      <c r="AH35" s="89">
        <f t="shared" si="11"/>
        <v>269498</v>
      </c>
      <c r="AI35" s="89">
        <f t="shared" si="12"/>
        <v>22936</v>
      </c>
      <c r="AJ35" s="89">
        <f t="shared" si="13"/>
        <v>20000</v>
      </c>
      <c r="AK35" s="89">
        <f t="shared" si="14"/>
        <v>27523.200000000001</v>
      </c>
      <c r="AL35" s="89">
        <f t="shared" si="15"/>
        <v>886664.4752000001</v>
      </c>
      <c r="AM35" s="89"/>
      <c r="AN35" s="89">
        <f t="shared" si="16"/>
        <v>3326203.8352000006</v>
      </c>
      <c r="AO35" s="99">
        <f t="shared" si="17"/>
        <v>2660963</v>
      </c>
    </row>
    <row r="36" spans="1:41" ht="17.100000000000001" customHeight="1">
      <c r="A36" s="85" t="s">
        <v>6</v>
      </c>
      <c r="B36" s="86" t="s">
        <v>631</v>
      </c>
      <c r="C36" s="86" t="s">
        <v>609</v>
      </c>
      <c r="D36" s="87">
        <v>4</v>
      </c>
      <c r="E36" s="94">
        <v>16</v>
      </c>
      <c r="F36" s="94">
        <v>3.67</v>
      </c>
      <c r="G36" s="94">
        <v>46</v>
      </c>
      <c r="H36" s="94">
        <v>5</v>
      </c>
      <c r="I36" s="89">
        <f t="shared" si="1"/>
        <v>70.67</v>
      </c>
      <c r="J36" s="87">
        <v>3</v>
      </c>
      <c r="K36" s="87">
        <v>0.33</v>
      </c>
      <c r="L36" s="87">
        <v>2</v>
      </c>
      <c r="M36" s="87">
        <v>0.33</v>
      </c>
      <c r="N36" s="89">
        <f t="shared" si="20"/>
        <v>5.66</v>
      </c>
      <c r="O36" s="89">
        <f t="shared" si="30"/>
        <v>19</v>
      </c>
      <c r="P36" s="89">
        <f t="shared" si="30"/>
        <v>4</v>
      </c>
      <c r="Q36" s="89">
        <f t="shared" si="30"/>
        <v>48</v>
      </c>
      <c r="R36" s="89">
        <f t="shared" si="30"/>
        <v>5.33</v>
      </c>
      <c r="S36" s="89">
        <f t="shared" si="22"/>
        <v>76.33</v>
      </c>
      <c r="T36" s="87">
        <v>13</v>
      </c>
      <c r="U36" s="87">
        <v>10.33</v>
      </c>
      <c r="V36" s="87">
        <v>46</v>
      </c>
      <c r="W36" s="87">
        <v>5.33</v>
      </c>
      <c r="X36" s="89">
        <f t="shared" si="23"/>
        <v>74.66</v>
      </c>
      <c r="Y36" s="87">
        <v>13</v>
      </c>
      <c r="Z36" s="87">
        <v>10.33</v>
      </c>
      <c r="AA36" s="87">
        <v>46</v>
      </c>
      <c r="AB36" s="87">
        <v>5.33</v>
      </c>
      <c r="AC36" s="89">
        <f t="shared" si="24"/>
        <v>74.66</v>
      </c>
      <c r="AD36" s="89">
        <f t="shared" si="7"/>
        <v>4773294</v>
      </c>
      <c r="AE36" s="89">
        <f t="shared" si="8"/>
        <v>322531.20000000001</v>
      </c>
      <c r="AF36" s="89">
        <f t="shared" si="9"/>
        <v>447960</v>
      </c>
      <c r="AG36" s="89">
        <f t="shared" si="10"/>
        <v>179184</v>
      </c>
      <c r="AH36" s="89">
        <f t="shared" si="11"/>
        <v>701804</v>
      </c>
      <c r="AI36" s="89">
        <f t="shared" si="12"/>
        <v>59728</v>
      </c>
      <c r="AJ36" s="89">
        <f t="shared" si="13"/>
        <v>40000</v>
      </c>
      <c r="AK36" s="89">
        <f t="shared" si="14"/>
        <v>71673.599999999991</v>
      </c>
      <c r="AL36" s="89">
        <f t="shared" si="15"/>
        <v>2308976.9696</v>
      </c>
      <c r="AM36" s="89"/>
      <c r="AN36" s="89">
        <f t="shared" si="16"/>
        <v>8905151.7696000002</v>
      </c>
      <c r="AO36" s="99">
        <f t="shared" si="17"/>
        <v>7124121</v>
      </c>
    </row>
    <row r="37" spans="1:41" ht="17.100000000000001" customHeight="1">
      <c r="A37" s="85" t="s">
        <v>6</v>
      </c>
      <c r="B37" s="86" t="s">
        <v>414</v>
      </c>
      <c r="C37" s="86" t="s">
        <v>609</v>
      </c>
      <c r="D37" s="87">
        <v>2</v>
      </c>
      <c r="E37" s="94">
        <v>0</v>
      </c>
      <c r="F37" s="94">
        <v>3</v>
      </c>
      <c r="G37" s="94">
        <v>25</v>
      </c>
      <c r="H37" s="94">
        <v>2.67</v>
      </c>
      <c r="I37" s="89">
        <f t="shared" si="1"/>
        <v>30.67</v>
      </c>
      <c r="J37" s="87">
        <v>2</v>
      </c>
      <c r="K37" s="87"/>
      <c r="L37" s="87"/>
      <c r="M37" s="87"/>
      <c r="N37" s="89">
        <f t="shared" si="20"/>
        <v>2</v>
      </c>
      <c r="O37" s="89">
        <f t="shared" si="30"/>
        <v>2</v>
      </c>
      <c r="P37" s="89">
        <f t="shared" si="30"/>
        <v>3</v>
      </c>
      <c r="Q37" s="89">
        <f t="shared" si="30"/>
        <v>25</v>
      </c>
      <c r="R37" s="89">
        <f t="shared" si="30"/>
        <v>2.67</v>
      </c>
      <c r="S37" s="89">
        <f t="shared" si="22"/>
        <v>32.67</v>
      </c>
      <c r="T37" s="87">
        <v>5.25</v>
      </c>
      <c r="U37" s="87">
        <v>1</v>
      </c>
      <c r="V37" s="87">
        <v>24.08</v>
      </c>
      <c r="W37" s="87">
        <v>1.67</v>
      </c>
      <c r="X37" s="89">
        <f t="shared" si="23"/>
        <v>32</v>
      </c>
      <c r="Y37" s="87">
        <v>5.25</v>
      </c>
      <c r="Z37" s="87">
        <v>1</v>
      </c>
      <c r="AA37" s="87">
        <v>24.08</v>
      </c>
      <c r="AB37" s="87">
        <v>1.67</v>
      </c>
      <c r="AC37" s="89">
        <f t="shared" si="24"/>
        <v>32</v>
      </c>
      <c r="AD37" s="89">
        <f t="shared" si="7"/>
        <v>2027934.2399999998</v>
      </c>
      <c r="AE37" s="89">
        <f t="shared" si="8"/>
        <v>138240</v>
      </c>
      <c r="AF37" s="89">
        <f t="shared" si="9"/>
        <v>192000</v>
      </c>
      <c r="AG37" s="89">
        <f t="shared" si="10"/>
        <v>76800</v>
      </c>
      <c r="AH37" s="89">
        <f t="shared" si="11"/>
        <v>300800</v>
      </c>
      <c r="AI37" s="89">
        <f t="shared" si="12"/>
        <v>25600</v>
      </c>
      <c r="AJ37" s="89">
        <f t="shared" si="13"/>
        <v>20000</v>
      </c>
      <c r="AK37" s="89">
        <f t="shared" si="14"/>
        <v>30720</v>
      </c>
      <c r="AL37" s="89">
        <f t="shared" si="15"/>
        <v>989649.92000000004</v>
      </c>
      <c r="AM37" s="89"/>
      <c r="AN37" s="89">
        <f t="shared" si="16"/>
        <v>3801744.1599999997</v>
      </c>
      <c r="AO37" s="99">
        <f t="shared" si="17"/>
        <v>3041395</v>
      </c>
    </row>
    <row r="38" spans="1:41" ht="17.100000000000001" customHeight="1">
      <c r="A38" s="85" t="s">
        <v>6</v>
      </c>
      <c r="B38" s="86" t="s">
        <v>413</v>
      </c>
      <c r="C38" s="86" t="s">
        <v>609</v>
      </c>
      <c r="D38" s="87">
        <v>3</v>
      </c>
      <c r="E38" s="94">
        <v>0</v>
      </c>
      <c r="F38" s="94">
        <v>2</v>
      </c>
      <c r="G38" s="94">
        <v>33.33</v>
      </c>
      <c r="H38" s="94">
        <v>3.67</v>
      </c>
      <c r="I38" s="89">
        <f t="shared" si="1"/>
        <v>39</v>
      </c>
      <c r="J38" s="87">
        <v>2</v>
      </c>
      <c r="K38" s="87"/>
      <c r="L38" s="87"/>
      <c r="M38" s="87"/>
      <c r="N38" s="89">
        <f t="shared" si="20"/>
        <v>2</v>
      </c>
      <c r="O38" s="89">
        <f t="shared" si="30"/>
        <v>2</v>
      </c>
      <c r="P38" s="89">
        <f t="shared" si="30"/>
        <v>2</v>
      </c>
      <c r="Q38" s="89">
        <f t="shared" si="30"/>
        <v>33.33</v>
      </c>
      <c r="R38" s="89">
        <f t="shared" si="30"/>
        <v>3.67</v>
      </c>
      <c r="S38" s="89">
        <f t="shared" si="22"/>
        <v>41</v>
      </c>
      <c r="T38" s="87">
        <v>4</v>
      </c>
      <c r="U38" s="87">
        <v>2</v>
      </c>
      <c r="V38" s="87">
        <v>30.92</v>
      </c>
      <c r="W38" s="87">
        <v>4</v>
      </c>
      <c r="X38" s="89">
        <f t="shared" si="23"/>
        <v>40.92</v>
      </c>
      <c r="Y38" s="87">
        <v>4</v>
      </c>
      <c r="Z38" s="87">
        <v>2</v>
      </c>
      <c r="AA38" s="87">
        <v>30.92</v>
      </c>
      <c r="AB38" s="87">
        <v>4</v>
      </c>
      <c r="AC38" s="89">
        <f t="shared" si="24"/>
        <v>40.92</v>
      </c>
      <c r="AD38" s="89">
        <f t="shared" si="7"/>
        <v>2536877.7600000002</v>
      </c>
      <c r="AE38" s="89">
        <f t="shared" si="8"/>
        <v>176774.39999999999</v>
      </c>
      <c r="AF38" s="89">
        <f t="shared" si="9"/>
        <v>245520</v>
      </c>
      <c r="AG38" s="89">
        <f t="shared" si="10"/>
        <v>98208</v>
      </c>
      <c r="AH38" s="89">
        <f t="shared" si="11"/>
        <v>384648</v>
      </c>
      <c r="AI38" s="89">
        <f t="shared" si="12"/>
        <v>32736</v>
      </c>
      <c r="AJ38" s="89">
        <f t="shared" si="13"/>
        <v>30000</v>
      </c>
      <c r="AK38" s="89">
        <f t="shared" si="14"/>
        <v>39283.200000000004</v>
      </c>
      <c r="AL38" s="89">
        <f t="shared" si="15"/>
        <v>1265514.8352000001</v>
      </c>
      <c r="AM38" s="89"/>
      <c r="AN38" s="89">
        <f t="shared" si="16"/>
        <v>4809562.1952</v>
      </c>
      <c r="AO38" s="99">
        <f t="shared" si="17"/>
        <v>3847650</v>
      </c>
    </row>
    <row r="39" spans="1:41" ht="17.100000000000001" customHeight="1">
      <c r="A39" s="85" t="s">
        <v>6</v>
      </c>
      <c r="B39" s="86" t="s">
        <v>632</v>
      </c>
      <c r="C39" s="86" t="s">
        <v>611</v>
      </c>
      <c r="D39" s="87"/>
      <c r="E39" s="94">
        <v>0</v>
      </c>
      <c r="F39" s="94">
        <v>3</v>
      </c>
      <c r="G39" s="94">
        <v>0</v>
      </c>
      <c r="H39" s="94">
        <v>5.67</v>
      </c>
      <c r="I39" s="89">
        <f t="shared" si="1"/>
        <v>8.67</v>
      </c>
      <c r="J39" s="87"/>
      <c r="K39" s="87"/>
      <c r="L39" s="87"/>
      <c r="M39" s="87"/>
      <c r="N39" s="89">
        <f t="shared" si="20"/>
        <v>0</v>
      </c>
      <c r="O39" s="89">
        <f t="shared" si="30"/>
        <v>0</v>
      </c>
      <c r="P39" s="89">
        <f t="shared" si="30"/>
        <v>3</v>
      </c>
      <c r="Q39" s="89">
        <f t="shared" si="30"/>
        <v>0</v>
      </c>
      <c r="R39" s="89">
        <f t="shared" si="30"/>
        <v>5.67</v>
      </c>
      <c r="S39" s="89">
        <f t="shared" si="22"/>
        <v>8.67</v>
      </c>
      <c r="T39" s="87">
        <v>0</v>
      </c>
      <c r="U39" s="87">
        <v>1</v>
      </c>
      <c r="V39" s="87">
        <v>0</v>
      </c>
      <c r="W39" s="87">
        <v>6.33</v>
      </c>
      <c r="X39" s="89">
        <f t="shared" si="23"/>
        <v>7.33</v>
      </c>
      <c r="Y39" s="87">
        <v>0</v>
      </c>
      <c r="Z39" s="87">
        <v>1</v>
      </c>
      <c r="AA39" s="87">
        <v>0</v>
      </c>
      <c r="AB39" s="87">
        <v>6.33</v>
      </c>
      <c r="AC39" s="89">
        <f t="shared" si="24"/>
        <v>7.33</v>
      </c>
      <c r="AD39" s="89">
        <f t="shared" si="7"/>
        <v>393228</v>
      </c>
      <c r="AE39" s="89">
        <f t="shared" si="8"/>
        <v>31665.599999999999</v>
      </c>
      <c r="AF39" s="89">
        <f t="shared" si="9"/>
        <v>43980</v>
      </c>
      <c r="AG39" s="89">
        <f t="shared" si="10"/>
        <v>17592</v>
      </c>
      <c r="AH39" s="89">
        <f t="shared" si="11"/>
        <v>68902</v>
      </c>
      <c r="AI39" s="89">
        <f t="shared" si="12"/>
        <v>5864</v>
      </c>
      <c r="AJ39" s="89">
        <f t="shared" si="13"/>
        <v>0</v>
      </c>
      <c r="AK39" s="89">
        <f t="shared" si="14"/>
        <v>7036.8</v>
      </c>
      <c r="AL39" s="89">
        <f t="shared" si="15"/>
        <v>226691.68480000002</v>
      </c>
      <c r="AM39" s="89"/>
      <c r="AN39" s="89">
        <f t="shared" si="16"/>
        <v>794960.08480000007</v>
      </c>
      <c r="AO39" s="99">
        <f t="shared" si="17"/>
        <v>635968</v>
      </c>
    </row>
    <row r="40" spans="1:41" ht="17.100000000000001" customHeight="1">
      <c r="A40" s="85" t="s">
        <v>6</v>
      </c>
      <c r="B40" s="86" t="s">
        <v>633</v>
      </c>
      <c r="C40" s="86" t="s">
        <v>611</v>
      </c>
      <c r="D40" s="87"/>
      <c r="E40" s="94">
        <v>0.67</v>
      </c>
      <c r="F40" s="94">
        <v>6</v>
      </c>
      <c r="G40" s="94">
        <v>0</v>
      </c>
      <c r="H40" s="94">
        <v>8</v>
      </c>
      <c r="I40" s="89">
        <f t="shared" si="1"/>
        <v>14.67</v>
      </c>
      <c r="J40" s="87">
        <v>2.75</v>
      </c>
      <c r="K40" s="87">
        <v>0</v>
      </c>
      <c r="L40" s="87">
        <v>0</v>
      </c>
      <c r="M40" s="87">
        <v>0</v>
      </c>
      <c r="N40" s="89">
        <f t="shared" si="20"/>
        <v>2.75</v>
      </c>
      <c r="O40" s="89">
        <f t="shared" si="30"/>
        <v>3.42</v>
      </c>
      <c r="P40" s="89">
        <f t="shared" si="30"/>
        <v>6</v>
      </c>
      <c r="Q40" s="89">
        <f t="shared" si="30"/>
        <v>0</v>
      </c>
      <c r="R40" s="89">
        <f t="shared" si="30"/>
        <v>8</v>
      </c>
      <c r="S40" s="89">
        <f t="shared" si="22"/>
        <v>17.420000000000002</v>
      </c>
      <c r="T40" s="87">
        <v>4.08</v>
      </c>
      <c r="U40" s="87">
        <v>3.83</v>
      </c>
      <c r="V40" s="87">
        <v>0</v>
      </c>
      <c r="W40" s="87">
        <v>7.75</v>
      </c>
      <c r="X40" s="89">
        <f t="shared" si="23"/>
        <v>15.66</v>
      </c>
      <c r="Y40" s="87">
        <v>4.08</v>
      </c>
      <c r="Z40" s="87">
        <v>3.83</v>
      </c>
      <c r="AA40" s="87">
        <v>0</v>
      </c>
      <c r="AB40" s="87">
        <v>7.75</v>
      </c>
      <c r="AC40" s="89">
        <f t="shared" si="24"/>
        <v>15.66</v>
      </c>
      <c r="AD40" s="89">
        <f t="shared" si="7"/>
        <v>968322</v>
      </c>
      <c r="AE40" s="89">
        <f t="shared" si="8"/>
        <v>67651.199999999997</v>
      </c>
      <c r="AF40" s="89">
        <f t="shared" si="9"/>
        <v>93960</v>
      </c>
      <c r="AG40" s="89">
        <f t="shared" si="10"/>
        <v>37584</v>
      </c>
      <c r="AH40" s="89">
        <f t="shared" si="11"/>
        <v>147204</v>
      </c>
      <c r="AI40" s="89">
        <f t="shared" si="12"/>
        <v>12528</v>
      </c>
      <c r="AJ40" s="89">
        <f t="shared" si="13"/>
        <v>0</v>
      </c>
      <c r="AK40" s="89">
        <f t="shared" si="14"/>
        <v>15033.6</v>
      </c>
      <c r="AL40" s="89">
        <f t="shared" si="15"/>
        <v>484309.92960000003</v>
      </c>
      <c r="AM40" s="89">
        <v>12877.5</v>
      </c>
      <c r="AN40" s="89">
        <f t="shared" si="16"/>
        <v>1839470.2296000002</v>
      </c>
      <c r="AO40" s="99">
        <f t="shared" si="17"/>
        <v>1471576</v>
      </c>
    </row>
    <row r="41" spans="1:41" ht="17.100000000000001" customHeight="1">
      <c r="A41" s="85" t="s">
        <v>6</v>
      </c>
      <c r="B41" s="86" t="s">
        <v>410</v>
      </c>
      <c r="C41" s="86" t="s">
        <v>611</v>
      </c>
      <c r="D41" s="87"/>
      <c r="E41" s="94">
        <v>0</v>
      </c>
      <c r="F41" s="94">
        <v>4.33</v>
      </c>
      <c r="G41" s="94">
        <v>0</v>
      </c>
      <c r="H41" s="94">
        <v>5.67</v>
      </c>
      <c r="I41" s="89">
        <f t="shared" si="1"/>
        <v>10</v>
      </c>
      <c r="J41" s="87"/>
      <c r="K41" s="87"/>
      <c r="L41" s="87"/>
      <c r="M41" s="87"/>
      <c r="N41" s="89">
        <f t="shared" si="20"/>
        <v>0</v>
      </c>
      <c r="O41" s="89">
        <f t="shared" si="30"/>
        <v>0</v>
      </c>
      <c r="P41" s="89">
        <f t="shared" si="30"/>
        <v>4.33</v>
      </c>
      <c r="Q41" s="89">
        <f t="shared" si="30"/>
        <v>0</v>
      </c>
      <c r="R41" s="89">
        <f t="shared" si="30"/>
        <v>5.67</v>
      </c>
      <c r="S41" s="89">
        <f t="shared" si="22"/>
        <v>10</v>
      </c>
      <c r="T41" s="87">
        <v>0.5</v>
      </c>
      <c r="U41" s="87">
        <v>2</v>
      </c>
      <c r="V41" s="87">
        <v>2</v>
      </c>
      <c r="W41" s="87">
        <v>3</v>
      </c>
      <c r="X41" s="89">
        <f t="shared" si="23"/>
        <v>7.5</v>
      </c>
      <c r="Y41" s="87">
        <v>0.5</v>
      </c>
      <c r="Z41" s="87">
        <v>2</v>
      </c>
      <c r="AA41" s="87">
        <v>2</v>
      </c>
      <c r="AB41" s="87">
        <v>3</v>
      </c>
      <c r="AC41" s="89">
        <f t="shared" si="24"/>
        <v>7.5</v>
      </c>
      <c r="AD41" s="89">
        <f t="shared" si="7"/>
        <v>448656</v>
      </c>
      <c r="AE41" s="89">
        <f t="shared" si="8"/>
        <v>32400</v>
      </c>
      <c r="AF41" s="89">
        <f t="shared" si="9"/>
        <v>45000</v>
      </c>
      <c r="AG41" s="89">
        <f t="shared" si="10"/>
        <v>18000</v>
      </c>
      <c r="AH41" s="89">
        <f t="shared" si="11"/>
        <v>70500</v>
      </c>
      <c r="AI41" s="89">
        <f t="shared" si="12"/>
        <v>6000</v>
      </c>
      <c r="AJ41" s="89">
        <f t="shared" si="13"/>
        <v>0</v>
      </c>
      <c r="AK41" s="89">
        <f t="shared" si="14"/>
        <v>7200</v>
      </c>
      <c r="AL41" s="89">
        <f t="shared" si="15"/>
        <v>231949.2</v>
      </c>
      <c r="AM41" s="89"/>
      <c r="AN41" s="89">
        <f t="shared" si="16"/>
        <v>859705.2</v>
      </c>
      <c r="AO41" s="99">
        <f t="shared" si="17"/>
        <v>687764</v>
      </c>
    </row>
    <row r="42" spans="1:41" ht="17.100000000000001" customHeight="1">
      <c r="A42" s="85" t="s">
        <v>6</v>
      </c>
      <c r="B42" s="86" t="s">
        <v>634</v>
      </c>
      <c r="C42" s="86" t="s">
        <v>611</v>
      </c>
      <c r="D42" s="87"/>
      <c r="E42" s="94"/>
      <c r="F42" s="94"/>
      <c r="G42" s="94"/>
      <c r="H42" s="94">
        <v>5</v>
      </c>
      <c r="I42" s="89">
        <f t="shared" si="1"/>
        <v>5</v>
      </c>
      <c r="J42" s="87"/>
      <c r="K42" s="87">
        <v>3.25</v>
      </c>
      <c r="L42" s="87"/>
      <c r="M42" s="87">
        <v>3</v>
      </c>
      <c r="N42" s="89">
        <f t="shared" si="20"/>
        <v>6.25</v>
      </c>
      <c r="O42" s="89">
        <f t="shared" si="30"/>
        <v>0</v>
      </c>
      <c r="P42" s="89">
        <f t="shared" si="30"/>
        <v>3.25</v>
      </c>
      <c r="Q42" s="89">
        <f t="shared" si="30"/>
        <v>0</v>
      </c>
      <c r="R42" s="89">
        <f t="shared" si="30"/>
        <v>8</v>
      </c>
      <c r="S42" s="89">
        <f t="shared" si="22"/>
        <v>11.25</v>
      </c>
      <c r="T42" s="87">
        <v>0</v>
      </c>
      <c r="U42" s="87">
        <v>3.25</v>
      </c>
      <c r="V42" s="87">
        <v>1</v>
      </c>
      <c r="W42" s="87">
        <v>7</v>
      </c>
      <c r="X42" s="89">
        <f t="shared" si="23"/>
        <v>11.25</v>
      </c>
      <c r="Y42" s="87">
        <v>0</v>
      </c>
      <c r="Z42" s="87">
        <v>3.25</v>
      </c>
      <c r="AA42" s="87">
        <v>1</v>
      </c>
      <c r="AB42" s="87">
        <v>7</v>
      </c>
      <c r="AC42" s="89">
        <f t="shared" si="24"/>
        <v>11.25</v>
      </c>
      <c r="AD42" s="89">
        <f t="shared" si="7"/>
        <v>638778</v>
      </c>
      <c r="AE42" s="89">
        <f t="shared" si="8"/>
        <v>48600</v>
      </c>
      <c r="AF42" s="89">
        <f t="shared" si="9"/>
        <v>67500</v>
      </c>
      <c r="AG42" s="89">
        <f t="shared" si="10"/>
        <v>27000</v>
      </c>
      <c r="AH42" s="89">
        <f t="shared" si="11"/>
        <v>105750</v>
      </c>
      <c r="AI42" s="89">
        <f t="shared" si="12"/>
        <v>9000</v>
      </c>
      <c r="AJ42" s="89">
        <f t="shared" si="13"/>
        <v>0</v>
      </c>
      <c r="AK42" s="89">
        <f t="shared" si="14"/>
        <v>10800</v>
      </c>
      <c r="AL42" s="89">
        <f t="shared" si="15"/>
        <v>347923.8</v>
      </c>
      <c r="AM42" s="89"/>
      <c r="AN42" s="89">
        <f t="shared" si="16"/>
        <v>1255351.8</v>
      </c>
      <c r="AO42" s="99">
        <f t="shared" si="17"/>
        <v>1004281</v>
      </c>
    </row>
    <row r="43" spans="1:41" ht="17.100000000000001" customHeight="1">
      <c r="A43" s="85" t="s">
        <v>6</v>
      </c>
      <c r="B43" s="86" t="s">
        <v>407</v>
      </c>
      <c r="C43" s="86" t="s">
        <v>611</v>
      </c>
      <c r="D43" s="87"/>
      <c r="E43" s="94">
        <v>0.67</v>
      </c>
      <c r="F43" s="94">
        <v>4</v>
      </c>
      <c r="G43" s="94">
        <v>0</v>
      </c>
      <c r="H43" s="94">
        <v>5</v>
      </c>
      <c r="I43" s="89">
        <f t="shared" si="1"/>
        <v>9.67</v>
      </c>
      <c r="J43" s="87">
        <v>0</v>
      </c>
      <c r="K43" s="87">
        <v>2</v>
      </c>
      <c r="L43" s="87">
        <v>0</v>
      </c>
      <c r="M43" s="87">
        <v>0</v>
      </c>
      <c r="N43" s="89">
        <f t="shared" si="20"/>
        <v>2</v>
      </c>
      <c r="O43" s="89">
        <f t="shared" si="30"/>
        <v>0.67</v>
      </c>
      <c r="P43" s="89">
        <f t="shared" si="30"/>
        <v>6</v>
      </c>
      <c r="Q43" s="89">
        <f t="shared" si="30"/>
        <v>0</v>
      </c>
      <c r="R43" s="89">
        <f t="shared" si="30"/>
        <v>5</v>
      </c>
      <c r="S43" s="89">
        <f t="shared" si="22"/>
        <v>11.67</v>
      </c>
      <c r="T43" s="87">
        <v>1</v>
      </c>
      <c r="U43" s="87">
        <v>6</v>
      </c>
      <c r="V43" s="87">
        <v>0</v>
      </c>
      <c r="W43" s="87">
        <v>4</v>
      </c>
      <c r="X43" s="89">
        <f t="shared" si="23"/>
        <v>11</v>
      </c>
      <c r="Y43" s="87">
        <v>1</v>
      </c>
      <c r="Z43" s="87">
        <v>6</v>
      </c>
      <c r="AA43" s="87">
        <v>0</v>
      </c>
      <c r="AB43" s="87">
        <v>4</v>
      </c>
      <c r="AC43" s="89">
        <f t="shared" si="24"/>
        <v>11</v>
      </c>
      <c r="AD43" s="89">
        <f t="shared" si="7"/>
        <v>682800</v>
      </c>
      <c r="AE43" s="89">
        <f t="shared" si="8"/>
        <v>47520</v>
      </c>
      <c r="AF43" s="89">
        <f t="shared" si="9"/>
        <v>66000</v>
      </c>
      <c r="AG43" s="89">
        <f t="shared" si="10"/>
        <v>26400</v>
      </c>
      <c r="AH43" s="89">
        <f t="shared" si="11"/>
        <v>103400</v>
      </c>
      <c r="AI43" s="89">
        <f t="shared" si="12"/>
        <v>8800</v>
      </c>
      <c r="AJ43" s="89">
        <f t="shared" si="13"/>
        <v>0</v>
      </c>
      <c r="AK43" s="89">
        <f t="shared" si="14"/>
        <v>10560</v>
      </c>
      <c r="AL43" s="89">
        <f t="shared" si="15"/>
        <v>340192.16000000003</v>
      </c>
      <c r="AM43" s="89"/>
      <c r="AN43" s="89">
        <f t="shared" si="16"/>
        <v>1285672.1600000001</v>
      </c>
      <c r="AO43" s="99">
        <f t="shared" si="17"/>
        <v>1028538</v>
      </c>
    </row>
    <row r="44" spans="1:41" ht="17.100000000000001" customHeight="1">
      <c r="A44" s="85" t="s">
        <v>6</v>
      </c>
      <c r="B44" s="86" t="s">
        <v>635</v>
      </c>
      <c r="C44" s="86" t="s">
        <v>611</v>
      </c>
      <c r="D44" s="87"/>
      <c r="E44" s="94">
        <v>0</v>
      </c>
      <c r="F44" s="94">
        <v>4.67</v>
      </c>
      <c r="G44" s="94">
        <v>0</v>
      </c>
      <c r="H44" s="94">
        <v>10.33</v>
      </c>
      <c r="I44" s="89">
        <f t="shared" si="1"/>
        <v>15</v>
      </c>
      <c r="J44" s="87"/>
      <c r="K44" s="87">
        <v>2</v>
      </c>
      <c r="L44" s="87"/>
      <c r="M44" s="87"/>
      <c r="N44" s="89">
        <f t="shared" si="20"/>
        <v>2</v>
      </c>
      <c r="O44" s="89">
        <f t="shared" si="30"/>
        <v>0</v>
      </c>
      <c r="P44" s="89">
        <f t="shared" si="30"/>
        <v>6.67</v>
      </c>
      <c r="Q44" s="89">
        <f t="shared" si="30"/>
        <v>0</v>
      </c>
      <c r="R44" s="89">
        <f t="shared" si="30"/>
        <v>10.33</v>
      </c>
      <c r="S44" s="89">
        <f t="shared" si="22"/>
        <v>17</v>
      </c>
      <c r="T44" s="87">
        <v>1</v>
      </c>
      <c r="U44" s="87">
        <v>8</v>
      </c>
      <c r="V44" s="87">
        <v>0</v>
      </c>
      <c r="W44" s="87">
        <v>7.92</v>
      </c>
      <c r="X44" s="89">
        <f t="shared" si="23"/>
        <v>16.920000000000002</v>
      </c>
      <c r="Y44" s="87">
        <v>1</v>
      </c>
      <c r="Z44" s="87">
        <v>8</v>
      </c>
      <c r="AA44" s="87">
        <v>0</v>
      </c>
      <c r="AB44" s="87">
        <v>7.92</v>
      </c>
      <c r="AC44" s="89">
        <f t="shared" si="24"/>
        <v>16.920000000000002</v>
      </c>
      <c r="AD44" s="89">
        <f t="shared" si="7"/>
        <v>1018272</v>
      </c>
      <c r="AE44" s="89">
        <f t="shared" si="8"/>
        <v>73094.400000000009</v>
      </c>
      <c r="AF44" s="89">
        <f t="shared" si="9"/>
        <v>101520.00000000001</v>
      </c>
      <c r="AG44" s="89">
        <f t="shared" si="10"/>
        <v>40608.000000000007</v>
      </c>
      <c r="AH44" s="89">
        <f t="shared" si="11"/>
        <v>159048.00000000003</v>
      </c>
      <c r="AI44" s="89">
        <f t="shared" si="12"/>
        <v>13536.000000000002</v>
      </c>
      <c r="AJ44" s="89">
        <f t="shared" si="13"/>
        <v>0</v>
      </c>
      <c r="AK44" s="89">
        <f t="shared" si="14"/>
        <v>16243.2</v>
      </c>
      <c r="AL44" s="89">
        <f t="shared" si="15"/>
        <v>523277.39520000009</v>
      </c>
      <c r="AM44" s="89">
        <v>20850.5</v>
      </c>
      <c r="AN44" s="89">
        <f t="shared" si="16"/>
        <v>1966449.4952</v>
      </c>
      <c r="AO44" s="99">
        <f t="shared" si="17"/>
        <v>1573160</v>
      </c>
    </row>
    <row r="45" spans="1:41" ht="17.100000000000001" customHeight="1">
      <c r="A45" s="85" t="s">
        <v>6</v>
      </c>
      <c r="B45" s="86" t="s">
        <v>636</v>
      </c>
      <c r="C45" s="86" t="s">
        <v>611</v>
      </c>
      <c r="D45" s="87"/>
      <c r="E45" s="94">
        <v>6</v>
      </c>
      <c r="F45" s="94">
        <v>5</v>
      </c>
      <c r="G45" s="94">
        <v>0</v>
      </c>
      <c r="H45" s="94">
        <v>6.67</v>
      </c>
      <c r="I45" s="89">
        <f t="shared" si="1"/>
        <v>17.670000000000002</v>
      </c>
      <c r="J45" s="87">
        <v>1.83</v>
      </c>
      <c r="K45" s="87">
        <v>0</v>
      </c>
      <c r="L45" s="87">
        <v>0</v>
      </c>
      <c r="M45" s="87">
        <v>0</v>
      </c>
      <c r="N45" s="89">
        <f t="shared" si="20"/>
        <v>1.83</v>
      </c>
      <c r="O45" s="89">
        <f t="shared" si="30"/>
        <v>7.83</v>
      </c>
      <c r="P45" s="89">
        <f t="shared" si="30"/>
        <v>5</v>
      </c>
      <c r="Q45" s="89">
        <f t="shared" si="30"/>
        <v>0</v>
      </c>
      <c r="R45" s="89">
        <f t="shared" si="30"/>
        <v>6.67</v>
      </c>
      <c r="S45" s="89">
        <f t="shared" si="22"/>
        <v>19.5</v>
      </c>
      <c r="T45" s="87">
        <v>2.83</v>
      </c>
      <c r="U45" s="87">
        <v>4.75</v>
      </c>
      <c r="V45" s="87">
        <v>0</v>
      </c>
      <c r="W45" s="87">
        <v>8.08</v>
      </c>
      <c r="X45" s="89">
        <f t="shared" si="23"/>
        <v>15.66</v>
      </c>
      <c r="Y45" s="87">
        <v>2.83</v>
      </c>
      <c r="Z45" s="87">
        <v>4.75</v>
      </c>
      <c r="AA45" s="87">
        <v>0</v>
      </c>
      <c r="AB45" s="87">
        <v>8.08</v>
      </c>
      <c r="AC45" s="89">
        <f t="shared" si="24"/>
        <v>15.66</v>
      </c>
      <c r="AD45" s="89">
        <f t="shared" si="7"/>
        <v>950622</v>
      </c>
      <c r="AE45" s="89">
        <f t="shared" si="8"/>
        <v>67651.199999999997</v>
      </c>
      <c r="AF45" s="89">
        <f t="shared" si="9"/>
        <v>93960</v>
      </c>
      <c r="AG45" s="89">
        <f t="shared" si="10"/>
        <v>37584</v>
      </c>
      <c r="AH45" s="89">
        <f t="shared" si="11"/>
        <v>147204</v>
      </c>
      <c r="AI45" s="89">
        <f t="shared" si="12"/>
        <v>12528</v>
      </c>
      <c r="AJ45" s="89">
        <f t="shared" si="13"/>
        <v>0</v>
      </c>
      <c r="AK45" s="89">
        <f t="shared" si="14"/>
        <v>15033.6</v>
      </c>
      <c r="AL45" s="89">
        <f t="shared" si="15"/>
        <v>484309.92960000003</v>
      </c>
      <c r="AM45" s="89">
        <v>8542.5</v>
      </c>
      <c r="AN45" s="89">
        <f t="shared" si="16"/>
        <v>1817435.2296000002</v>
      </c>
      <c r="AO45" s="99">
        <f t="shared" si="17"/>
        <v>1453948</v>
      </c>
    </row>
    <row r="46" spans="1:41" ht="17.100000000000001" customHeight="1">
      <c r="A46" s="85" t="s">
        <v>6</v>
      </c>
      <c r="B46" s="86" t="s">
        <v>637</v>
      </c>
      <c r="C46" s="86" t="s">
        <v>609</v>
      </c>
      <c r="D46" s="87">
        <v>2</v>
      </c>
      <c r="E46" s="94">
        <v>0.67</v>
      </c>
      <c r="F46" s="94">
        <v>3</v>
      </c>
      <c r="G46" s="94">
        <v>23.33</v>
      </c>
      <c r="H46" s="94">
        <v>2.67</v>
      </c>
      <c r="I46" s="89">
        <f t="shared" si="1"/>
        <v>29.67</v>
      </c>
      <c r="J46" s="87">
        <v>4</v>
      </c>
      <c r="K46" s="87"/>
      <c r="L46" s="87"/>
      <c r="M46" s="87"/>
      <c r="N46" s="89">
        <f t="shared" si="20"/>
        <v>4</v>
      </c>
      <c r="O46" s="89">
        <f t="shared" si="30"/>
        <v>4.67</v>
      </c>
      <c r="P46" s="89">
        <f t="shared" si="30"/>
        <v>3</v>
      </c>
      <c r="Q46" s="89">
        <f t="shared" si="30"/>
        <v>23.33</v>
      </c>
      <c r="R46" s="89">
        <f t="shared" si="30"/>
        <v>2.67</v>
      </c>
      <c r="S46" s="89">
        <f t="shared" si="22"/>
        <v>33.67</v>
      </c>
      <c r="T46" s="87">
        <v>4.5</v>
      </c>
      <c r="U46" s="87">
        <v>3</v>
      </c>
      <c r="V46" s="87">
        <v>22.92</v>
      </c>
      <c r="W46" s="87">
        <v>3</v>
      </c>
      <c r="X46" s="89">
        <f t="shared" si="23"/>
        <v>33.42</v>
      </c>
      <c r="Y46" s="89">
        <v>4.5</v>
      </c>
      <c r="Z46" s="89">
        <v>3</v>
      </c>
      <c r="AA46" s="89">
        <v>22.92</v>
      </c>
      <c r="AB46" s="89">
        <v>3</v>
      </c>
      <c r="AC46" s="89">
        <f t="shared" si="24"/>
        <v>33.42</v>
      </c>
      <c r="AD46" s="89">
        <f t="shared" si="7"/>
        <v>2101253.7600000002</v>
      </c>
      <c r="AE46" s="89">
        <f t="shared" si="8"/>
        <v>144374.39999999999</v>
      </c>
      <c r="AF46" s="89">
        <f t="shared" si="9"/>
        <v>200520</v>
      </c>
      <c r="AG46" s="89">
        <f t="shared" si="10"/>
        <v>80208</v>
      </c>
      <c r="AH46" s="89">
        <f t="shared" si="11"/>
        <v>314148</v>
      </c>
      <c r="AI46" s="89">
        <f t="shared" si="12"/>
        <v>26736</v>
      </c>
      <c r="AJ46" s="89">
        <f t="shared" si="13"/>
        <v>20000</v>
      </c>
      <c r="AK46" s="89">
        <f t="shared" si="14"/>
        <v>32083.200000000001</v>
      </c>
      <c r="AL46" s="89">
        <f t="shared" si="15"/>
        <v>1033565.6352000001</v>
      </c>
      <c r="AM46" s="89"/>
      <c r="AN46" s="89">
        <f t="shared" si="16"/>
        <v>3952888.9952000007</v>
      </c>
      <c r="AO46" s="99">
        <f t="shared" si="17"/>
        <v>3162311</v>
      </c>
    </row>
    <row r="47" spans="1:41" ht="17.100000000000001" customHeight="1">
      <c r="A47" s="85" t="s">
        <v>6</v>
      </c>
      <c r="B47" s="86" t="s">
        <v>638</v>
      </c>
      <c r="C47" s="86" t="s">
        <v>609</v>
      </c>
      <c r="D47" s="87">
        <v>1</v>
      </c>
      <c r="E47" s="94">
        <v>5.33</v>
      </c>
      <c r="F47" s="94">
        <v>1.33</v>
      </c>
      <c r="G47" s="94">
        <v>11</v>
      </c>
      <c r="H47" s="94">
        <v>1.67</v>
      </c>
      <c r="I47" s="89">
        <f t="shared" si="1"/>
        <v>19.329999999999998</v>
      </c>
      <c r="J47" s="87">
        <v>1</v>
      </c>
      <c r="K47" s="87">
        <v>1</v>
      </c>
      <c r="L47" s="87">
        <v>1</v>
      </c>
      <c r="M47" s="87"/>
      <c r="N47" s="89">
        <f t="shared" si="20"/>
        <v>3</v>
      </c>
      <c r="O47" s="89">
        <f t="shared" si="30"/>
        <v>6.33</v>
      </c>
      <c r="P47" s="89">
        <f t="shared" si="30"/>
        <v>2.33</v>
      </c>
      <c r="Q47" s="89">
        <f t="shared" si="30"/>
        <v>12</v>
      </c>
      <c r="R47" s="89">
        <f t="shared" si="30"/>
        <v>1.67</v>
      </c>
      <c r="S47" s="89">
        <f t="shared" si="22"/>
        <v>22.33</v>
      </c>
      <c r="T47" s="87">
        <v>6.83</v>
      </c>
      <c r="U47" s="87">
        <v>2.5</v>
      </c>
      <c r="V47" s="87">
        <v>12</v>
      </c>
      <c r="W47" s="87">
        <v>1</v>
      </c>
      <c r="X47" s="89">
        <f t="shared" si="23"/>
        <v>22.33</v>
      </c>
      <c r="Y47" s="89">
        <v>6.83</v>
      </c>
      <c r="Z47" s="89">
        <v>2.5</v>
      </c>
      <c r="AA47" s="89">
        <v>12</v>
      </c>
      <c r="AB47" s="89">
        <v>1</v>
      </c>
      <c r="AC47" s="89">
        <f t="shared" si="24"/>
        <v>22.33</v>
      </c>
      <c r="AD47" s="89">
        <f t="shared" si="7"/>
        <v>1476180</v>
      </c>
      <c r="AE47" s="89">
        <f t="shared" si="8"/>
        <v>96465.599999999991</v>
      </c>
      <c r="AF47" s="89">
        <f t="shared" si="9"/>
        <v>133980</v>
      </c>
      <c r="AG47" s="89">
        <f t="shared" si="10"/>
        <v>53591.999999999993</v>
      </c>
      <c r="AH47" s="89">
        <f t="shared" si="11"/>
        <v>209901.99999999997</v>
      </c>
      <c r="AI47" s="89">
        <f t="shared" si="12"/>
        <v>17864</v>
      </c>
      <c r="AJ47" s="89">
        <f t="shared" si="13"/>
        <v>10000</v>
      </c>
      <c r="AK47" s="89">
        <f t="shared" si="14"/>
        <v>21436.799999999999</v>
      </c>
      <c r="AL47" s="89">
        <f t="shared" si="15"/>
        <v>690590.08479999995</v>
      </c>
      <c r="AM47" s="89"/>
      <c r="AN47" s="89">
        <f t="shared" si="16"/>
        <v>2710010.4848000002</v>
      </c>
      <c r="AO47" s="99">
        <f t="shared" si="17"/>
        <v>2168008</v>
      </c>
    </row>
    <row r="48" spans="1:41" s="95" customFormat="1" ht="17.100000000000001" customHeight="1">
      <c r="A48" s="85" t="s">
        <v>6</v>
      </c>
      <c r="B48" s="86" t="s">
        <v>639</v>
      </c>
      <c r="C48" s="86" t="s">
        <v>609</v>
      </c>
      <c r="D48" s="87">
        <v>1</v>
      </c>
      <c r="E48" s="94">
        <v>0</v>
      </c>
      <c r="F48" s="94">
        <v>2</v>
      </c>
      <c r="G48" s="94">
        <v>6</v>
      </c>
      <c r="H48" s="94">
        <v>1</v>
      </c>
      <c r="I48" s="89">
        <f t="shared" si="1"/>
        <v>9</v>
      </c>
      <c r="J48" s="87"/>
      <c r="K48" s="87"/>
      <c r="L48" s="87"/>
      <c r="M48" s="87"/>
      <c r="N48" s="89">
        <f t="shared" si="20"/>
        <v>0</v>
      </c>
      <c r="O48" s="89">
        <f t="shared" si="30"/>
        <v>0</v>
      </c>
      <c r="P48" s="89">
        <f>F48+K48</f>
        <v>2</v>
      </c>
      <c r="Q48" s="89">
        <f>G48+L48</f>
        <v>6</v>
      </c>
      <c r="R48" s="89">
        <f>H48+M48</f>
        <v>1</v>
      </c>
      <c r="S48" s="89">
        <f t="shared" si="22"/>
        <v>9</v>
      </c>
      <c r="T48" s="87">
        <v>2</v>
      </c>
      <c r="U48" s="87">
        <v>2</v>
      </c>
      <c r="V48" s="87">
        <v>3.92</v>
      </c>
      <c r="W48" s="87">
        <v>1</v>
      </c>
      <c r="X48" s="89">
        <f t="shared" si="23"/>
        <v>8.92</v>
      </c>
      <c r="Y48" s="89">
        <v>2</v>
      </c>
      <c r="Z48" s="89">
        <v>2</v>
      </c>
      <c r="AA48" s="89">
        <v>3.92</v>
      </c>
      <c r="AB48" s="89">
        <v>1</v>
      </c>
      <c r="AC48" s="89">
        <f t="shared" si="24"/>
        <v>8.92</v>
      </c>
      <c r="AD48" s="89">
        <f t="shared" si="7"/>
        <v>578021.76</v>
      </c>
      <c r="AE48" s="89">
        <f t="shared" si="8"/>
        <v>38534.400000000001</v>
      </c>
      <c r="AF48" s="89">
        <f t="shared" si="9"/>
        <v>53520</v>
      </c>
      <c r="AG48" s="89">
        <f t="shared" si="10"/>
        <v>21408</v>
      </c>
      <c r="AH48" s="89">
        <f t="shared" si="11"/>
        <v>83848</v>
      </c>
      <c r="AI48" s="89">
        <f t="shared" si="12"/>
        <v>7136</v>
      </c>
      <c r="AJ48" s="89">
        <f t="shared" si="13"/>
        <v>10000</v>
      </c>
      <c r="AK48" s="89">
        <f t="shared" si="14"/>
        <v>8563.2000000000007</v>
      </c>
      <c r="AL48" s="89">
        <f t="shared" si="15"/>
        <v>275864.91519999999</v>
      </c>
      <c r="AM48" s="89"/>
      <c r="AN48" s="89">
        <f t="shared" si="16"/>
        <v>1076896.2752</v>
      </c>
      <c r="AO48" s="99">
        <f t="shared" si="17"/>
        <v>861517</v>
      </c>
    </row>
    <row r="49" spans="1:41" s="93" customFormat="1" ht="17.100000000000001" customHeight="1">
      <c r="A49" s="91"/>
      <c r="B49" s="91" t="s">
        <v>640</v>
      </c>
      <c r="C49" s="91"/>
      <c r="D49" s="92">
        <f t="shared" ref="D49:AO49" si="31">SUM(D34:D48)</f>
        <v>17</v>
      </c>
      <c r="E49" s="92">
        <f t="shared" si="31"/>
        <v>30.340000000000003</v>
      </c>
      <c r="F49" s="92">
        <f t="shared" si="31"/>
        <v>47.66</v>
      </c>
      <c r="G49" s="92">
        <f t="shared" si="31"/>
        <v>203.32999999999998</v>
      </c>
      <c r="H49" s="92">
        <f t="shared" si="31"/>
        <v>70.69</v>
      </c>
      <c r="I49" s="92">
        <f t="shared" si="31"/>
        <v>352.02000000000004</v>
      </c>
      <c r="J49" s="92">
        <f t="shared" si="31"/>
        <v>17.579999999999998</v>
      </c>
      <c r="K49" s="92">
        <f t="shared" si="31"/>
        <v>9.41</v>
      </c>
      <c r="L49" s="92">
        <f t="shared" si="31"/>
        <v>3</v>
      </c>
      <c r="M49" s="92">
        <f t="shared" si="31"/>
        <v>3.33</v>
      </c>
      <c r="N49" s="92">
        <f t="shared" si="31"/>
        <v>33.32</v>
      </c>
      <c r="O49" s="92">
        <f t="shared" si="31"/>
        <v>47.92</v>
      </c>
      <c r="P49" s="92">
        <f t="shared" si="31"/>
        <v>57.07</v>
      </c>
      <c r="Q49" s="92">
        <f t="shared" si="31"/>
        <v>206.32999999999998</v>
      </c>
      <c r="R49" s="92">
        <f t="shared" si="31"/>
        <v>74.02</v>
      </c>
      <c r="S49" s="92">
        <f t="shared" si="31"/>
        <v>385.34000000000003</v>
      </c>
      <c r="T49" s="92">
        <f t="shared" si="31"/>
        <v>49.16</v>
      </c>
      <c r="U49" s="92">
        <f t="shared" si="31"/>
        <v>56.72</v>
      </c>
      <c r="V49" s="92">
        <f t="shared" si="31"/>
        <v>194.49999999999997</v>
      </c>
      <c r="W49" s="92">
        <f t="shared" si="31"/>
        <v>67.3</v>
      </c>
      <c r="X49" s="92">
        <f t="shared" si="31"/>
        <v>367.68000000000006</v>
      </c>
      <c r="Y49" s="92">
        <f t="shared" si="31"/>
        <v>49.16</v>
      </c>
      <c r="Z49" s="92">
        <f t="shared" si="31"/>
        <v>56.72</v>
      </c>
      <c r="AA49" s="92">
        <f t="shared" si="31"/>
        <v>194.49999999999997</v>
      </c>
      <c r="AB49" s="92">
        <f t="shared" si="31"/>
        <v>67.3</v>
      </c>
      <c r="AC49" s="92">
        <f t="shared" si="31"/>
        <v>367.68000000000006</v>
      </c>
      <c r="AD49" s="92">
        <f t="shared" si="31"/>
        <v>22915116.000000004</v>
      </c>
      <c r="AE49" s="92">
        <f t="shared" si="31"/>
        <v>1588377.5999999999</v>
      </c>
      <c r="AF49" s="92">
        <f t="shared" si="31"/>
        <v>2206080</v>
      </c>
      <c r="AG49" s="92">
        <f t="shared" si="31"/>
        <v>882432</v>
      </c>
      <c r="AH49" s="92">
        <f t="shared" si="31"/>
        <v>3456192</v>
      </c>
      <c r="AI49" s="92">
        <f t="shared" si="31"/>
        <v>294144</v>
      </c>
      <c r="AJ49" s="92">
        <f t="shared" si="31"/>
        <v>170000</v>
      </c>
      <c r="AK49" s="92">
        <f t="shared" si="31"/>
        <v>352972.79999999999</v>
      </c>
      <c r="AL49" s="92">
        <f t="shared" si="31"/>
        <v>11371077.580800001</v>
      </c>
      <c r="AM49" s="92">
        <f t="shared" si="31"/>
        <v>42270.5</v>
      </c>
      <c r="AN49" s="92">
        <f t="shared" si="31"/>
        <v>43278662.480800003</v>
      </c>
      <c r="AO49" s="92">
        <f t="shared" si="31"/>
        <v>34622928</v>
      </c>
    </row>
    <row r="50" spans="1:41" ht="17.100000000000001" customHeight="1">
      <c r="A50" s="85" t="s">
        <v>5</v>
      </c>
      <c r="B50" s="86" t="s">
        <v>641</v>
      </c>
      <c r="C50" s="86" t="s">
        <v>609</v>
      </c>
      <c r="D50" s="87">
        <v>2</v>
      </c>
      <c r="E50" s="94">
        <v>4.67</v>
      </c>
      <c r="F50" s="94">
        <v>3</v>
      </c>
      <c r="G50" s="94">
        <v>36</v>
      </c>
      <c r="H50" s="94">
        <v>3.67</v>
      </c>
      <c r="I50" s="89">
        <f t="shared" si="1"/>
        <v>47.34</v>
      </c>
      <c r="J50" s="87">
        <v>5</v>
      </c>
      <c r="K50" s="87">
        <v>1</v>
      </c>
      <c r="L50" s="87">
        <v>1</v>
      </c>
      <c r="M50" s="87">
        <v>0</v>
      </c>
      <c r="N50" s="89">
        <f t="shared" si="20"/>
        <v>7</v>
      </c>
      <c r="O50" s="89">
        <f t="shared" ref="O50:R67" si="32">E50+J50</f>
        <v>9.67</v>
      </c>
      <c r="P50" s="89">
        <f t="shared" si="32"/>
        <v>4</v>
      </c>
      <c r="Q50" s="89">
        <f t="shared" si="32"/>
        <v>37</v>
      </c>
      <c r="R50" s="89">
        <f t="shared" si="32"/>
        <v>3.67</v>
      </c>
      <c r="S50" s="89">
        <f t="shared" si="22"/>
        <v>54.34</v>
      </c>
      <c r="T50" s="87">
        <v>9.83</v>
      </c>
      <c r="U50" s="87">
        <v>4.42</v>
      </c>
      <c r="V50" s="87">
        <v>35.58</v>
      </c>
      <c r="W50" s="87">
        <v>3.58</v>
      </c>
      <c r="X50" s="89">
        <f t="shared" si="23"/>
        <v>53.41</v>
      </c>
      <c r="Y50" s="87">
        <v>9.83</v>
      </c>
      <c r="Z50" s="87">
        <v>4.42</v>
      </c>
      <c r="AA50" s="87">
        <v>35.58</v>
      </c>
      <c r="AB50" s="87">
        <v>3.58</v>
      </c>
      <c r="AC50" s="89">
        <f t="shared" si="24"/>
        <v>53.41</v>
      </c>
      <c r="AD50" s="89">
        <f t="shared" si="7"/>
        <v>3408978.24</v>
      </c>
      <c r="AE50" s="89">
        <f t="shared" si="8"/>
        <v>230731.19999999998</v>
      </c>
      <c r="AF50" s="89">
        <f t="shared" si="9"/>
        <v>320460</v>
      </c>
      <c r="AG50" s="89">
        <f t="shared" si="10"/>
        <v>128183.99999999999</v>
      </c>
      <c r="AH50" s="89">
        <f t="shared" si="11"/>
        <v>502053.99999999994</v>
      </c>
      <c r="AI50" s="89">
        <f t="shared" si="12"/>
        <v>42728</v>
      </c>
      <c r="AJ50" s="89">
        <f t="shared" si="13"/>
        <v>20000</v>
      </c>
      <c r="AK50" s="89">
        <f t="shared" si="14"/>
        <v>51273.599999999999</v>
      </c>
      <c r="AL50" s="89">
        <f t="shared" si="15"/>
        <v>1651787.5696</v>
      </c>
      <c r="AM50" s="89"/>
      <c r="AN50" s="89">
        <f t="shared" si="16"/>
        <v>6356196.6096000001</v>
      </c>
      <c r="AO50" s="99">
        <f t="shared" si="17"/>
        <v>5084957</v>
      </c>
    </row>
    <row r="51" spans="1:41" ht="17.100000000000001" customHeight="1">
      <c r="A51" s="85" t="s">
        <v>5</v>
      </c>
      <c r="B51" s="86" t="s">
        <v>642</v>
      </c>
      <c r="C51" s="86" t="s">
        <v>609</v>
      </c>
      <c r="D51" s="87">
        <v>2</v>
      </c>
      <c r="E51" s="94">
        <v>11</v>
      </c>
      <c r="F51" s="94">
        <v>3</v>
      </c>
      <c r="G51" s="94">
        <v>26.33</v>
      </c>
      <c r="H51" s="94">
        <v>3</v>
      </c>
      <c r="I51" s="89">
        <f t="shared" si="1"/>
        <v>43.33</v>
      </c>
      <c r="J51" s="87">
        <v>3</v>
      </c>
      <c r="K51" s="87">
        <v>1</v>
      </c>
      <c r="L51" s="87">
        <v>0</v>
      </c>
      <c r="M51" s="87">
        <v>0</v>
      </c>
      <c r="N51" s="89">
        <f t="shared" si="20"/>
        <v>4</v>
      </c>
      <c r="O51" s="89">
        <f t="shared" si="32"/>
        <v>14</v>
      </c>
      <c r="P51" s="89">
        <f t="shared" si="32"/>
        <v>4</v>
      </c>
      <c r="Q51" s="89">
        <f t="shared" si="32"/>
        <v>26.33</v>
      </c>
      <c r="R51" s="89">
        <f t="shared" si="32"/>
        <v>3</v>
      </c>
      <c r="S51" s="89">
        <f t="shared" si="22"/>
        <v>47.33</v>
      </c>
      <c r="T51" s="87">
        <v>14.17</v>
      </c>
      <c r="U51" s="87">
        <v>3.17</v>
      </c>
      <c r="V51" s="87">
        <v>24.5</v>
      </c>
      <c r="W51" s="87">
        <v>4.75</v>
      </c>
      <c r="X51" s="89">
        <f t="shared" si="23"/>
        <v>46.59</v>
      </c>
      <c r="Y51" s="87">
        <v>14.17</v>
      </c>
      <c r="Z51" s="87">
        <v>3.17</v>
      </c>
      <c r="AA51" s="87">
        <v>24.5</v>
      </c>
      <c r="AB51" s="87">
        <v>4.75</v>
      </c>
      <c r="AC51" s="89">
        <f t="shared" si="24"/>
        <v>46.59</v>
      </c>
      <c r="AD51" s="89">
        <f t="shared" si="7"/>
        <v>3042114</v>
      </c>
      <c r="AE51" s="89">
        <f t="shared" si="8"/>
        <v>201268.80000000002</v>
      </c>
      <c r="AF51" s="89">
        <f t="shared" si="9"/>
        <v>279540</v>
      </c>
      <c r="AG51" s="89">
        <f t="shared" si="10"/>
        <v>111816.00000000001</v>
      </c>
      <c r="AH51" s="89">
        <f t="shared" si="11"/>
        <v>437946.00000000006</v>
      </c>
      <c r="AI51" s="89">
        <f t="shared" si="12"/>
        <v>37272</v>
      </c>
      <c r="AJ51" s="89">
        <f t="shared" si="13"/>
        <v>20000</v>
      </c>
      <c r="AK51" s="89">
        <f t="shared" si="14"/>
        <v>44726.400000000001</v>
      </c>
      <c r="AL51" s="89">
        <f t="shared" si="15"/>
        <v>1440868.4304000002</v>
      </c>
      <c r="AM51" s="89"/>
      <c r="AN51" s="89">
        <f t="shared" si="16"/>
        <v>5615551.6304000001</v>
      </c>
      <c r="AO51" s="99">
        <f t="shared" si="17"/>
        <v>4492441</v>
      </c>
    </row>
    <row r="52" spans="1:41" ht="17.100000000000001" customHeight="1">
      <c r="A52" s="85" t="s">
        <v>5</v>
      </c>
      <c r="B52" s="86" t="s">
        <v>434</v>
      </c>
      <c r="C52" s="86" t="s">
        <v>609</v>
      </c>
      <c r="D52" s="87">
        <v>2</v>
      </c>
      <c r="E52" s="94">
        <v>17.670000000000002</v>
      </c>
      <c r="F52" s="94">
        <v>3</v>
      </c>
      <c r="G52" s="94">
        <v>42.67</v>
      </c>
      <c r="H52" s="94">
        <v>4</v>
      </c>
      <c r="I52" s="89">
        <f t="shared" si="1"/>
        <v>67.34</v>
      </c>
      <c r="J52" s="87">
        <v>1</v>
      </c>
      <c r="K52" s="87">
        <v>0</v>
      </c>
      <c r="L52" s="87">
        <v>0</v>
      </c>
      <c r="M52" s="87">
        <v>0</v>
      </c>
      <c r="N52" s="89">
        <f t="shared" si="20"/>
        <v>1</v>
      </c>
      <c r="O52" s="89">
        <f t="shared" si="32"/>
        <v>18.670000000000002</v>
      </c>
      <c r="P52" s="89">
        <f t="shared" si="32"/>
        <v>3</v>
      </c>
      <c r="Q52" s="89">
        <f t="shared" si="32"/>
        <v>42.67</v>
      </c>
      <c r="R52" s="89">
        <f t="shared" si="32"/>
        <v>4</v>
      </c>
      <c r="S52" s="89">
        <f t="shared" si="22"/>
        <v>68.34</v>
      </c>
      <c r="T52" s="87">
        <v>12.92</v>
      </c>
      <c r="U52" s="87">
        <v>7.92</v>
      </c>
      <c r="V52" s="87">
        <v>41.25</v>
      </c>
      <c r="W52" s="87">
        <v>6.17</v>
      </c>
      <c r="X52" s="89">
        <f t="shared" si="23"/>
        <v>68.260000000000005</v>
      </c>
      <c r="Y52" s="87">
        <v>12.92</v>
      </c>
      <c r="Z52" s="87">
        <v>7.92</v>
      </c>
      <c r="AA52" s="87">
        <v>41.25</v>
      </c>
      <c r="AB52" s="87">
        <v>6.17</v>
      </c>
      <c r="AC52" s="89">
        <f t="shared" si="24"/>
        <v>68.260000000000005</v>
      </c>
      <c r="AD52" s="89">
        <f t="shared" si="7"/>
        <v>4359630</v>
      </c>
      <c r="AE52" s="89">
        <f t="shared" si="8"/>
        <v>294883.20000000001</v>
      </c>
      <c r="AF52" s="89">
        <f t="shared" si="9"/>
        <v>409560.00000000006</v>
      </c>
      <c r="AG52" s="89">
        <f t="shared" si="10"/>
        <v>163824</v>
      </c>
      <c r="AH52" s="89">
        <f t="shared" si="11"/>
        <v>641644</v>
      </c>
      <c r="AI52" s="89">
        <f t="shared" si="12"/>
        <v>54608.000000000007</v>
      </c>
      <c r="AJ52" s="89">
        <f t="shared" si="13"/>
        <v>20000</v>
      </c>
      <c r="AK52" s="89">
        <f t="shared" si="14"/>
        <v>65529.600000000006</v>
      </c>
      <c r="AL52" s="89">
        <f t="shared" si="15"/>
        <v>2111046.9856000002</v>
      </c>
      <c r="AM52" s="89"/>
      <c r="AN52" s="89">
        <f t="shared" si="16"/>
        <v>8120725.7856000001</v>
      </c>
      <c r="AO52" s="99">
        <f t="shared" si="17"/>
        <v>6496581</v>
      </c>
    </row>
    <row r="53" spans="1:41" ht="17.100000000000001" customHeight="1">
      <c r="A53" s="85" t="s">
        <v>5</v>
      </c>
      <c r="B53" s="86" t="s">
        <v>643</v>
      </c>
      <c r="C53" s="86" t="s">
        <v>609</v>
      </c>
      <c r="D53" s="87">
        <v>2</v>
      </c>
      <c r="E53" s="94">
        <v>0.67</v>
      </c>
      <c r="F53" s="94">
        <v>3</v>
      </c>
      <c r="G53" s="94">
        <v>33</v>
      </c>
      <c r="H53" s="94">
        <v>3</v>
      </c>
      <c r="I53" s="89">
        <f t="shared" si="1"/>
        <v>39.67</v>
      </c>
      <c r="J53" s="87">
        <v>4</v>
      </c>
      <c r="K53" s="87">
        <v>0</v>
      </c>
      <c r="L53" s="87">
        <v>0</v>
      </c>
      <c r="M53" s="87">
        <v>0</v>
      </c>
      <c r="N53" s="89">
        <f t="shared" si="20"/>
        <v>4</v>
      </c>
      <c r="O53" s="89">
        <f t="shared" si="32"/>
        <v>4.67</v>
      </c>
      <c r="P53" s="89">
        <f t="shared" si="32"/>
        <v>3</v>
      </c>
      <c r="Q53" s="89">
        <f t="shared" si="32"/>
        <v>33</v>
      </c>
      <c r="R53" s="89">
        <f t="shared" si="32"/>
        <v>3</v>
      </c>
      <c r="S53" s="89">
        <f t="shared" si="22"/>
        <v>43.67</v>
      </c>
      <c r="T53" s="87">
        <v>4.92</v>
      </c>
      <c r="U53" s="87">
        <v>2</v>
      </c>
      <c r="V53" s="87">
        <v>32.75</v>
      </c>
      <c r="W53" s="87">
        <v>3.67</v>
      </c>
      <c r="X53" s="89">
        <f t="shared" si="23"/>
        <v>43.34</v>
      </c>
      <c r="Y53" s="87">
        <v>4.92</v>
      </c>
      <c r="Z53" s="87">
        <v>2</v>
      </c>
      <c r="AA53" s="87">
        <v>32.75</v>
      </c>
      <c r="AB53" s="87">
        <v>3.67</v>
      </c>
      <c r="AC53" s="89">
        <f t="shared" si="24"/>
        <v>43.34</v>
      </c>
      <c r="AD53" s="89">
        <f t="shared" si="7"/>
        <v>2702370</v>
      </c>
      <c r="AE53" s="89">
        <f t="shared" si="8"/>
        <v>187228.80000000002</v>
      </c>
      <c r="AF53" s="89">
        <f t="shared" si="9"/>
        <v>260040.00000000003</v>
      </c>
      <c r="AG53" s="89">
        <f t="shared" si="10"/>
        <v>104016.00000000001</v>
      </c>
      <c r="AH53" s="89">
        <f t="shared" si="11"/>
        <v>407396.00000000006</v>
      </c>
      <c r="AI53" s="89">
        <f t="shared" si="12"/>
        <v>34672</v>
      </c>
      <c r="AJ53" s="89">
        <f t="shared" si="13"/>
        <v>20000</v>
      </c>
      <c r="AK53" s="89">
        <f t="shared" si="14"/>
        <v>41606.400000000001</v>
      </c>
      <c r="AL53" s="89">
        <f t="shared" si="15"/>
        <v>1340357.1104000001</v>
      </c>
      <c r="AM53" s="89"/>
      <c r="AN53" s="89">
        <f t="shared" si="16"/>
        <v>5097686.3103999998</v>
      </c>
      <c r="AO53" s="99">
        <f t="shared" si="17"/>
        <v>4078149</v>
      </c>
    </row>
    <row r="54" spans="1:41" ht="17.100000000000001" customHeight="1">
      <c r="A54" s="85" t="s">
        <v>5</v>
      </c>
      <c r="B54" s="86" t="s">
        <v>644</v>
      </c>
      <c r="C54" s="86" t="s">
        <v>611</v>
      </c>
      <c r="D54" s="87"/>
      <c r="E54" s="94">
        <v>6</v>
      </c>
      <c r="F54" s="94">
        <v>5</v>
      </c>
      <c r="G54" s="94">
        <v>0</v>
      </c>
      <c r="H54" s="94">
        <v>6</v>
      </c>
      <c r="I54" s="89">
        <f t="shared" si="1"/>
        <v>17</v>
      </c>
      <c r="J54" s="87">
        <v>1</v>
      </c>
      <c r="K54" s="87">
        <v>0</v>
      </c>
      <c r="L54" s="87">
        <v>0</v>
      </c>
      <c r="M54" s="87">
        <v>0</v>
      </c>
      <c r="N54" s="89">
        <f t="shared" si="20"/>
        <v>1</v>
      </c>
      <c r="O54" s="89">
        <f t="shared" si="32"/>
        <v>7</v>
      </c>
      <c r="P54" s="89">
        <f t="shared" si="32"/>
        <v>5</v>
      </c>
      <c r="Q54" s="89">
        <f t="shared" si="32"/>
        <v>0</v>
      </c>
      <c r="R54" s="89">
        <f t="shared" si="32"/>
        <v>6</v>
      </c>
      <c r="S54" s="89">
        <f t="shared" si="22"/>
        <v>18</v>
      </c>
      <c r="T54" s="87">
        <v>4.67</v>
      </c>
      <c r="U54" s="87">
        <v>3.5</v>
      </c>
      <c r="V54" s="87">
        <v>0</v>
      </c>
      <c r="W54" s="87">
        <v>9.75</v>
      </c>
      <c r="X54" s="89">
        <f t="shared" si="23"/>
        <v>17.920000000000002</v>
      </c>
      <c r="Y54" s="87">
        <v>4.67</v>
      </c>
      <c r="Z54" s="87">
        <v>3.5</v>
      </c>
      <c r="AA54" s="87">
        <v>0</v>
      </c>
      <c r="AB54" s="87">
        <v>9.75</v>
      </c>
      <c r="AC54" s="89">
        <f t="shared" si="24"/>
        <v>17.920000000000002</v>
      </c>
      <c r="AD54" s="89">
        <f t="shared" si="7"/>
        <v>1094856</v>
      </c>
      <c r="AE54" s="89">
        <f t="shared" si="8"/>
        <v>77414.400000000009</v>
      </c>
      <c r="AF54" s="89">
        <f t="shared" si="9"/>
        <v>107520.00000000001</v>
      </c>
      <c r="AG54" s="89">
        <f t="shared" si="10"/>
        <v>43008.000000000007</v>
      </c>
      <c r="AH54" s="89">
        <f t="shared" si="11"/>
        <v>168448.00000000003</v>
      </c>
      <c r="AI54" s="89">
        <f t="shared" si="12"/>
        <v>14336.000000000002</v>
      </c>
      <c r="AJ54" s="89">
        <f t="shared" si="13"/>
        <v>0</v>
      </c>
      <c r="AK54" s="89">
        <f t="shared" si="14"/>
        <v>17203.2</v>
      </c>
      <c r="AL54" s="89">
        <f t="shared" si="15"/>
        <v>554203.95520000008</v>
      </c>
      <c r="AM54" s="89">
        <v>26076.67</v>
      </c>
      <c r="AN54" s="89">
        <f t="shared" si="16"/>
        <v>2103066.2251999998</v>
      </c>
      <c r="AO54" s="99">
        <f t="shared" si="17"/>
        <v>1682453</v>
      </c>
    </row>
    <row r="55" spans="1:41" ht="17.100000000000001" customHeight="1">
      <c r="A55" s="85" t="s">
        <v>5</v>
      </c>
      <c r="B55" s="86" t="s">
        <v>645</v>
      </c>
      <c r="C55" s="86" t="s">
        <v>611</v>
      </c>
      <c r="D55" s="87"/>
      <c r="E55" s="94">
        <v>0</v>
      </c>
      <c r="F55" s="94">
        <v>4</v>
      </c>
      <c r="G55" s="94">
        <v>0</v>
      </c>
      <c r="H55" s="94">
        <v>4.67</v>
      </c>
      <c r="I55" s="89">
        <f t="shared" si="1"/>
        <v>8.67</v>
      </c>
      <c r="J55" s="87">
        <v>9</v>
      </c>
      <c r="K55" s="87">
        <v>0</v>
      </c>
      <c r="L55" s="87">
        <v>0</v>
      </c>
      <c r="M55" s="87">
        <v>0</v>
      </c>
      <c r="N55" s="89">
        <f t="shared" si="20"/>
        <v>9</v>
      </c>
      <c r="O55" s="89">
        <f t="shared" si="32"/>
        <v>9</v>
      </c>
      <c r="P55" s="89">
        <f t="shared" si="32"/>
        <v>4</v>
      </c>
      <c r="Q55" s="89">
        <f t="shared" si="32"/>
        <v>0</v>
      </c>
      <c r="R55" s="89">
        <f t="shared" si="32"/>
        <v>4.67</v>
      </c>
      <c r="S55" s="89">
        <f t="shared" si="22"/>
        <v>17.670000000000002</v>
      </c>
      <c r="T55" s="87">
        <v>6.33</v>
      </c>
      <c r="U55" s="87">
        <v>5</v>
      </c>
      <c r="V55" s="87">
        <v>1</v>
      </c>
      <c r="W55" s="87">
        <v>5</v>
      </c>
      <c r="X55" s="89">
        <f t="shared" si="23"/>
        <v>17.329999999999998</v>
      </c>
      <c r="Y55" s="87">
        <v>6.33</v>
      </c>
      <c r="Z55" s="87">
        <v>5</v>
      </c>
      <c r="AA55" s="87">
        <v>1</v>
      </c>
      <c r="AB55" s="87">
        <v>5</v>
      </c>
      <c r="AC55" s="89">
        <f t="shared" si="24"/>
        <v>17.329999999999998</v>
      </c>
      <c r="AD55" s="89">
        <f t="shared" si="7"/>
        <v>1138272</v>
      </c>
      <c r="AE55" s="89">
        <f t="shared" si="8"/>
        <v>74865.599999999991</v>
      </c>
      <c r="AF55" s="89">
        <f t="shared" si="9"/>
        <v>103979.99999999999</v>
      </c>
      <c r="AG55" s="89">
        <f t="shared" si="10"/>
        <v>41591.999999999993</v>
      </c>
      <c r="AH55" s="89">
        <f t="shared" si="11"/>
        <v>162901.99999999997</v>
      </c>
      <c r="AI55" s="89">
        <f t="shared" si="12"/>
        <v>13863.999999999998</v>
      </c>
      <c r="AJ55" s="89">
        <f t="shared" si="13"/>
        <v>0</v>
      </c>
      <c r="AK55" s="89">
        <f t="shared" si="14"/>
        <v>16636.8</v>
      </c>
      <c r="AL55" s="89">
        <f t="shared" si="15"/>
        <v>535957.28480000002</v>
      </c>
      <c r="AM55" s="89">
        <v>154828</v>
      </c>
      <c r="AN55" s="89">
        <f t="shared" si="16"/>
        <v>2242897.6847999999</v>
      </c>
      <c r="AO55" s="99">
        <f t="shared" si="17"/>
        <v>1794318</v>
      </c>
    </row>
    <row r="56" spans="1:41" ht="17.100000000000001" customHeight="1">
      <c r="A56" s="85" t="s">
        <v>5</v>
      </c>
      <c r="B56" s="86" t="s">
        <v>646</v>
      </c>
      <c r="C56" s="86" t="s">
        <v>611</v>
      </c>
      <c r="D56" s="87"/>
      <c r="E56" s="94">
        <v>1.33</v>
      </c>
      <c r="F56" s="94">
        <v>4.33</v>
      </c>
      <c r="G56" s="94">
        <v>0</v>
      </c>
      <c r="H56" s="94">
        <v>5.67</v>
      </c>
      <c r="I56" s="89">
        <f t="shared" si="1"/>
        <v>11.33</v>
      </c>
      <c r="J56" s="87">
        <v>2</v>
      </c>
      <c r="K56" s="87">
        <v>0</v>
      </c>
      <c r="L56" s="87">
        <v>0</v>
      </c>
      <c r="M56" s="87">
        <v>2</v>
      </c>
      <c r="N56" s="89">
        <f t="shared" si="20"/>
        <v>4</v>
      </c>
      <c r="O56" s="89">
        <f t="shared" si="32"/>
        <v>3.33</v>
      </c>
      <c r="P56" s="89">
        <f t="shared" si="32"/>
        <v>4.33</v>
      </c>
      <c r="Q56" s="89">
        <f t="shared" si="32"/>
        <v>0</v>
      </c>
      <c r="R56" s="89">
        <f t="shared" si="32"/>
        <v>7.67</v>
      </c>
      <c r="S56" s="89">
        <f t="shared" si="22"/>
        <v>15.33</v>
      </c>
      <c r="T56" s="87">
        <v>3.17</v>
      </c>
      <c r="U56" s="87">
        <v>4</v>
      </c>
      <c r="V56" s="87">
        <v>0</v>
      </c>
      <c r="W56" s="87">
        <v>7.92</v>
      </c>
      <c r="X56" s="89">
        <f t="shared" si="23"/>
        <v>15.09</v>
      </c>
      <c r="Y56" s="87">
        <v>3.17</v>
      </c>
      <c r="Z56" s="87">
        <v>4</v>
      </c>
      <c r="AA56" s="87">
        <v>0</v>
      </c>
      <c r="AB56" s="87">
        <v>7.92</v>
      </c>
      <c r="AC56" s="89">
        <f t="shared" si="24"/>
        <v>15.09</v>
      </c>
      <c r="AD56" s="89">
        <f t="shared" si="7"/>
        <v>918528</v>
      </c>
      <c r="AE56" s="89">
        <f t="shared" si="8"/>
        <v>65188.800000000003</v>
      </c>
      <c r="AF56" s="89">
        <f t="shared" si="9"/>
        <v>90540</v>
      </c>
      <c r="AG56" s="89">
        <f t="shared" si="10"/>
        <v>36216</v>
      </c>
      <c r="AH56" s="89">
        <f t="shared" si="11"/>
        <v>141846</v>
      </c>
      <c r="AI56" s="89">
        <f t="shared" si="12"/>
        <v>12072</v>
      </c>
      <c r="AJ56" s="89">
        <f t="shared" si="13"/>
        <v>0</v>
      </c>
      <c r="AK56" s="89">
        <f t="shared" si="14"/>
        <v>14486.4</v>
      </c>
      <c r="AL56" s="89">
        <f t="shared" si="15"/>
        <v>466681.7904</v>
      </c>
      <c r="AM56" s="89">
        <v>39796</v>
      </c>
      <c r="AN56" s="89">
        <f t="shared" si="16"/>
        <v>1785354.9904</v>
      </c>
      <c r="AO56" s="99">
        <f t="shared" si="17"/>
        <v>1428284</v>
      </c>
    </row>
    <row r="57" spans="1:41" ht="17.100000000000001" customHeight="1">
      <c r="A57" s="85" t="s">
        <v>5</v>
      </c>
      <c r="B57" s="86" t="s">
        <v>647</v>
      </c>
      <c r="C57" s="86" t="s">
        <v>611</v>
      </c>
      <c r="D57" s="87"/>
      <c r="E57" s="94">
        <v>4</v>
      </c>
      <c r="F57" s="94">
        <v>5.33</v>
      </c>
      <c r="G57" s="94">
        <v>0</v>
      </c>
      <c r="H57" s="94">
        <v>6.33</v>
      </c>
      <c r="I57" s="89">
        <f t="shared" si="1"/>
        <v>15.66</v>
      </c>
      <c r="J57" s="87">
        <v>3</v>
      </c>
      <c r="K57" s="87">
        <v>0</v>
      </c>
      <c r="L57" s="87">
        <v>0</v>
      </c>
      <c r="M57" s="87">
        <v>0</v>
      </c>
      <c r="N57" s="89">
        <f t="shared" si="20"/>
        <v>3</v>
      </c>
      <c r="O57" s="89">
        <f t="shared" si="32"/>
        <v>7</v>
      </c>
      <c r="P57" s="89">
        <f t="shared" si="32"/>
        <v>5.33</v>
      </c>
      <c r="Q57" s="89">
        <f t="shared" si="32"/>
        <v>0</v>
      </c>
      <c r="R57" s="89">
        <f t="shared" si="32"/>
        <v>6.33</v>
      </c>
      <c r="S57" s="89">
        <f t="shared" si="22"/>
        <v>18.66</v>
      </c>
      <c r="T57" s="87">
        <v>5.08</v>
      </c>
      <c r="U57" s="87">
        <v>5</v>
      </c>
      <c r="V57" s="87">
        <v>0</v>
      </c>
      <c r="W57" s="87">
        <v>8</v>
      </c>
      <c r="X57" s="89">
        <f t="shared" si="23"/>
        <v>18.079999999999998</v>
      </c>
      <c r="Y57" s="87">
        <v>5.08</v>
      </c>
      <c r="Z57" s="87">
        <v>5</v>
      </c>
      <c r="AA57" s="87">
        <v>0</v>
      </c>
      <c r="AB57" s="87">
        <v>8</v>
      </c>
      <c r="AC57" s="89">
        <f t="shared" si="24"/>
        <v>18.079999999999998</v>
      </c>
      <c r="AD57" s="89">
        <f t="shared" si="7"/>
        <v>1135944</v>
      </c>
      <c r="AE57" s="89">
        <f t="shared" si="8"/>
        <v>78105.599999999991</v>
      </c>
      <c r="AF57" s="89">
        <f t="shared" si="9"/>
        <v>108479.99999999999</v>
      </c>
      <c r="AG57" s="89">
        <f t="shared" si="10"/>
        <v>43391.999999999993</v>
      </c>
      <c r="AH57" s="89">
        <f t="shared" si="11"/>
        <v>169951.99999999997</v>
      </c>
      <c r="AI57" s="89">
        <f t="shared" si="12"/>
        <v>14463.999999999998</v>
      </c>
      <c r="AJ57" s="89">
        <f t="shared" si="13"/>
        <v>0</v>
      </c>
      <c r="AK57" s="89">
        <f t="shared" si="14"/>
        <v>17356.8</v>
      </c>
      <c r="AL57" s="89">
        <f t="shared" si="15"/>
        <v>559152.20479999995</v>
      </c>
      <c r="AM57" s="89">
        <v>90000</v>
      </c>
      <c r="AN57" s="89">
        <f t="shared" si="16"/>
        <v>2216846.6047999999</v>
      </c>
      <c r="AO57" s="99">
        <f t="shared" si="17"/>
        <v>1773477</v>
      </c>
    </row>
    <row r="58" spans="1:41" ht="17.100000000000001" customHeight="1">
      <c r="A58" s="85" t="s">
        <v>5</v>
      </c>
      <c r="B58" s="86" t="s">
        <v>648</v>
      </c>
      <c r="C58" s="86" t="s">
        <v>611</v>
      </c>
      <c r="D58" s="87"/>
      <c r="E58" s="94">
        <v>0.67</v>
      </c>
      <c r="F58" s="94">
        <v>3.67</v>
      </c>
      <c r="G58" s="94">
        <v>0</v>
      </c>
      <c r="H58" s="94">
        <v>6</v>
      </c>
      <c r="I58" s="89">
        <f t="shared" si="1"/>
        <v>10.34</v>
      </c>
      <c r="J58" s="87">
        <v>1</v>
      </c>
      <c r="K58" s="87">
        <v>0</v>
      </c>
      <c r="L58" s="87">
        <v>0</v>
      </c>
      <c r="M58" s="87">
        <v>0</v>
      </c>
      <c r="N58" s="89">
        <f t="shared" si="20"/>
        <v>1</v>
      </c>
      <c r="O58" s="89">
        <f t="shared" si="32"/>
        <v>1.67</v>
      </c>
      <c r="P58" s="89">
        <f t="shared" si="32"/>
        <v>3.67</v>
      </c>
      <c r="Q58" s="89">
        <f t="shared" si="32"/>
        <v>0</v>
      </c>
      <c r="R58" s="89">
        <f t="shared" si="32"/>
        <v>6</v>
      </c>
      <c r="S58" s="89">
        <f t="shared" si="22"/>
        <v>11.34</v>
      </c>
      <c r="T58" s="87">
        <v>1.83</v>
      </c>
      <c r="U58" s="87">
        <v>2</v>
      </c>
      <c r="V58" s="87">
        <v>0</v>
      </c>
      <c r="W58" s="87">
        <v>7</v>
      </c>
      <c r="X58" s="89">
        <f t="shared" si="23"/>
        <v>10.83</v>
      </c>
      <c r="Y58" s="87">
        <v>1.83</v>
      </c>
      <c r="Z58" s="87">
        <v>2</v>
      </c>
      <c r="AA58" s="87">
        <v>0</v>
      </c>
      <c r="AB58" s="87">
        <v>7</v>
      </c>
      <c r="AC58" s="89">
        <f t="shared" si="24"/>
        <v>10.83</v>
      </c>
      <c r="AD58" s="89">
        <f t="shared" si="7"/>
        <v>634944</v>
      </c>
      <c r="AE58" s="89">
        <f t="shared" si="8"/>
        <v>46785.599999999999</v>
      </c>
      <c r="AF58" s="89">
        <f t="shared" si="9"/>
        <v>64980</v>
      </c>
      <c r="AG58" s="89">
        <f t="shared" si="10"/>
        <v>25992</v>
      </c>
      <c r="AH58" s="89">
        <f t="shared" si="11"/>
        <v>101802</v>
      </c>
      <c r="AI58" s="89">
        <f t="shared" si="12"/>
        <v>8664</v>
      </c>
      <c r="AJ58" s="89">
        <f t="shared" si="13"/>
        <v>0</v>
      </c>
      <c r="AK58" s="89">
        <f t="shared" si="14"/>
        <v>10396.799999999999</v>
      </c>
      <c r="AL58" s="89">
        <f t="shared" si="15"/>
        <v>334934.64480000001</v>
      </c>
      <c r="AM58" s="89">
        <v>34680</v>
      </c>
      <c r="AN58" s="89">
        <f t="shared" si="16"/>
        <v>1263179.0448</v>
      </c>
      <c r="AO58" s="99">
        <f t="shared" si="17"/>
        <v>1010543</v>
      </c>
    </row>
    <row r="59" spans="1:41" ht="17.100000000000001" customHeight="1">
      <c r="A59" s="85" t="s">
        <v>5</v>
      </c>
      <c r="B59" s="86" t="s">
        <v>649</v>
      </c>
      <c r="C59" s="86" t="s">
        <v>611</v>
      </c>
      <c r="D59" s="87"/>
      <c r="E59" s="94">
        <v>0</v>
      </c>
      <c r="F59" s="94">
        <v>4</v>
      </c>
      <c r="G59" s="94">
        <v>0</v>
      </c>
      <c r="H59" s="94">
        <v>6</v>
      </c>
      <c r="I59" s="89">
        <f t="shared" si="1"/>
        <v>10</v>
      </c>
      <c r="J59" s="87">
        <v>4</v>
      </c>
      <c r="K59" s="87">
        <v>0</v>
      </c>
      <c r="L59" s="87">
        <v>0</v>
      </c>
      <c r="M59" s="87">
        <v>0</v>
      </c>
      <c r="N59" s="89">
        <f t="shared" si="20"/>
        <v>4</v>
      </c>
      <c r="O59" s="89">
        <f t="shared" si="32"/>
        <v>4</v>
      </c>
      <c r="P59" s="89">
        <f t="shared" si="32"/>
        <v>4</v>
      </c>
      <c r="Q59" s="89">
        <f t="shared" si="32"/>
        <v>0</v>
      </c>
      <c r="R59" s="89">
        <f t="shared" si="32"/>
        <v>6</v>
      </c>
      <c r="S59" s="89">
        <f t="shared" si="22"/>
        <v>14</v>
      </c>
      <c r="T59" s="87">
        <v>2.33</v>
      </c>
      <c r="U59" s="87">
        <v>1.83</v>
      </c>
      <c r="V59" s="87">
        <v>0</v>
      </c>
      <c r="W59" s="87">
        <v>9.17</v>
      </c>
      <c r="X59" s="89">
        <f t="shared" si="23"/>
        <v>13.33</v>
      </c>
      <c r="Y59" s="87">
        <v>2.33</v>
      </c>
      <c r="Z59" s="87">
        <v>1.83</v>
      </c>
      <c r="AA59" s="87">
        <v>0</v>
      </c>
      <c r="AB59" s="87">
        <v>9.17</v>
      </c>
      <c r="AC59" s="89">
        <f t="shared" si="24"/>
        <v>13.33</v>
      </c>
      <c r="AD59" s="89">
        <f t="shared" si="7"/>
        <v>773994</v>
      </c>
      <c r="AE59" s="89">
        <f t="shared" si="8"/>
        <v>57585.599999999999</v>
      </c>
      <c r="AF59" s="89">
        <f t="shared" si="9"/>
        <v>79980</v>
      </c>
      <c r="AG59" s="89">
        <f t="shared" si="10"/>
        <v>31992</v>
      </c>
      <c r="AH59" s="89">
        <f t="shared" si="11"/>
        <v>125302</v>
      </c>
      <c r="AI59" s="89">
        <f t="shared" si="12"/>
        <v>10664</v>
      </c>
      <c r="AJ59" s="89">
        <f t="shared" si="13"/>
        <v>0</v>
      </c>
      <c r="AK59" s="89">
        <f t="shared" si="14"/>
        <v>12796.8</v>
      </c>
      <c r="AL59" s="89">
        <f t="shared" si="15"/>
        <v>412251.04480000003</v>
      </c>
      <c r="AM59" s="89">
        <v>54868</v>
      </c>
      <c r="AN59" s="89">
        <f t="shared" si="16"/>
        <v>1559433.4448000002</v>
      </c>
      <c r="AO59" s="99">
        <f t="shared" si="17"/>
        <v>1247547</v>
      </c>
    </row>
    <row r="60" spans="1:41" ht="17.100000000000001" customHeight="1">
      <c r="A60" s="85" t="s">
        <v>5</v>
      </c>
      <c r="B60" s="86" t="s">
        <v>650</v>
      </c>
      <c r="C60" s="86" t="s">
        <v>611</v>
      </c>
      <c r="D60" s="87"/>
      <c r="E60" s="94">
        <v>4</v>
      </c>
      <c r="F60" s="94">
        <v>4.67</v>
      </c>
      <c r="G60" s="94">
        <v>0</v>
      </c>
      <c r="H60" s="94">
        <v>6</v>
      </c>
      <c r="I60" s="89">
        <f t="shared" si="1"/>
        <v>14.67</v>
      </c>
      <c r="J60" s="87">
        <v>1</v>
      </c>
      <c r="K60" s="87">
        <v>0</v>
      </c>
      <c r="L60" s="87">
        <v>0</v>
      </c>
      <c r="M60" s="87">
        <v>0</v>
      </c>
      <c r="N60" s="89">
        <f t="shared" si="20"/>
        <v>1</v>
      </c>
      <c r="O60" s="89">
        <f t="shared" si="32"/>
        <v>5</v>
      </c>
      <c r="P60" s="89">
        <f t="shared" si="32"/>
        <v>4.67</v>
      </c>
      <c r="Q60" s="89">
        <f t="shared" si="32"/>
        <v>0</v>
      </c>
      <c r="R60" s="89">
        <f t="shared" si="32"/>
        <v>6</v>
      </c>
      <c r="S60" s="89">
        <f t="shared" si="22"/>
        <v>15.67</v>
      </c>
      <c r="T60" s="87">
        <v>2.5</v>
      </c>
      <c r="U60" s="87">
        <v>6.67</v>
      </c>
      <c r="V60" s="87">
        <v>0</v>
      </c>
      <c r="W60" s="87">
        <v>6.5</v>
      </c>
      <c r="X60" s="89">
        <f t="shared" si="23"/>
        <v>15.67</v>
      </c>
      <c r="Y60" s="87">
        <v>2.5</v>
      </c>
      <c r="Z60" s="87">
        <v>6.67</v>
      </c>
      <c r="AA60" s="87">
        <v>0</v>
      </c>
      <c r="AB60" s="87">
        <v>6.5</v>
      </c>
      <c r="AC60" s="89">
        <f t="shared" si="24"/>
        <v>15.67</v>
      </c>
      <c r="AD60" s="89">
        <f t="shared" si="7"/>
        <v>971622</v>
      </c>
      <c r="AE60" s="89">
        <f t="shared" si="8"/>
        <v>67694.399999999994</v>
      </c>
      <c r="AF60" s="89">
        <f t="shared" si="9"/>
        <v>94020</v>
      </c>
      <c r="AG60" s="89">
        <f t="shared" si="10"/>
        <v>37608</v>
      </c>
      <c r="AH60" s="89">
        <f t="shared" si="11"/>
        <v>147298</v>
      </c>
      <c r="AI60" s="89">
        <f t="shared" si="12"/>
        <v>12536</v>
      </c>
      <c r="AJ60" s="89">
        <f t="shared" si="13"/>
        <v>0</v>
      </c>
      <c r="AK60" s="89">
        <f t="shared" si="14"/>
        <v>15043.2</v>
      </c>
      <c r="AL60" s="89">
        <f t="shared" si="15"/>
        <v>484619.19520000002</v>
      </c>
      <c r="AM60" s="89">
        <v>77995</v>
      </c>
      <c r="AN60" s="89">
        <f t="shared" si="16"/>
        <v>1908435.7951999998</v>
      </c>
      <c r="AO60" s="99">
        <f t="shared" si="17"/>
        <v>1526749</v>
      </c>
    </row>
    <row r="61" spans="1:41" ht="17.100000000000001" customHeight="1">
      <c r="A61" s="85" t="s">
        <v>5</v>
      </c>
      <c r="B61" s="86" t="s">
        <v>651</v>
      </c>
      <c r="C61" s="86" t="s">
        <v>609</v>
      </c>
      <c r="D61" s="87">
        <v>2</v>
      </c>
      <c r="E61" s="94">
        <v>0</v>
      </c>
      <c r="F61" s="94">
        <v>3</v>
      </c>
      <c r="G61" s="94">
        <v>23.33</v>
      </c>
      <c r="H61" s="94">
        <v>2.67</v>
      </c>
      <c r="I61" s="89">
        <f t="shared" si="1"/>
        <v>29</v>
      </c>
      <c r="J61" s="87">
        <v>7.83</v>
      </c>
      <c r="K61" s="87">
        <v>2</v>
      </c>
      <c r="L61" s="87">
        <v>0.33</v>
      </c>
      <c r="M61" s="87">
        <v>0</v>
      </c>
      <c r="N61" s="89">
        <f t="shared" si="20"/>
        <v>10.16</v>
      </c>
      <c r="O61" s="89">
        <f t="shared" si="32"/>
        <v>7.83</v>
      </c>
      <c r="P61" s="89">
        <f t="shared" si="32"/>
        <v>5</v>
      </c>
      <c r="Q61" s="89">
        <f t="shared" si="32"/>
        <v>23.659999999999997</v>
      </c>
      <c r="R61" s="89">
        <f t="shared" si="32"/>
        <v>2.67</v>
      </c>
      <c r="S61" s="89">
        <f t="shared" si="22"/>
        <v>39.159999999999997</v>
      </c>
      <c r="T61" s="87">
        <v>8.08</v>
      </c>
      <c r="U61" s="87">
        <v>4</v>
      </c>
      <c r="V61" s="87">
        <v>24.83</v>
      </c>
      <c r="W61" s="87">
        <v>2</v>
      </c>
      <c r="X61" s="89">
        <f t="shared" si="23"/>
        <v>38.909999999999997</v>
      </c>
      <c r="Y61" s="87">
        <v>8.08</v>
      </c>
      <c r="Z61" s="87">
        <v>4</v>
      </c>
      <c r="AA61" s="87">
        <v>24.83</v>
      </c>
      <c r="AB61" s="87">
        <v>2</v>
      </c>
      <c r="AC61" s="89">
        <f t="shared" si="24"/>
        <v>38.909999999999997</v>
      </c>
      <c r="AD61" s="89">
        <f t="shared" si="7"/>
        <v>2507952.2399999998</v>
      </c>
      <c r="AE61" s="89">
        <f t="shared" si="8"/>
        <v>168091.19999999998</v>
      </c>
      <c r="AF61" s="89">
        <f t="shared" si="9"/>
        <v>233459.99999999997</v>
      </c>
      <c r="AG61" s="89">
        <f t="shared" si="10"/>
        <v>93383.999999999985</v>
      </c>
      <c r="AH61" s="89">
        <f t="shared" si="11"/>
        <v>365753.99999999994</v>
      </c>
      <c r="AI61" s="89">
        <f t="shared" si="12"/>
        <v>31127.999999999996</v>
      </c>
      <c r="AJ61" s="89">
        <f t="shared" si="13"/>
        <v>20000</v>
      </c>
      <c r="AK61" s="89">
        <f t="shared" si="14"/>
        <v>37353.599999999999</v>
      </c>
      <c r="AL61" s="89">
        <f t="shared" si="15"/>
        <v>1203352.4495999999</v>
      </c>
      <c r="AM61" s="89"/>
      <c r="AN61" s="89">
        <f t="shared" si="16"/>
        <v>4660475.4896</v>
      </c>
      <c r="AO61" s="99">
        <f t="shared" si="17"/>
        <v>3728380</v>
      </c>
    </row>
    <row r="62" spans="1:41" ht="17.100000000000001" customHeight="1">
      <c r="A62" s="85" t="s">
        <v>5</v>
      </c>
      <c r="B62" s="86" t="s">
        <v>652</v>
      </c>
      <c r="C62" s="86" t="s">
        <v>611</v>
      </c>
      <c r="D62" s="87"/>
      <c r="E62" s="94">
        <v>4</v>
      </c>
      <c r="F62" s="94">
        <v>3.67</v>
      </c>
      <c r="G62" s="94">
        <v>0</v>
      </c>
      <c r="H62" s="94">
        <v>4</v>
      </c>
      <c r="I62" s="89">
        <f t="shared" si="1"/>
        <v>11.67</v>
      </c>
      <c r="J62" s="87">
        <v>6</v>
      </c>
      <c r="K62" s="87">
        <v>1</v>
      </c>
      <c r="L62" s="87">
        <v>0</v>
      </c>
      <c r="M62" s="87">
        <v>0</v>
      </c>
      <c r="N62" s="89">
        <f t="shared" si="20"/>
        <v>7</v>
      </c>
      <c r="O62" s="89">
        <f t="shared" si="32"/>
        <v>10</v>
      </c>
      <c r="P62" s="89">
        <f t="shared" si="32"/>
        <v>4.67</v>
      </c>
      <c r="Q62" s="89">
        <f t="shared" si="32"/>
        <v>0</v>
      </c>
      <c r="R62" s="89">
        <f t="shared" si="32"/>
        <v>4</v>
      </c>
      <c r="S62" s="89">
        <f t="shared" si="22"/>
        <v>18.670000000000002</v>
      </c>
      <c r="T62" s="87">
        <v>5.17</v>
      </c>
      <c r="U62" s="87">
        <v>7</v>
      </c>
      <c r="V62" s="87">
        <v>0</v>
      </c>
      <c r="W62" s="87">
        <v>6.33</v>
      </c>
      <c r="X62" s="89">
        <f t="shared" si="23"/>
        <v>18.5</v>
      </c>
      <c r="Y62" s="87">
        <v>5.17</v>
      </c>
      <c r="Z62" s="87">
        <v>7</v>
      </c>
      <c r="AA62" s="87">
        <v>0</v>
      </c>
      <c r="AB62" s="87">
        <v>6.33</v>
      </c>
      <c r="AC62" s="89">
        <f t="shared" si="24"/>
        <v>18.5</v>
      </c>
      <c r="AD62" s="89">
        <f t="shared" si="7"/>
        <v>1189884</v>
      </c>
      <c r="AE62" s="89">
        <f t="shared" si="8"/>
        <v>79920</v>
      </c>
      <c r="AF62" s="89">
        <f t="shared" si="9"/>
        <v>111000</v>
      </c>
      <c r="AG62" s="89">
        <f t="shared" si="10"/>
        <v>44400</v>
      </c>
      <c r="AH62" s="89">
        <f t="shared" si="11"/>
        <v>173900</v>
      </c>
      <c r="AI62" s="89">
        <f t="shared" si="12"/>
        <v>14800</v>
      </c>
      <c r="AJ62" s="89">
        <f t="shared" si="13"/>
        <v>0</v>
      </c>
      <c r="AK62" s="89">
        <f t="shared" si="14"/>
        <v>17760</v>
      </c>
      <c r="AL62" s="89">
        <f t="shared" si="15"/>
        <v>572141.36</v>
      </c>
      <c r="AM62" s="89">
        <v>66682.5</v>
      </c>
      <c r="AN62" s="89">
        <f t="shared" si="16"/>
        <v>2270487.86</v>
      </c>
      <c r="AO62" s="99">
        <f t="shared" si="17"/>
        <v>1816390</v>
      </c>
    </row>
    <row r="63" spans="1:41" ht="17.100000000000001" customHeight="1">
      <c r="A63" s="85" t="s">
        <v>5</v>
      </c>
      <c r="B63" s="86" t="s">
        <v>653</v>
      </c>
      <c r="C63" s="86" t="s">
        <v>609</v>
      </c>
      <c r="D63" s="87">
        <v>1</v>
      </c>
      <c r="E63" s="94">
        <v>6.67</v>
      </c>
      <c r="F63" s="94">
        <v>2.33</v>
      </c>
      <c r="G63" s="94">
        <v>16.329999999999998</v>
      </c>
      <c r="H63" s="94">
        <v>2.67</v>
      </c>
      <c r="I63" s="89">
        <f t="shared" si="1"/>
        <v>28</v>
      </c>
      <c r="J63" s="87">
        <v>2</v>
      </c>
      <c r="K63" s="87">
        <v>0.33</v>
      </c>
      <c r="L63" s="87">
        <v>1</v>
      </c>
      <c r="M63" s="87">
        <v>0</v>
      </c>
      <c r="N63" s="89">
        <f t="shared" si="20"/>
        <v>3.33</v>
      </c>
      <c r="O63" s="89">
        <f t="shared" si="32"/>
        <v>8.67</v>
      </c>
      <c r="P63" s="89">
        <f t="shared" si="32"/>
        <v>2.66</v>
      </c>
      <c r="Q63" s="89">
        <f t="shared" si="32"/>
        <v>17.329999999999998</v>
      </c>
      <c r="R63" s="89">
        <f t="shared" si="32"/>
        <v>2.67</v>
      </c>
      <c r="S63" s="89">
        <f t="shared" si="22"/>
        <v>31.33</v>
      </c>
      <c r="T63" s="87">
        <v>8</v>
      </c>
      <c r="U63" s="87">
        <v>3</v>
      </c>
      <c r="V63" s="87">
        <v>17.55</v>
      </c>
      <c r="W63" s="87">
        <v>2</v>
      </c>
      <c r="X63" s="89">
        <f t="shared" si="23"/>
        <v>30.55</v>
      </c>
      <c r="Y63" s="87">
        <v>8</v>
      </c>
      <c r="Z63" s="87">
        <v>3</v>
      </c>
      <c r="AA63" s="87">
        <v>17.55</v>
      </c>
      <c r="AB63" s="87">
        <v>2</v>
      </c>
      <c r="AC63" s="89">
        <f t="shared" si="24"/>
        <v>30.55</v>
      </c>
      <c r="AD63" s="89">
        <f t="shared" si="7"/>
        <v>1990196.4000000001</v>
      </c>
      <c r="AE63" s="89">
        <f t="shared" si="8"/>
        <v>131976</v>
      </c>
      <c r="AF63" s="89">
        <f t="shared" si="9"/>
        <v>183300</v>
      </c>
      <c r="AG63" s="89">
        <f t="shared" si="10"/>
        <v>73320</v>
      </c>
      <c r="AH63" s="89">
        <f t="shared" si="11"/>
        <v>287170</v>
      </c>
      <c r="AI63" s="89">
        <f t="shared" si="12"/>
        <v>24440</v>
      </c>
      <c r="AJ63" s="89">
        <f t="shared" si="13"/>
        <v>10000</v>
      </c>
      <c r="AK63" s="89">
        <f t="shared" si="14"/>
        <v>29328</v>
      </c>
      <c r="AL63" s="89">
        <f t="shared" si="15"/>
        <v>944806.40800000005</v>
      </c>
      <c r="AM63" s="89"/>
      <c r="AN63" s="89">
        <f t="shared" si="16"/>
        <v>3674536.8080000002</v>
      </c>
      <c r="AO63" s="99">
        <f t="shared" si="17"/>
        <v>2939629</v>
      </c>
    </row>
    <row r="64" spans="1:41" ht="17.100000000000001" customHeight="1">
      <c r="A64" s="85" t="s">
        <v>5</v>
      </c>
      <c r="B64" s="86" t="s">
        <v>654</v>
      </c>
      <c r="C64" s="86" t="s">
        <v>609</v>
      </c>
      <c r="D64" s="87">
        <v>1</v>
      </c>
      <c r="E64" s="94">
        <v>6.33</v>
      </c>
      <c r="F64" s="94">
        <v>2.33</v>
      </c>
      <c r="G64" s="94">
        <v>13.67</v>
      </c>
      <c r="H64" s="94">
        <v>2.67</v>
      </c>
      <c r="I64" s="89">
        <f t="shared" si="1"/>
        <v>25</v>
      </c>
      <c r="J64" s="87">
        <v>1</v>
      </c>
      <c r="K64" s="87">
        <v>0</v>
      </c>
      <c r="L64" s="87">
        <v>0.67</v>
      </c>
      <c r="M64" s="87">
        <v>0</v>
      </c>
      <c r="N64" s="89">
        <f t="shared" si="20"/>
        <v>1.67</v>
      </c>
      <c r="O64" s="89">
        <f t="shared" si="32"/>
        <v>7.33</v>
      </c>
      <c r="P64" s="89">
        <f t="shared" si="32"/>
        <v>2.33</v>
      </c>
      <c r="Q64" s="89">
        <f t="shared" si="32"/>
        <v>14.34</v>
      </c>
      <c r="R64" s="89">
        <f t="shared" si="32"/>
        <v>2.67</v>
      </c>
      <c r="S64" s="89">
        <f t="shared" si="22"/>
        <v>26.67</v>
      </c>
      <c r="T64" s="87">
        <v>4.75</v>
      </c>
      <c r="U64" s="87">
        <v>2.17</v>
      </c>
      <c r="V64" s="87">
        <v>12.33</v>
      </c>
      <c r="W64" s="87">
        <v>1</v>
      </c>
      <c r="X64" s="89">
        <f t="shared" si="23"/>
        <v>20.25</v>
      </c>
      <c r="Y64" s="87">
        <v>4.75</v>
      </c>
      <c r="Z64" s="87">
        <v>2.17</v>
      </c>
      <c r="AA64" s="87">
        <v>12.33</v>
      </c>
      <c r="AB64" s="87">
        <v>1</v>
      </c>
      <c r="AC64" s="89">
        <f t="shared" si="24"/>
        <v>20.25</v>
      </c>
      <c r="AD64" s="89">
        <f t="shared" si="7"/>
        <v>1314630.2399999998</v>
      </c>
      <c r="AE64" s="89">
        <f t="shared" si="8"/>
        <v>87480</v>
      </c>
      <c r="AF64" s="89">
        <f t="shared" si="9"/>
        <v>121500</v>
      </c>
      <c r="AG64" s="89">
        <f t="shared" si="10"/>
        <v>48600</v>
      </c>
      <c r="AH64" s="89">
        <f t="shared" si="11"/>
        <v>190350</v>
      </c>
      <c r="AI64" s="89">
        <f t="shared" si="12"/>
        <v>16200</v>
      </c>
      <c r="AJ64" s="89">
        <f t="shared" si="13"/>
        <v>10000</v>
      </c>
      <c r="AK64" s="89">
        <f t="shared" si="14"/>
        <v>19440</v>
      </c>
      <c r="AL64" s="89">
        <f t="shared" si="15"/>
        <v>626262.84000000008</v>
      </c>
      <c r="AM64" s="89"/>
      <c r="AN64" s="89">
        <f t="shared" si="16"/>
        <v>2434463.08</v>
      </c>
      <c r="AO64" s="99">
        <f t="shared" si="17"/>
        <v>1947570</v>
      </c>
    </row>
    <row r="65" spans="1:41" ht="17.100000000000001" customHeight="1">
      <c r="A65" s="85" t="s">
        <v>5</v>
      </c>
      <c r="B65" s="86" t="s">
        <v>655</v>
      </c>
      <c r="C65" s="86" t="s">
        <v>611</v>
      </c>
      <c r="D65" s="87"/>
      <c r="E65" s="94">
        <v>1.33</v>
      </c>
      <c r="F65" s="94">
        <v>3.33</v>
      </c>
      <c r="G65" s="94">
        <v>0</v>
      </c>
      <c r="H65" s="94">
        <v>5.33</v>
      </c>
      <c r="I65" s="89">
        <f t="shared" si="1"/>
        <v>9.99</v>
      </c>
      <c r="J65" s="87">
        <v>1</v>
      </c>
      <c r="K65" s="87">
        <v>4</v>
      </c>
      <c r="L65" s="87">
        <v>0</v>
      </c>
      <c r="M65" s="87">
        <v>6</v>
      </c>
      <c r="N65" s="89">
        <f t="shared" si="20"/>
        <v>11</v>
      </c>
      <c r="O65" s="89">
        <f t="shared" si="32"/>
        <v>2.33</v>
      </c>
      <c r="P65" s="89">
        <f t="shared" si="32"/>
        <v>7.33</v>
      </c>
      <c r="Q65" s="89">
        <f t="shared" si="32"/>
        <v>0</v>
      </c>
      <c r="R65" s="89">
        <f t="shared" si="32"/>
        <v>11.33</v>
      </c>
      <c r="S65" s="89">
        <f t="shared" si="22"/>
        <v>20.990000000000002</v>
      </c>
      <c r="T65" s="87">
        <v>1.92</v>
      </c>
      <c r="U65" s="87">
        <v>7.75</v>
      </c>
      <c r="V65" s="87">
        <v>0</v>
      </c>
      <c r="W65" s="87">
        <v>10.42</v>
      </c>
      <c r="X65" s="89">
        <f t="shared" si="23"/>
        <v>20.09</v>
      </c>
      <c r="Y65" s="87">
        <v>1.92</v>
      </c>
      <c r="Z65" s="87">
        <v>7.75</v>
      </c>
      <c r="AA65" s="87">
        <v>0</v>
      </c>
      <c r="AB65" s="87">
        <v>10.42</v>
      </c>
      <c r="AC65" s="89">
        <f t="shared" si="24"/>
        <v>20.09</v>
      </c>
      <c r="AD65" s="89">
        <f t="shared" si="7"/>
        <v>1201278</v>
      </c>
      <c r="AE65" s="89">
        <f t="shared" si="8"/>
        <v>86788.800000000003</v>
      </c>
      <c r="AF65" s="89">
        <f t="shared" si="9"/>
        <v>120540</v>
      </c>
      <c r="AG65" s="89">
        <f t="shared" si="10"/>
        <v>48216</v>
      </c>
      <c r="AH65" s="89">
        <f t="shared" si="11"/>
        <v>188846</v>
      </c>
      <c r="AI65" s="89">
        <f t="shared" si="12"/>
        <v>16072</v>
      </c>
      <c r="AJ65" s="89">
        <f t="shared" si="13"/>
        <v>0</v>
      </c>
      <c r="AK65" s="89">
        <f t="shared" si="14"/>
        <v>19286.400000000001</v>
      </c>
      <c r="AL65" s="89">
        <f t="shared" si="15"/>
        <v>621314.59039999999</v>
      </c>
      <c r="AM65" s="89">
        <v>50000</v>
      </c>
      <c r="AN65" s="89">
        <f t="shared" si="16"/>
        <v>2352341.7903999998</v>
      </c>
      <c r="AO65" s="99">
        <f t="shared" si="17"/>
        <v>1881873</v>
      </c>
    </row>
    <row r="66" spans="1:41" ht="17.100000000000001" customHeight="1">
      <c r="A66" s="85" t="s">
        <v>5</v>
      </c>
      <c r="B66" s="86" t="s">
        <v>656</v>
      </c>
      <c r="C66" s="86" t="s">
        <v>609</v>
      </c>
      <c r="D66" s="87">
        <v>2</v>
      </c>
      <c r="E66" s="94">
        <v>9</v>
      </c>
      <c r="F66" s="94">
        <v>2.33</v>
      </c>
      <c r="G66" s="94">
        <v>18.329999999999998</v>
      </c>
      <c r="H66" s="94">
        <v>2</v>
      </c>
      <c r="I66" s="89">
        <f>SUM(E66:H66)</f>
        <v>31.659999999999997</v>
      </c>
      <c r="J66" s="87">
        <v>4</v>
      </c>
      <c r="K66" s="87">
        <v>0.67</v>
      </c>
      <c r="L66" s="87">
        <v>1.33</v>
      </c>
      <c r="M66" s="87">
        <v>0.33</v>
      </c>
      <c r="N66" s="89">
        <f>SUM(J66:M66)</f>
        <v>6.33</v>
      </c>
      <c r="O66" s="89">
        <f>E66+J66</f>
        <v>13</v>
      </c>
      <c r="P66" s="89">
        <f>F66+K66</f>
        <v>3</v>
      </c>
      <c r="Q66" s="89">
        <f>G66+L66</f>
        <v>19.659999999999997</v>
      </c>
      <c r="R66" s="89">
        <f>H66+M66</f>
        <v>2.33</v>
      </c>
      <c r="S66" s="89">
        <f>SUM(O66:R66)</f>
        <v>37.989999999999995</v>
      </c>
      <c r="T66" s="87">
        <v>10.67</v>
      </c>
      <c r="U66" s="87">
        <v>4.58</v>
      </c>
      <c r="V66" s="87">
        <v>20</v>
      </c>
      <c r="W66" s="87">
        <v>2</v>
      </c>
      <c r="X66" s="89">
        <f>SUM(T66:W66)</f>
        <v>37.25</v>
      </c>
      <c r="Y66" s="87">
        <v>10.67</v>
      </c>
      <c r="Z66" s="87">
        <v>4.58</v>
      </c>
      <c r="AA66" s="87">
        <v>20</v>
      </c>
      <c r="AB66" s="87">
        <v>2</v>
      </c>
      <c r="AC66" s="89">
        <f>SUM(Y66:AB66)</f>
        <v>37.25</v>
      </c>
      <c r="AD66" s="89">
        <f t="shared" si="7"/>
        <v>2450244</v>
      </c>
      <c r="AE66" s="89">
        <f>AC66*4320</f>
        <v>160920</v>
      </c>
      <c r="AF66" s="89">
        <f>AC66*6000</f>
        <v>223500</v>
      </c>
      <c r="AG66" s="89">
        <f>AC66*2400</f>
        <v>89400</v>
      </c>
      <c r="AH66" s="89">
        <f>AC66*9400</f>
        <v>350150</v>
      </c>
      <c r="AI66" s="89">
        <f>AC66*800</f>
        <v>29800</v>
      </c>
      <c r="AJ66" s="89">
        <f>D66*50*200</f>
        <v>20000</v>
      </c>
      <c r="AK66" s="89">
        <f>AC66*960</f>
        <v>35760</v>
      </c>
      <c r="AL66" s="89">
        <f t="shared" si="15"/>
        <v>1152014.3600000001</v>
      </c>
      <c r="AM66" s="89"/>
      <c r="AN66" s="89">
        <f>SUM(AD66:AM66)</f>
        <v>4511788.3600000003</v>
      </c>
      <c r="AO66" s="99">
        <f t="shared" si="17"/>
        <v>3609431</v>
      </c>
    </row>
    <row r="67" spans="1:41" ht="17.100000000000001" customHeight="1">
      <c r="A67" s="85" t="s">
        <v>5</v>
      </c>
      <c r="B67" s="86" t="s">
        <v>657</v>
      </c>
      <c r="C67" s="86" t="s">
        <v>611</v>
      </c>
      <c r="D67" s="87"/>
      <c r="E67" s="94">
        <v>0</v>
      </c>
      <c r="F67" s="94">
        <v>4</v>
      </c>
      <c r="G67" s="94">
        <v>0</v>
      </c>
      <c r="H67" s="94">
        <v>5</v>
      </c>
      <c r="I67" s="89">
        <f t="shared" si="1"/>
        <v>9</v>
      </c>
      <c r="J67" s="87">
        <v>3</v>
      </c>
      <c r="K67" s="87">
        <v>0</v>
      </c>
      <c r="L67" s="87">
        <v>0</v>
      </c>
      <c r="M67" s="87">
        <v>0</v>
      </c>
      <c r="N67" s="89">
        <f t="shared" si="20"/>
        <v>3</v>
      </c>
      <c r="O67" s="89">
        <f t="shared" si="32"/>
        <v>3</v>
      </c>
      <c r="P67" s="89">
        <f t="shared" si="32"/>
        <v>4</v>
      </c>
      <c r="Q67" s="89">
        <f t="shared" si="32"/>
        <v>0</v>
      </c>
      <c r="R67" s="89">
        <f t="shared" si="32"/>
        <v>5</v>
      </c>
      <c r="S67" s="89">
        <f t="shared" si="22"/>
        <v>12</v>
      </c>
      <c r="T67" s="87">
        <v>2.42</v>
      </c>
      <c r="U67" s="87">
        <v>4</v>
      </c>
      <c r="V67" s="87">
        <v>0.17</v>
      </c>
      <c r="W67" s="87">
        <v>4.83</v>
      </c>
      <c r="X67" s="89">
        <f t="shared" si="23"/>
        <v>11.42</v>
      </c>
      <c r="Y67" s="87">
        <v>2.42</v>
      </c>
      <c r="Z67" s="87">
        <v>4</v>
      </c>
      <c r="AA67" s="87">
        <v>0.17</v>
      </c>
      <c r="AB67" s="87">
        <v>4.83</v>
      </c>
      <c r="AC67" s="89">
        <f t="shared" si="24"/>
        <v>11.42</v>
      </c>
      <c r="AD67" s="89">
        <f t="shared" si="7"/>
        <v>711875.76</v>
      </c>
      <c r="AE67" s="89">
        <f t="shared" ref="AE67:AE114" si="33">AC67*4320</f>
        <v>49334.400000000001</v>
      </c>
      <c r="AF67" s="89">
        <f t="shared" ref="AF67:AF114" si="34">AC67*6000</f>
        <v>68520</v>
      </c>
      <c r="AG67" s="89">
        <f t="shared" ref="AG67:AG114" si="35">AC67*2400</f>
        <v>27408</v>
      </c>
      <c r="AH67" s="89">
        <f t="shared" ref="AH67:AH114" si="36">AC67*9400</f>
        <v>107348</v>
      </c>
      <c r="AI67" s="89">
        <f t="shared" ref="AI67:AI114" si="37">AC67*800</f>
        <v>9136</v>
      </c>
      <c r="AJ67" s="89">
        <f t="shared" ref="AJ67:AJ114" si="38">D67*50*200</f>
        <v>0</v>
      </c>
      <c r="AK67" s="89">
        <f t="shared" ref="AK67:AK114" si="39">AC67*960</f>
        <v>10963.2</v>
      </c>
      <c r="AL67" s="89">
        <f t="shared" si="15"/>
        <v>353181.31520000001</v>
      </c>
      <c r="AM67" s="89">
        <v>60000</v>
      </c>
      <c r="AN67" s="89">
        <f t="shared" ref="AN67:AN114" si="40">SUM(AD67:AM67)</f>
        <v>1397766.6751999999</v>
      </c>
      <c r="AO67" s="99">
        <f t="shared" si="17"/>
        <v>1118213</v>
      </c>
    </row>
    <row r="68" spans="1:41" s="93" customFormat="1" ht="17.100000000000001" customHeight="1">
      <c r="A68" s="91"/>
      <c r="B68" s="91" t="s">
        <v>658</v>
      </c>
      <c r="C68" s="91"/>
      <c r="D68" s="92">
        <f t="shared" ref="D68:AO68" si="41">SUM(D50:D67)</f>
        <v>14</v>
      </c>
      <c r="E68" s="92">
        <f t="shared" si="41"/>
        <v>77.34</v>
      </c>
      <c r="F68" s="92">
        <f t="shared" si="41"/>
        <v>63.989999999999995</v>
      </c>
      <c r="G68" s="92">
        <f t="shared" si="41"/>
        <v>209.65999999999997</v>
      </c>
      <c r="H68" s="92">
        <f t="shared" si="41"/>
        <v>78.680000000000007</v>
      </c>
      <c r="I68" s="92">
        <f t="shared" si="41"/>
        <v>429.67000000000007</v>
      </c>
      <c r="J68" s="92">
        <f t="shared" si="41"/>
        <v>58.83</v>
      </c>
      <c r="K68" s="92">
        <f t="shared" si="41"/>
        <v>10</v>
      </c>
      <c r="L68" s="92">
        <f t="shared" si="41"/>
        <v>4.33</v>
      </c>
      <c r="M68" s="92">
        <f t="shared" si="41"/>
        <v>8.33</v>
      </c>
      <c r="N68" s="92">
        <f t="shared" si="41"/>
        <v>81.489999999999995</v>
      </c>
      <c r="O68" s="92">
        <f t="shared" si="41"/>
        <v>136.17000000000002</v>
      </c>
      <c r="P68" s="92">
        <f t="shared" si="41"/>
        <v>73.989999999999995</v>
      </c>
      <c r="Q68" s="92">
        <f t="shared" si="41"/>
        <v>213.99</v>
      </c>
      <c r="R68" s="92">
        <f t="shared" si="41"/>
        <v>87.01</v>
      </c>
      <c r="S68" s="92">
        <f t="shared" si="41"/>
        <v>511.16</v>
      </c>
      <c r="T68" s="92">
        <f t="shared" si="41"/>
        <v>108.76</v>
      </c>
      <c r="U68" s="92">
        <f t="shared" si="41"/>
        <v>78.010000000000005</v>
      </c>
      <c r="V68" s="92">
        <f t="shared" si="41"/>
        <v>209.95999999999998</v>
      </c>
      <c r="W68" s="92">
        <f t="shared" si="41"/>
        <v>100.09</v>
      </c>
      <c r="X68" s="92">
        <f t="shared" si="41"/>
        <v>496.81999999999988</v>
      </c>
      <c r="Y68" s="92">
        <f t="shared" si="41"/>
        <v>108.76</v>
      </c>
      <c r="Z68" s="92">
        <f t="shared" si="41"/>
        <v>78.010000000000005</v>
      </c>
      <c r="AA68" s="92">
        <f t="shared" si="41"/>
        <v>209.95999999999998</v>
      </c>
      <c r="AB68" s="92">
        <f t="shared" si="41"/>
        <v>100.09</v>
      </c>
      <c r="AC68" s="92">
        <f t="shared" si="41"/>
        <v>496.81999999999988</v>
      </c>
      <c r="AD68" s="92">
        <f t="shared" si="41"/>
        <v>31547312.879999999</v>
      </c>
      <c r="AE68" s="92">
        <f t="shared" si="41"/>
        <v>2146262.4000000004</v>
      </c>
      <c r="AF68" s="92">
        <f t="shared" si="41"/>
        <v>2980920</v>
      </c>
      <c r="AG68" s="92">
        <f t="shared" si="41"/>
        <v>1192368</v>
      </c>
      <c r="AH68" s="92">
        <f t="shared" si="41"/>
        <v>4670108</v>
      </c>
      <c r="AI68" s="92">
        <f t="shared" si="41"/>
        <v>397456</v>
      </c>
      <c r="AJ68" s="92">
        <f t="shared" si="41"/>
        <v>140000</v>
      </c>
      <c r="AK68" s="92">
        <f t="shared" si="41"/>
        <v>476947.20000000001</v>
      </c>
      <c r="AL68" s="92">
        <f t="shared" si="41"/>
        <v>15364933.539199999</v>
      </c>
      <c r="AM68" s="92">
        <f t="shared" si="41"/>
        <v>654926.16999999993</v>
      </c>
      <c r="AN68" s="92">
        <f t="shared" si="41"/>
        <v>59571234.189199999</v>
      </c>
      <c r="AO68" s="92">
        <f t="shared" si="41"/>
        <v>47656985</v>
      </c>
    </row>
    <row r="69" spans="1:41" ht="17.100000000000001" customHeight="1">
      <c r="A69" s="85" t="s">
        <v>4</v>
      </c>
      <c r="B69" s="86" t="s">
        <v>659</v>
      </c>
      <c r="C69" s="86" t="s">
        <v>609</v>
      </c>
      <c r="D69" s="87">
        <v>2</v>
      </c>
      <c r="E69" s="94">
        <v>3</v>
      </c>
      <c r="F69" s="94">
        <v>3</v>
      </c>
      <c r="G69" s="94">
        <v>28</v>
      </c>
      <c r="H69" s="94">
        <v>2.67</v>
      </c>
      <c r="I69" s="89">
        <f t="shared" ref="I69:I114" si="42">SUM(E69:H69)</f>
        <v>36.67</v>
      </c>
      <c r="J69" s="87">
        <v>4.42</v>
      </c>
      <c r="K69" s="87">
        <v>1</v>
      </c>
      <c r="L69" s="87">
        <v>1</v>
      </c>
      <c r="M69" s="87">
        <v>0</v>
      </c>
      <c r="N69" s="89">
        <f t="shared" ref="N69:N114" si="43">SUM(J69:M69)</f>
        <v>6.42</v>
      </c>
      <c r="O69" s="89">
        <f t="shared" ref="O69:R87" si="44">E69+J69</f>
        <v>7.42</v>
      </c>
      <c r="P69" s="89">
        <f t="shared" si="44"/>
        <v>4</v>
      </c>
      <c r="Q69" s="89">
        <f t="shared" si="44"/>
        <v>29</v>
      </c>
      <c r="R69" s="89">
        <f t="shared" si="44"/>
        <v>2.67</v>
      </c>
      <c r="S69" s="89">
        <f t="shared" ref="S69:S114" si="45">SUM(O69:R69)</f>
        <v>43.09</v>
      </c>
      <c r="T69" s="87">
        <v>6.67</v>
      </c>
      <c r="U69" s="87">
        <v>4.17</v>
      </c>
      <c r="V69" s="87">
        <v>29.92</v>
      </c>
      <c r="W69" s="87">
        <v>2</v>
      </c>
      <c r="X69" s="89">
        <f t="shared" ref="X69:X114" si="46">SUM(T69:W69)</f>
        <v>42.760000000000005</v>
      </c>
      <c r="Y69" s="87">
        <v>6.67</v>
      </c>
      <c r="Z69" s="87">
        <v>4.17</v>
      </c>
      <c r="AA69" s="87">
        <v>29.92</v>
      </c>
      <c r="AB69" s="87">
        <v>2</v>
      </c>
      <c r="AC69" s="89">
        <f t="shared" ref="AC69:AC114" si="47">SUM(Y69:AB69)</f>
        <v>42.760000000000005</v>
      </c>
      <c r="AD69" s="89">
        <f t="shared" ref="AD69:AD114" si="48">(Y69*6400+Z69*5550+AA69*5094+AB69*4300)*12</f>
        <v>2722127.7600000002</v>
      </c>
      <c r="AE69" s="89">
        <f t="shared" si="33"/>
        <v>184723.20000000001</v>
      </c>
      <c r="AF69" s="89">
        <f t="shared" si="34"/>
        <v>256560.00000000003</v>
      </c>
      <c r="AG69" s="89">
        <f t="shared" si="35"/>
        <v>102624.00000000001</v>
      </c>
      <c r="AH69" s="89">
        <f t="shared" si="36"/>
        <v>401944.00000000006</v>
      </c>
      <c r="AI69" s="89">
        <f t="shared" si="37"/>
        <v>34208.000000000007</v>
      </c>
      <c r="AJ69" s="89">
        <f t="shared" si="38"/>
        <v>20000</v>
      </c>
      <c r="AK69" s="89">
        <f t="shared" si="39"/>
        <v>41049.600000000006</v>
      </c>
      <c r="AL69" s="89">
        <f t="shared" ref="AL69:AL114" si="49">ROUND((7310*12)*0.35256,2)*AC69</f>
        <v>1322419.7056000002</v>
      </c>
      <c r="AN69" s="89">
        <f t="shared" si="40"/>
        <v>5085656.2656000005</v>
      </c>
      <c r="AO69" s="99">
        <f t="shared" ref="AO69:AO114" si="50">ROUND(AN69*0.8,0)</f>
        <v>4068525</v>
      </c>
    </row>
    <row r="70" spans="1:41" ht="17.100000000000001" customHeight="1">
      <c r="A70" s="85" t="s">
        <v>4</v>
      </c>
      <c r="B70" s="86" t="s">
        <v>660</v>
      </c>
      <c r="C70" s="86" t="s">
        <v>609</v>
      </c>
      <c r="D70" s="87">
        <v>1</v>
      </c>
      <c r="E70" s="94">
        <v>3.67</v>
      </c>
      <c r="F70" s="94">
        <v>2</v>
      </c>
      <c r="G70" s="94">
        <v>17</v>
      </c>
      <c r="H70" s="94">
        <v>2.67</v>
      </c>
      <c r="I70" s="89">
        <f t="shared" si="42"/>
        <v>25.340000000000003</v>
      </c>
      <c r="J70" s="87"/>
      <c r="K70" s="87"/>
      <c r="L70" s="87"/>
      <c r="M70" s="87"/>
      <c r="N70" s="89">
        <f t="shared" si="43"/>
        <v>0</v>
      </c>
      <c r="O70" s="89">
        <f t="shared" si="44"/>
        <v>3.67</v>
      </c>
      <c r="P70" s="89">
        <f t="shared" si="44"/>
        <v>2</v>
      </c>
      <c r="Q70" s="89">
        <f t="shared" si="44"/>
        <v>17</v>
      </c>
      <c r="R70" s="89">
        <f t="shared" si="44"/>
        <v>2.67</v>
      </c>
      <c r="S70" s="89">
        <f t="shared" si="45"/>
        <v>25.340000000000003</v>
      </c>
      <c r="T70" s="87">
        <v>4</v>
      </c>
      <c r="U70" s="87">
        <v>1.58</v>
      </c>
      <c r="V70" s="87">
        <v>18</v>
      </c>
      <c r="W70" s="87">
        <v>1.42</v>
      </c>
      <c r="X70" s="89">
        <f t="shared" si="46"/>
        <v>25</v>
      </c>
      <c r="Y70" s="87">
        <v>4</v>
      </c>
      <c r="Z70" s="87">
        <v>1.58</v>
      </c>
      <c r="AA70" s="87">
        <v>18</v>
      </c>
      <c r="AB70" s="87">
        <v>1.42</v>
      </c>
      <c r="AC70" s="89">
        <f t="shared" si="47"/>
        <v>25</v>
      </c>
      <c r="AD70" s="89">
        <f t="shared" si="48"/>
        <v>1586004</v>
      </c>
      <c r="AE70" s="89">
        <f t="shared" si="33"/>
        <v>108000</v>
      </c>
      <c r="AF70" s="89">
        <f t="shared" si="34"/>
        <v>150000</v>
      </c>
      <c r="AG70" s="89">
        <f t="shared" si="35"/>
        <v>60000</v>
      </c>
      <c r="AH70" s="89">
        <f t="shared" si="36"/>
        <v>235000</v>
      </c>
      <c r="AI70" s="89">
        <f t="shared" si="37"/>
        <v>20000</v>
      </c>
      <c r="AJ70" s="89">
        <f t="shared" si="38"/>
        <v>10000</v>
      </c>
      <c r="AK70" s="89">
        <f t="shared" si="39"/>
        <v>24000</v>
      </c>
      <c r="AL70" s="89">
        <f t="shared" si="49"/>
        <v>773164</v>
      </c>
      <c r="AM70" s="89"/>
      <c r="AN70" s="89">
        <f t="shared" si="40"/>
        <v>2966168</v>
      </c>
      <c r="AO70" s="99">
        <f t="shared" si="50"/>
        <v>2372934</v>
      </c>
    </row>
    <row r="71" spans="1:41" ht="17.100000000000001" customHeight="1">
      <c r="A71" s="85" t="s">
        <v>4</v>
      </c>
      <c r="B71" s="86" t="s">
        <v>661</v>
      </c>
      <c r="C71" s="86" t="s">
        <v>609</v>
      </c>
      <c r="D71" s="87">
        <v>2</v>
      </c>
      <c r="E71" s="94">
        <v>0</v>
      </c>
      <c r="F71" s="94">
        <v>2</v>
      </c>
      <c r="G71" s="94">
        <v>23.33</v>
      </c>
      <c r="H71" s="94">
        <v>2.67</v>
      </c>
      <c r="I71" s="89">
        <f t="shared" si="42"/>
        <v>28</v>
      </c>
      <c r="J71" s="87"/>
      <c r="K71" s="87"/>
      <c r="L71" s="87"/>
      <c r="M71" s="87"/>
      <c r="N71" s="89">
        <f t="shared" si="43"/>
        <v>0</v>
      </c>
      <c r="O71" s="89">
        <f t="shared" si="44"/>
        <v>0</v>
      </c>
      <c r="P71" s="89">
        <f t="shared" si="44"/>
        <v>2</v>
      </c>
      <c r="Q71" s="89">
        <f t="shared" si="44"/>
        <v>23.33</v>
      </c>
      <c r="R71" s="89">
        <f t="shared" si="44"/>
        <v>2.67</v>
      </c>
      <c r="S71" s="89">
        <f t="shared" si="45"/>
        <v>28</v>
      </c>
      <c r="T71" s="87">
        <v>2.58</v>
      </c>
      <c r="U71" s="87">
        <v>1.58</v>
      </c>
      <c r="V71" s="87">
        <v>22.5</v>
      </c>
      <c r="W71" s="87">
        <v>1.83</v>
      </c>
      <c r="X71" s="89">
        <f t="shared" si="46"/>
        <v>28.490000000000002</v>
      </c>
      <c r="Y71" s="87">
        <v>0</v>
      </c>
      <c r="Z71" s="87">
        <v>2</v>
      </c>
      <c r="AA71" s="87">
        <v>23.33</v>
      </c>
      <c r="AB71" s="87">
        <v>2.67</v>
      </c>
      <c r="AC71" s="89">
        <f t="shared" si="47"/>
        <v>28</v>
      </c>
      <c r="AD71" s="89">
        <f t="shared" si="48"/>
        <v>1697088.2399999998</v>
      </c>
      <c r="AE71" s="89">
        <f t="shared" si="33"/>
        <v>120960</v>
      </c>
      <c r="AF71" s="89">
        <f t="shared" si="34"/>
        <v>168000</v>
      </c>
      <c r="AG71" s="89">
        <f t="shared" si="35"/>
        <v>67200</v>
      </c>
      <c r="AH71" s="89">
        <f t="shared" si="36"/>
        <v>263200</v>
      </c>
      <c r="AI71" s="89">
        <f t="shared" si="37"/>
        <v>22400</v>
      </c>
      <c r="AJ71" s="89">
        <f t="shared" si="38"/>
        <v>20000</v>
      </c>
      <c r="AK71" s="89">
        <f t="shared" si="39"/>
        <v>26880</v>
      </c>
      <c r="AL71" s="89">
        <f t="shared" si="49"/>
        <v>865943.68</v>
      </c>
      <c r="AM71" s="89"/>
      <c r="AN71" s="89">
        <f t="shared" si="40"/>
        <v>3251671.92</v>
      </c>
      <c r="AO71" s="99">
        <f t="shared" si="50"/>
        <v>2601338</v>
      </c>
    </row>
    <row r="72" spans="1:41" ht="17.100000000000001" customHeight="1">
      <c r="A72" s="85" t="s">
        <v>4</v>
      </c>
      <c r="B72" s="86" t="s">
        <v>456</v>
      </c>
      <c r="C72" s="86" t="s">
        <v>609</v>
      </c>
      <c r="D72" s="87">
        <v>5</v>
      </c>
      <c r="E72" s="94">
        <v>9.33</v>
      </c>
      <c r="F72" s="94">
        <v>2.67</v>
      </c>
      <c r="G72" s="94">
        <v>58.67</v>
      </c>
      <c r="H72" s="94">
        <v>5</v>
      </c>
      <c r="I72" s="89">
        <f t="shared" si="42"/>
        <v>75.67</v>
      </c>
      <c r="J72" s="87"/>
      <c r="K72" s="87"/>
      <c r="L72" s="87"/>
      <c r="M72" s="87"/>
      <c r="N72" s="89">
        <f t="shared" si="43"/>
        <v>0</v>
      </c>
      <c r="O72" s="89">
        <f t="shared" si="44"/>
        <v>9.33</v>
      </c>
      <c r="P72" s="89">
        <f t="shared" si="44"/>
        <v>2.67</v>
      </c>
      <c r="Q72" s="89">
        <f t="shared" si="44"/>
        <v>58.67</v>
      </c>
      <c r="R72" s="89">
        <f t="shared" si="44"/>
        <v>5</v>
      </c>
      <c r="S72" s="89">
        <f t="shared" si="45"/>
        <v>75.67</v>
      </c>
      <c r="T72" s="87">
        <v>1.67</v>
      </c>
      <c r="U72" s="87">
        <v>5.33</v>
      </c>
      <c r="V72" s="87">
        <v>56.17</v>
      </c>
      <c r="W72" s="87">
        <v>3</v>
      </c>
      <c r="X72" s="89">
        <f t="shared" si="46"/>
        <v>66.17</v>
      </c>
      <c r="Y72" s="87">
        <v>1.67</v>
      </c>
      <c r="Z72" s="87">
        <v>5.33</v>
      </c>
      <c r="AA72" s="87">
        <v>56.17</v>
      </c>
      <c r="AB72" s="87">
        <v>3</v>
      </c>
      <c r="AC72" s="89">
        <f t="shared" si="47"/>
        <v>66.17</v>
      </c>
      <c r="AD72" s="89">
        <f t="shared" si="48"/>
        <v>4071593.76</v>
      </c>
      <c r="AE72" s="89">
        <f t="shared" si="33"/>
        <v>285854.40000000002</v>
      </c>
      <c r="AF72" s="89">
        <f t="shared" si="34"/>
        <v>397020</v>
      </c>
      <c r="AG72" s="89">
        <f t="shared" si="35"/>
        <v>158808</v>
      </c>
      <c r="AH72" s="89">
        <f t="shared" si="36"/>
        <v>621998</v>
      </c>
      <c r="AI72" s="89">
        <f t="shared" si="37"/>
        <v>52936</v>
      </c>
      <c r="AJ72" s="89">
        <f t="shared" si="38"/>
        <v>50000</v>
      </c>
      <c r="AK72" s="89">
        <f t="shared" si="39"/>
        <v>63523.200000000004</v>
      </c>
      <c r="AL72" s="89">
        <f t="shared" si="49"/>
        <v>2046410.4752000002</v>
      </c>
      <c r="AN72" s="89">
        <f t="shared" si="40"/>
        <v>7748143.8352000006</v>
      </c>
      <c r="AO72" s="99">
        <f t="shared" si="50"/>
        <v>6198515</v>
      </c>
    </row>
    <row r="73" spans="1:41" ht="17.100000000000001" customHeight="1">
      <c r="A73" s="85" t="s">
        <v>4</v>
      </c>
      <c r="B73" s="86" t="s">
        <v>662</v>
      </c>
      <c r="C73" s="86" t="s">
        <v>609</v>
      </c>
      <c r="D73" s="87">
        <v>2</v>
      </c>
      <c r="E73" s="94">
        <v>0</v>
      </c>
      <c r="F73" s="94">
        <v>2</v>
      </c>
      <c r="G73" s="94">
        <v>23.33</v>
      </c>
      <c r="H73" s="94">
        <v>2.67</v>
      </c>
      <c r="I73" s="89">
        <f t="shared" si="42"/>
        <v>28</v>
      </c>
      <c r="J73" s="87">
        <v>1.67</v>
      </c>
      <c r="K73" s="87"/>
      <c r="L73" s="87">
        <v>0.33</v>
      </c>
      <c r="M73" s="87"/>
      <c r="N73" s="89">
        <f t="shared" si="43"/>
        <v>2</v>
      </c>
      <c r="O73" s="89">
        <f t="shared" si="44"/>
        <v>1.67</v>
      </c>
      <c r="P73" s="89">
        <f t="shared" si="44"/>
        <v>2</v>
      </c>
      <c r="Q73" s="89">
        <f t="shared" si="44"/>
        <v>23.659999999999997</v>
      </c>
      <c r="R73" s="89">
        <f t="shared" si="44"/>
        <v>2.67</v>
      </c>
      <c r="S73" s="89">
        <f t="shared" si="45"/>
        <v>30</v>
      </c>
      <c r="T73" s="87">
        <v>3.67</v>
      </c>
      <c r="U73" s="87">
        <v>1</v>
      </c>
      <c r="V73" s="87">
        <v>23.58</v>
      </c>
      <c r="W73" s="87">
        <v>1.75</v>
      </c>
      <c r="X73" s="89">
        <f t="shared" si="46"/>
        <v>30</v>
      </c>
      <c r="Y73" s="87">
        <v>3.67</v>
      </c>
      <c r="Z73" s="87">
        <v>1</v>
      </c>
      <c r="AA73" s="87">
        <v>23.58</v>
      </c>
      <c r="AB73" s="87">
        <v>1.75</v>
      </c>
      <c r="AC73" s="89">
        <f t="shared" si="47"/>
        <v>30</v>
      </c>
      <c r="AD73" s="89">
        <f t="shared" si="48"/>
        <v>1880154.2399999998</v>
      </c>
      <c r="AE73" s="89">
        <f t="shared" si="33"/>
        <v>129600</v>
      </c>
      <c r="AF73" s="89">
        <f t="shared" si="34"/>
        <v>180000</v>
      </c>
      <c r="AG73" s="89">
        <f t="shared" si="35"/>
        <v>72000</v>
      </c>
      <c r="AH73" s="89">
        <f t="shared" si="36"/>
        <v>282000</v>
      </c>
      <c r="AI73" s="89">
        <f t="shared" si="37"/>
        <v>24000</v>
      </c>
      <c r="AJ73" s="89">
        <f t="shared" si="38"/>
        <v>20000</v>
      </c>
      <c r="AK73" s="89">
        <f t="shared" si="39"/>
        <v>28800</v>
      </c>
      <c r="AL73" s="89">
        <f t="shared" si="49"/>
        <v>927796.8</v>
      </c>
      <c r="AM73" s="89"/>
      <c r="AN73" s="89">
        <f t="shared" si="40"/>
        <v>3544351.04</v>
      </c>
      <c r="AO73" s="99">
        <f t="shared" si="50"/>
        <v>2835481</v>
      </c>
    </row>
    <row r="74" spans="1:41" ht="17.100000000000001" customHeight="1">
      <c r="A74" s="85" t="s">
        <v>4</v>
      </c>
      <c r="B74" s="86" t="s">
        <v>453</v>
      </c>
      <c r="C74" s="86" t="s">
        <v>611</v>
      </c>
      <c r="D74" s="87"/>
      <c r="E74" s="94">
        <v>10</v>
      </c>
      <c r="F74" s="94">
        <v>5.67</v>
      </c>
      <c r="G74" s="94">
        <v>0</v>
      </c>
      <c r="H74" s="94">
        <v>8.33</v>
      </c>
      <c r="I74" s="89">
        <f t="shared" si="42"/>
        <v>24</v>
      </c>
      <c r="J74" s="87"/>
      <c r="K74" s="87"/>
      <c r="L74" s="87"/>
      <c r="M74" s="87"/>
      <c r="N74" s="89">
        <f t="shared" si="43"/>
        <v>0</v>
      </c>
      <c r="O74" s="89">
        <f t="shared" si="44"/>
        <v>10</v>
      </c>
      <c r="P74" s="89">
        <f t="shared" si="44"/>
        <v>5.67</v>
      </c>
      <c r="Q74" s="89">
        <f t="shared" si="44"/>
        <v>0</v>
      </c>
      <c r="R74" s="89">
        <f t="shared" si="44"/>
        <v>8.33</v>
      </c>
      <c r="S74" s="89">
        <f t="shared" si="45"/>
        <v>24</v>
      </c>
      <c r="T74" s="87">
        <v>9.42</v>
      </c>
      <c r="U74" s="87">
        <v>2</v>
      </c>
      <c r="V74" s="87">
        <v>0</v>
      </c>
      <c r="W74" s="87">
        <v>9</v>
      </c>
      <c r="X74" s="89">
        <f t="shared" si="46"/>
        <v>20.420000000000002</v>
      </c>
      <c r="Y74" s="87">
        <v>9.42</v>
      </c>
      <c r="Z74" s="87">
        <v>2</v>
      </c>
      <c r="AA74" s="87">
        <v>0</v>
      </c>
      <c r="AB74" s="87">
        <v>9</v>
      </c>
      <c r="AC74" s="89">
        <f t="shared" si="47"/>
        <v>20.420000000000002</v>
      </c>
      <c r="AD74" s="89">
        <f t="shared" si="48"/>
        <v>1321056</v>
      </c>
      <c r="AE74" s="89">
        <f t="shared" si="33"/>
        <v>88214.400000000009</v>
      </c>
      <c r="AF74" s="89">
        <f t="shared" si="34"/>
        <v>122520.00000000001</v>
      </c>
      <c r="AG74" s="89">
        <f t="shared" si="35"/>
        <v>49008.000000000007</v>
      </c>
      <c r="AH74" s="89">
        <f t="shared" si="36"/>
        <v>191948.00000000003</v>
      </c>
      <c r="AI74" s="89">
        <f t="shared" si="37"/>
        <v>16336.000000000002</v>
      </c>
      <c r="AJ74" s="89">
        <f t="shared" si="38"/>
        <v>0</v>
      </c>
      <c r="AK74" s="89">
        <f t="shared" si="39"/>
        <v>19603.2</v>
      </c>
      <c r="AL74" s="89">
        <f t="shared" si="49"/>
        <v>631520.35520000011</v>
      </c>
      <c r="AM74" s="89">
        <v>36397</v>
      </c>
      <c r="AN74" s="89">
        <f t="shared" si="40"/>
        <v>2476602.9551999997</v>
      </c>
      <c r="AO74" s="99">
        <f t="shared" si="50"/>
        <v>1981282</v>
      </c>
    </row>
    <row r="75" spans="1:41" ht="17.100000000000001" customHeight="1">
      <c r="A75" s="85" t="s">
        <v>4</v>
      </c>
      <c r="B75" s="86" t="s">
        <v>452</v>
      </c>
      <c r="C75" s="86" t="s">
        <v>611</v>
      </c>
      <c r="D75" s="87"/>
      <c r="E75" s="94">
        <v>0</v>
      </c>
      <c r="F75" s="94">
        <v>4</v>
      </c>
      <c r="G75" s="94">
        <v>0</v>
      </c>
      <c r="H75" s="94">
        <v>5</v>
      </c>
      <c r="I75" s="89">
        <f t="shared" si="42"/>
        <v>9</v>
      </c>
      <c r="J75" s="87"/>
      <c r="K75" s="87"/>
      <c r="L75" s="87"/>
      <c r="M75" s="87"/>
      <c r="N75" s="89">
        <f t="shared" si="43"/>
        <v>0</v>
      </c>
      <c r="O75" s="89">
        <f t="shared" si="44"/>
        <v>0</v>
      </c>
      <c r="P75" s="89">
        <f t="shared" si="44"/>
        <v>4</v>
      </c>
      <c r="Q75" s="89">
        <f t="shared" si="44"/>
        <v>0</v>
      </c>
      <c r="R75" s="89">
        <f t="shared" si="44"/>
        <v>5</v>
      </c>
      <c r="S75" s="89">
        <f t="shared" si="45"/>
        <v>9</v>
      </c>
      <c r="T75" s="87">
        <v>1.33</v>
      </c>
      <c r="U75" s="87">
        <v>2</v>
      </c>
      <c r="V75" s="87">
        <v>0</v>
      </c>
      <c r="W75" s="87">
        <v>4.75</v>
      </c>
      <c r="X75" s="89">
        <f t="shared" si="46"/>
        <v>8.08</v>
      </c>
      <c r="Y75" s="87">
        <v>1.33</v>
      </c>
      <c r="Z75" s="87">
        <v>2</v>
      </c>
      <c r="AA75" s="87">
        <v>0</v>
      </c>
      <c r="AB75" s="87">
        <v>4.75</v>
      </c>
      <c r="AC75" s="89">
        <f t="shared" si="47"/>
        <v>8.08</v>
      </c>
      <c r="AD75" s="89">
        <f t="shared" si="48"/>
        <v>480444</v>
      </c>
      <c r="AE75" s="89">
        <f t="shared" si="33"/>
        <v>34905.599999999999</v>
      </c>
      <c r="AF75" s="89">
        <f t="shared" si="34"/>
        <v>48480</v>
      </c>
      <c r="AG75" s="89">
        <f t="shared" si="35"/>
        <v>19392</v>
      </c>
      <c r="AH75" s="89">
        <f t="shared" si="36"/>
        <v>75952</v>
      </c>
      <c r="AI75" s="89">
        <f t="shared" si="37"/>
        <v>6464</v>
      </c>
      <c r="AJ75" s="89">
        <f t="shared" si="38"/>
        <v>0</v>
      </c>
      <c r="AK75" s="89">
        <f t="shared" si="39"/>
        <v>7756.8</v>
      </c>
      <c r="AL75" s="89">
        <f t="shared" si="49"/>
        <v>249886.6048</v>
      </c>
      <c r="AM75" s="89">
        <v>25245</v>
      </c>
      <c r="AN75" s="89">
        <f t="shared" si="40"/>
        <v>948526.0048</v>
      </c>
      <c r="AO75" s="99">
        <f t="shared" si="50"/>
        <v>758821</v>
      </c>
    </row>
    <row r="76" spans="1:41" ht="17.100000000000001" customHeight="1">
      <c r="A76" s="85" t="s">
        <v>4</v>
      </c>
      <c r="B76" s="86" t="s">
        <v>663</v>
      </c>
      <c r="C76" s="86" t="s">
        <v>611</v>
      </c>
      <c r="D76" s="87"/>
      <c r="E76" s="94">
        <v>7</v>
      </c>
      <c r="F76" s="94">
        <v>5.33</v>
      </c>
      <c r="G76" s="94">
        <v>0</v>
      </c>
      <c r="H76" s="94">
        <v>8</v>
      </c>
      <c r="I76" s="89">
        <f t="shared" si="42"/>
        <v>20.329999999999998</v>
      </c>
      <c r="J76" s="87">
        <v>4</v>
      </c>
      <c r="K76" s="87">
        <v>0</v>
      </c>
      <c r="L76" s="87">
        <v>0</v>
      </c>
      <c r="M76" s="87">
        <v>0</v>
      </c>
      <c r="N76" s="89">
        <f t="shared" si="43"/>
        <v>4</v>
      </c>
      <c r="O76" s="89">
        <f t="shared" si="44"/>
        <v>11</v>
      </c>
      <c r="P76" s="89">
        <f t="shared" si="44"/>
        <v>5.33</v>
      </c>
      <c r="Q76" s="89">
        <f t="shared" si="44"/>
        <v>0</v>
      </c>
      <c r="R76" s="89">
        <f t="shared" si="44"/>
        <v>8</v>
      </c>
      <c r="S76" s="89">
        <f t="shared" si="45"/>
        <v>24.33</v>
      </c>
      <c r="T76" s="87">
        <v>5.5</v>
      </c>
      <c r="U76" s="87">
        <v>8.75</v>
      </c>
      <c r="V76" s="87">
        <v>0</v>
      </c>
      <c r="W76" s="87">
        <v>9.33</v>
      </c>
      <c r="X76" s="89">
        <f t="shared" si="46"/>
        <v>23.58</v>
      </c>
      <c r="Y76" s="87">
        <v>5.5</v>
      </c>
      <c r="Z76" s="87">
        <v>8.75</v>
      </c>
      <c r="AA76" s="87">
        <v>0</v>
      </c>
      <c r="AB76" s="87">
        <v>9.33</v>
      </c>
      <c r="AC76" s="89">
        <f t="shared" si="47"/>
        <v>23.58</v>
      </c>
      <c r="AD76" s="89">
        <f t="shared" si="48"/>
        <v>1486578</v>
      </c>
      <c r="AE76" s="89">
        <f t="shared" si="33"/>
        <v>101865.59999999999</v>
      </c>
      <c r="AF76" s="89">
        <f t="shared" si="34"/>
        <v>141480</v>
      </c>
      <c r="AG76" s="89">
        <f t="shared" si="35"/>
        <v>56591.999999999993</v>
      </c>
      <c r="AH76" s="89">
        <f t="shared" si="36"/>
        <v>221651.99999999997</v>
      </c>
      <c r="AI76" s="89">
        <f t="shared" si="37"/>
        <v>18864</v>
      </c>
      <c r="AJ76" s="89">
        <f t="shared" si="38"/>
        <v>0</v>
      </c>
      <c r="AK76" s="89">
        <f t="shared" si="39"/>
        <v>22636.799999999999</v>
      </c>
      <c r="AL76" s="89">
        <f t="shared" si="49"/>
        <v>729248.28480000002</v>
      </c>
      <c r="AM76" s="89">
        <v>15075</v>
      </c>
      <c r="AN76" s="89">
        <f t="shared" si="40"/>
        <v>2793991.6847999999</v>
      </c>
      <c r="AO76" s="99">
        <f t="shared" si="50"/>
        <v>2235193</v>
      </c>
    </row>
    <row r="77" spans="1:41" ht="17.100000000000001" customHeight="1">
      <c r="A77" s="85" t="s">
        <v>4</v>
      </c>
      <c r="B77" s="86" t="s">
        <v>451</v>
      </c>
      <c r="C77" s="86" t="s">
        <v>611</v>
      </c>
      <c r="D77" s="87"/>
      <c r="E77" s="94">
        <v>8.33</v>
      </c>
      <c r="F77" s="94">
        <v>15.33</v>
      </c>
      <c r="G77" s="94">
        <v>0</v>
      </c>
      <c r="H77" s="94">
        <v>19</v>
      </c>
      <c r="I77" s="89">
        <f t="shared" si="42"/>
        <v>42.66</v>
      </c>
      <c r="J77" s="87">
        <v>2.33</v>
      </c>
      <c r="K77" s="87">
        <v>0</v>
      </c>
      <c r="L77" s="87">
        <v>0</v>
      </c>
      <c r="M77" s="87">
        <v>0</v>
      </c>
      <c r="N77" s="89">
        <f t="shared" si="43"/>
        <v>2.33</v>
      </c>
      <c r="O77" s="89">
        <f t="shared" si="44"/>
        <v>10.66</v>
      </c>
      <c r="P77" s="89">
        <f t="shared" si="44"/>
        <v>15.33</v>
      </c>
      <c r="Q77" s="89">
        <f t="shared" si="44"/>
        <v>0</v>
      </c>
      <c r="R77" s="89">
        <f t="shared" si="44"/>
        <v>19</v>
      </c>
      <c r="S77" s="89">
        <f t="shared" si="45"/>
        <v>44.99</v>
      </c>
      <c r="T77" s="87">
        <v>11</v>
      </c>
      <c r="U77" s="87">
        <v>9.5</v>
      </c>
      <c r="V77" s="87">
        <v>0</v>
      </c>
      <c r="W77" s="87">
        <v>23</v>
      </c>
      <c r="X77" s="89">
        <f t="shared" si="46"/>
        <v>43.5</v>
      </c>
      <c r="Y77" s="87">
        <v>11</v>
      </c>
      <c r="Z77" s="87">
        <v>9.5</v>
      </c>
      <c r="AA77" s="87">
        <v>0</v>
      </c>
      <c r="AB77" s="87">
        <v>23</v>
      </c>
      <c r="AC77" s="89">
        <f t="shared" si="47"/>
        <v>43.5</v>
      </c>
      <c r="AD77" s="89">
        <f t="shared" si="48"/>
        <v>2664300</v>
      </c>
      <c r="AE77" s="89">
        <f t="shared" si="33"/>
        <v>187920</v>
      </c>
      <c r="AF77" s="89">
        <f t="shared" si="34"/>
        <v>261000</v>
      </c>
      <c r="AG77" s="89">
        <f t="shared" si="35"/>
        <v>104400</v>
      </c>
      <c r="AH77" s="89">
        <f t="shared" si="36"/>
        <v>408900</v>
      </c>
      <c r="AI77" s="89">
        <f t="shared" si="37"/>
        <v>34800</v>
      </c>
      <c r="AJ77" s="89">
        <f t="shared" si="38"/>
        <v>0</v>
      </c>
      <c r="AK77" s="89">
        <f t="shared" si="39"/>
        <v>41760</v>
      </c>
      <c r="AL77" s="89">
        <f t="shared" si="49"/>
        <v>1345305.36</v>
      </c>
      <c r="AM77" s="89">
        <v>243384</v>
      </c>
      <c r="AN77" s="89">
        <f t="shared" si="40"/>
        <v>5291769.3600000003</v>
      </c>
      <c r="AO77" s="99">
        <f t="shared" si="50"/>
        <v>4233415</v>
      </c>
    </row>
    <row r="78" spans="1:41" ht="17.100000000000001" customHeight="1">
      <c r="A78" s="85" t="s">
        <v>4</v>
      </c>
      <c r="B78" s="86" t="s">
        <v>664</v>
      </c>
      <c r="C78" s="86" t="s">
        <v>611</v>
      </c>
      <c r="D78" s="87"/>
      <c r="E78" s="94">
        <v>0</v>
      </c>
      <c r="F78" s="94">
        <v>4</v>
      </c>
      <c r="G78" s="94">
        <v>0</v>
      </c>
      <c r="H78" s="94">
        <v>5</v>
      </c>
      <c r="I78" s="89">
        <f t="shared" si="42"/>
        <v>9</v>
      </c>
      <c r="J78" s="87"/>
      <c r="K78" s="87"/>
      <c r="L78" s="87"/>
      <c r="M78" s="87"/>
      <c r="N78" s="89">
        <f t="shared" si="43"/>
        <v>0</v>
      </c>
      <c r="O78" s="89">
        <f t="shared" si="44"/>
        <v>0</v>
      </c>
      <c r="P78" s="89">
        <f t="shared" si="44"/>
        <v>4</v>
      </c>
      <c r="Q78" s="89">
        <f t="shared" si="44"/>
        <v>0</v>
      </c>
      <c r="R78" s="89">
        <f t="shared" si="44"/>
        <v>5</v>
      </c>
      <c r="S78" s="89">
        <f t="shared" si="45"/>
        <v>9</v>
      </c>
      <c r="T78" s="87">
        <v>0.75</v>
      </c>
      <c r="U78" s="87">
        <v>2.83</v>
      </c>
      <c r="V78" s="87">
        <v>0</v>
      </c>
      <c r="W78" s="87">
        <v>5.17</v>
      </c>
      <c r="X78" s="89">
        <f t="shared" si="46"/>
        <v>8.75</v>
      </c>
      <c r="Y78" s="87">
        <v>0.75</v>
      </c>
      <c r="Z78" s="87">
        <v>2.83</v>
      </c>
      <c r="AA78" s="87">
        <v>0</v>
      </c>
      <c r="AB78" s="87">
        <v>5.17</v>
      </c>
      <c r="AC78" s="89">
        <f t="shared" si="47"/>
        <v>8.75</v>
      </c>
      <c r="AD78" s="89">
        <f t="shared" si="48"/>
        <v>512850</v>
      </c>
      <c r="AE78" s="89">
        <f t="shared" si="33"/>
        <v>37800</v>
      </c>
      <c r="AF78" s="89">
        <f t="shared" si="34"/>
        <v>52500</v>
      </c>
      <c r="AG78" s="89">
        <f t="shared" si="35"/>
        <v>21000</v>
      </c>
      <c r="AH78" s="89">
        <f t="shared" si="36"/>
        <v>82250</v>
      </c>
      <c r="AI78" s="89">
        <f t="shared" si="37"/>
        <v>7000</v>
      </c>
      <c r="AJ78" s="89">
        <f t="shared" si="38"/>
        <v>0</v>
      </c>
      <c r="AK78" s="89">
        <f t="shared" si="39"/>
        <v>8400</v>
      </c>
      <c r="AL78" s="89">
        <f t="shared" si="49"/>
        <v>270607.40000000002</v>
      </c>
      <c r="AM78" s="89"/>
      <c r="AN78" s="89">
        <f t="shared" si="40"/>
        <v>992407.4</v>
      </c>
      <c r="AO78" s="99">
        <f t="shared" si="50"/>
        <v>793926</v>
      </c>
    </row>
    <row r="79" spans="1:41" ht="17.100000000000001" customHeight="1">
      <c r="A79" s="85" t="s">
        <v>4</v>
      </c>
      <c r="B79" s="86" t="s">
        <v>448</v>
      </c>
      <c r="C79" s="86" t="s">
        <v>611</v>
      </c>
      <c r="D79" s="87"/>
      <c r="E79" s="94">
        <v>0</v>
      </c>
      <c r="F79" s="94">
        <v>5</v>
      </c>
      <c r="G79" s="94">
        <v>0</v>
      </c>
      <c r="H79" s="94">
        <v>6</v>
      </c>
      <c r="I79" s="89">
        <f t="shared" si="42"/>
        <v>11</v>
      </c>
      <c r="J79" s="87">
        <v>1</v>
      </c>
      <c r="K79" s="87">
        <v>0</v>
      </c>
      <c r="L79" s="87">
        <v>0</v>
      </c>
      <c r="M79" s="87">
        <v>0</v>
      </c>
      <c r="N79" s="89">
        <f t="shared" si="43"/>
        <v>1</v>
      </c>
      <c r="O79" s="89">
        <f t="shared" si="44"/>
        <v>1</v>
      </c>
      <c r="P79" s="89">
        <f t="shared" si="44"/>
        <v>5</v>
      </c>
      <c r="Q79" s="89">
        <f t="shared" si="44"/>
        <v>0</v>
      </c>
      <c r="R79" s="89">
        <f t="shared" si="44"/>
        <v>6</v>
      </c>
      <c r="S79" s="89">
        <f t="shared" si="45"/>
        <v>12</v>
      </c>
      <c r="T79" s="87">
        <v>1.33</v>
      </c>
      <c r="U79" s="87">
        <v>3.33</v>
      </c>
      <c r="V79" s="87">
        <v>2</v>
      </c>
      <c r="W79" s="87">
        <v>5.17</v>
      </c>
      <c r="X79" s="89">
        <f t="shared" si="46"/>
        <v>11.83</v>
      </c>
      <c r="Y79" s="87">
        <v>1.33</v>
      </c>
      <c r="Z79" s="87">
        <v>3.33</v>
      </c>
      <c r="AA79" s="87">
        <v>2</v>
      </c>
      <c r="AB79" s="87">
        <v>5.17</v>
      </c>
      <c r="AC79" s="89">
        <f t="shared" si="47"/>
        <v>11.83</v>
      </c>
      <c r="AD79" s="89">
        <f t="shared" si="48"/>
        <v>712950</v>
      </c>
      <c r="AE79" s="89">
        <f t="shared" si="33"/>
        <v>51105.599999999999</v>
      </c>
      <c r="AF79" s="89">
        <f t="shared" si="34"/>
        <v>70980</v>
      </c>
      <c r="AG79" s="89">
        <f t="shared" si="35"/>
        <v>28392</v>
      </c>
      <c r="AH79" s="89">
        <f t="shared" si="36"/>
        <v>111202</v>
      </c>
      <c r="AI79" s="89">
        <f t="shared" si="37"/>
        <v>9464</v>
      </c>
      <c r="AJ79" s="89">
        <f t="shared" si="38"/>
        <v>0</v>
      </c>
      <c r="AK79" s="89">
        <f t="shared" si="39"/>
        <v>11356.8</v>
      </c>
      <c r="AL79" s="89">
        <f t="shared" si="49"/>
        <v>365861.20480000001</v>
      </c>
      <c r="AM79" s="89">
        <v>33336.5</v>
      </c>
      <c r="AN79" s="89">
        <f t="shared" si="40"/>
        <v>1394648.1048000001</v>
      </c>
      <c r="AO79" s="99">
        <f t="shared" si="50"/>
        <v>1115718</v>
      </c>
    </row>
    <row r="80" spans="1:41" ht="17.100000000000001" customHeight="1">
      <c r="A80" s="85" t="s">
        <v>4</v>
      </c>
      <c r="B80" s="86" t="s">
        <v>665</v>
      </c>
      <c r="C80" s="86" t="s">
        <v>611</v>
      </c>
      <c r="D80" s="87"/>
      <c r="E80" s="94">
        <v>8</v>
      </c>
      <c r="F80" s="94">
        <v>4</v>
      </c>
      <c r="G80" s="94">
        <v>0</v>
      </c>
      <c r="H80" s="94">
        <v>5</v>
      </c>
      <c r="I80" s="89">
        <f t="shared" si="42"/>
        <v>17</v>
      </c>
      <c r="J80" s="87">
        <v>1</v>
      </c>
      <c r="K80" s="87">
        <v>0</v>
      </c>
      <c r="L80" s="87">
        <v>0</v>
      </c>
      <c r="M80" s="87">
        <v>0</v>
      </c>
      <c r="N80" s="89">
        <f t="shared" si="43"/>
        <v>1</v>
      </c>
      <c r="O80" s="89">
        <f t="shared" si="44"/>
        <v>9</v>
      </c>
      <c r="P80" s="89">
        <f t="shared" si="44"/>
        <v>4</v>
      </c>
      <c r="Q80" s="89">
        <f t="shared" si="44"/>
        <v>0</v>
      </c>
      <c r="R80" s="89">
        <f t="shared" si="44"/>
        <v>5</v>
      </c>
      <c r="S80" s="89">
        <f t="shared" si="45"/>
        <v>18</v>
      </c>
      <c r="T80" s="87">
        <v>1</v>
      </c>
      <c r="U80" s="87">
        <v>8.17</v>
      </c>
      <c r="V80" s="87">
        <v>0</v>
      </c>
      <c r="W80" s="87">
        <v>8.83</v>
      </c>
      <c r="X80" s="89">
        <f t="shared" si="46"/>
        <v>18</v>
      </c>
      <c r="Y80" s="87">
        <v>1</v>
      </c>
      <c r="Z80" s="87">
        <v>8.17</v>
      </c>
      <c r="AA80" s="87">
        <v>0</v>
      </c>
      <c r="AB80" s="87">
        <v>8.83</v>
      </c>
      <c r="AC80" s="89">
        <f t="shared" si="47"/>
        <v>18</v>
      </c>
      <c r="AD80" s="89">
        <f t="shared" si="48"/>
        <v>1076550</v>
      </c>
      <c r="AE80" s="89">
        <f t="shared" si="33"/>
        <v>77760</v>
      </c>
      <c r="AF80" s="89">
        <f t="shared" si="34"/>
        <v>108000</v>
      </c>
      <c r="AG80" s="89">
        <f t="shared" si="35"/>
        <v>43200</v>
      </c>
      <c r="AH80" s="89">
        <f t="shared" si="36"/>
        <v>169200</v>
      </c>
      <c r="AI80" s="89">
        <f t="shared" si="37"/>
        <v>14400</v>
      </c>
      <c r="AJ80" s="89">
        <f t="shared" si="38"/>
        <v>0</v>
      </c>
      <c r="AK80" s="89">
        <f t="shared" si="39"/>
        <v>17280</v>
      </c>
      <c r="AL80" s="89">
        <f t="shared" si="49"/>
        <v>556678.08000000007</v>
      </c>
      <c r="AM80" s="89"/>
      <c r="AN80" s="89">
        <f t="shared" si="40"/>
        <v>2063068.08</v>
      </c>
      <c r="AO80" s="99">
        <f t="shared" si="50"/>
        <v>1650454</v>
      </c>
    </row>
    <row r="81" spans="1:41" ht="17.100000000000001" customHeight="1">
      <c r="A81" s="85" t="s">
        <v>4</v>
      </c>
      <c r="B81" s="86" t="s">
        <v>666</v>
      </c>
      <c r="C81" s="86" t="s">
        <v>611</v>
      </c>
      <c r="D81" s="87"/>
      <c r="E81" s="94">
        <v>5</v>
      </c>
      <c r="F81" s="94">
        <v>10</v>
      </c>
      <c r="G81" s="94">
        <v>0</v>
      </c>
      <c r="H81" s="94">
        <v>10</v>
      </c>
      <c r="I81" s="89">
        <f t="shared" si="42"/>
        <v>25</v>
      </c>
      <c r="J81" s="87">
        <v>4</v>
      </c>
      <c r="K81" s="87">
        <v>1.67</v>
      </c>
      <c r="L81" s="87">
        <v>0</v>
      </c>
      <c r="M81" s="87">
        <v>0</v>
      </c>
      <c r="N81" s="89">
        <f t="shared" si="43"/>
        <v>5.67</v>
      </c>
      <c r="O81" s="89">
        <f t="shared" si="44"/>
        <v>9</v>
      </c>
      <c r="P81" s="89">
        <f t="shared" si="44"/>
        <v>11.67</v>
      </c>
      <c r="Q81" s="89">
        <f t="shared" si="44"/>
        <v>0</v>
      </c>
      <c r="R81" s="89">
        <f t="shared" si="44"/>
        <v>10</v>
      </c>
      <c r="S81" s="89">
        <f t="shared" si="45"/>
        <v>30.67</v>
      </c>
      <c r="T81" s="87">
        <v>7.08</v>
      </c>
      <c r="U81" s="87">
        <v>11</v>
      </c>
      <c r="V81" s="87">
        <v>0</v>
      </c>
      <c r="W81" s="87">
        <v>12.5</v>
      </c>
      <c r="X81" s="89">
        <f t="shared" si="46"/>
        <v>30.58</v>
      </c>
      <c r="Y81" s="87">
        <v>7.08</v>
      </c>
      <c r="Z81" s="87">
        <v>11</v>
      </c>
      <c r="AA81" s="87">
        <v>0</v>
      </c>
      <c r="AB81" s="87">
        <v>12.5</v>
      </c>
      <c r="AC81" s="89">
        <f t="shared" si="47"/>
        <v>30.58</v>
      </c>
      <c r="AD81" s="89">
        <f t="shared" si="48"/>
        <v>1921344</v>
      </c>
      <c r="AE81" s="89">
        <f t="shared" si="33"/>
        <v>132105.60000000001</v>
      </c>
      <c r="AF81" s="89">
        <f t="shared" si="34"/>
        <v>183480</v>
      </c>
      <c r="AG81" s="89">
        <f t="shared" si="35"/>
        <v>73392</v>
      </c>
      <c r="AH81" s="89">
        <f t="shared" si="36"/>
        <v>287452</v>
      </c>
      <c r="AI81" s="89">
        <f t="shared" si="37"/>
        <v>24464</v>
      </c>
      <c r="AJ81" s="89">
        <f t="shared" si="38"/>
        <v>0</v>
      </c>
      <c r="AK81" s="89">
        <f t="shared" si="39"/>
        <v>29356.799999999999</v>
      </c>
      <c r="AL81" s="89">
        <f t="shared" si="49"/>
        <v>945734.20479999995</v>
      </c>
      <c r="AM81" s="89">
        <v>98067.5</v>
      </c>
      <c r="AN81" s="89">
        <f t="shared" si="40"/>
        <v>3695396.1047999999</v>
      </c>
      <c r="AO81" s="99">
        <f t="shared" si="50"/>
        <v>2956317</v>
      </c>
    </row>
    <row r="82" spans="1:41" ht="17.100000000000001" customHeight="1">
      <c r="A82" s="85" t="s">
        <v>4</v>
      </c>
      <c r="B82" s="86" t="s">
        <v>444</v>
      </c>
      <c r="C82" s="86" t="s">
        <v>611</v>
      </c>
      <c r="D82" s="87"/>
      <c r="E82" s="94">
        <v>0</v>
      </c>
      <c r="F82" s="94">
        <v>5</v>
      </c>
      <c r="G82" s="94">
        <v>0</v>
      </c>
      <c r="H82" s="94">
        <v>6</v>
      </c>
      <c r="I82" s="89">
        <f t="shared" si="42"/>
        <v>11</v>
      </c>
      <c r="J82" s="87">
        <v>3</v>
      </c>
      <c r="K82" s="87">
        <v>0</v>
      </c>
      <c r="L82" s="87">
        <v>0</v>
      </c>
      <c r="M82" s="87">
        <v>0</v>
      </c>
      <c r="N82" s="89">
        <f t="shared" si="43"/>
        <v>3</v>
      </c>
      <c r="O82" s="89">
        <f t="shared" si="44"/>
        <v>3</v>
      </c>
      <c r="P82" s="89">
        <f t="shared" si="44"/>
        <v>5</v>
      </c>
      <c r="Q82" s="89">
        <f t="shared" si="44"/>
        <v>0</v>
      </c>
      <c r="R82" s="89">
        <f t="shared" si="44"/>
        <v>6</v>
      </c>
      <c r="S82" s="89">
        <f t="shared" si="45"/>
        <v>14</v>
      </c>
      <c r="T82" s="87">
        <v>3.5</v>
      </c>
      <c r="U82" s="87">
        <v>3</v>
      </c>
      <c r="V82" s="87">
        <v>0</v>
      </c>
      <c r="W82" s="87">
        <v>6.83</v>
      </c>
      <c r="X82" s="89">
        <f t="shared" si="46"/>
        <v>13.33</v>
      </c>
      <c r="Y82" s="87">
        <v>3.5</v>
      </c>
      <c r="Z82" s="87">
        <v>3</v>
      </c>
      <c r="AA82" s="87">
        <v>0</v>
      </c>
      <c r="AB82" s="87">
        <v>6.83</v>
      </c>
      <c r="AC82" s="89">
        <f t="shared" si="47"/>
        <v>13.33</v>
      </c>
      <c r="AD82" s="89">
        <f t="shared" si="48"/>
        <v>821028</v>
      </c>
      <c r="AE82" s="89">
        <f t="shared" si="33"/>
        <v>57585.599999999999</v>
      </c>
      <c r="AF82" s="89">
        <f t="shared" si="34"/>
        <v>79980</v>
      </c>
      <c r="AG82" s="89">
        <f t="shared" si="35"/>
        <v>31992</v>
      </c>
      <c r="AH82" s="89">
        <f t="shared" si="36"/>
        <v>125302</v>
      </c>
      <c r="AI82" s="89">
        <f t="shared" si="37"/>
        <v>10664</v>
      </c>
      <c r="AJ82" s="89">
        <f t="shared" si="38"/>
        <v>0</v>
      </c>
      <c r="AK82" s="89">
        <f t="shared" si="39"/>
        <v>12796.8</v>
      </c>
      <c r="AL82" s="89">
        <f t="shared" si="49"/>
        <v>412251.04480000003</v>
      </c>
      <c r="AM82" s="89">
        <v>15535.5</v>
      </c>
      <c r="AN82" s="89">
        <f t="shared" si="40"/>
        <v>1567134.9448000002</v>
      </c>
      <c r="AO82" s="99">
        <f t="shared" si="50"/>
        <v>1253708</v>
      </c>
    </row>
    <row r="83" spans="1:41" ht="17.100000000000001" customHeight="1">
      <c r="A83" s="85" t="s">
        <v>4</v>
      </c>
      <c r="B83" s="86" t="s">
        <v>667</v>
      </c>
      <c r="C83" s="86" t="s">
        <v>609</v>
      </c>
      <c r="D83" s="87">
        <v>1</v>
      </c>
      <c r="E83" s="94">
        <v>3</v>
      </c>
      <c r="F83" s="94">
        <v>2</v>
      </c>
      <c r="G83" s="94">
        <v>15.67</v>
      </c>
      <c r="H83" s="94">
        <v>2</v>
      </c>
      <c r="I83" s="89">
        <f t="shared" si="42"/>
        <v>22.67</v>
      </c>
      <c r="J83" s="87">
        <v>3</v>
      </c>
      <c r="K83" s="87">
        <v>0</v>
      </c>
      <c r="L83" s="87">
        <v>0</v>
      </c>
      <c r="M83" s="87">
        <v>0</v>
      </c>
      <c r="N83" s="89">
        <f t="shared" si="43"/>
        <v>3</v>
      </c>
      <c r="O83" s="89">
        <f t="shared" si="44"/>
        <v>6</v>
      </c>
      <c r="P83" s="89">
        <f t="shared" si="44"/>
        <v>2</v>
      </c>
      <c r="Q83" s="89">
        <f t="shared" si="44"/>
        <v>15.67</v>
      </c>
      <c r="R83" s="89">
        <f t="shared" si="44"/>
        <v>2</v>
      </c>
      <c r="S83" s="89">
        <f t="shared" si="45"/>
        <v>25.67</v>
      </c>
      <c r="T83" s="87">
        <v>5.5</v>
      </c>
      <c r="U83" s="87">
        <v>2.25</v>
      </c>
      <c r="V83" s="87">
        <v>15</v>
      </c>
      <c r="W83" s="87">
        <v>2</v>
      </c>
      <c r="X83" s="89">
        <f t="shared" si="46"/>
        <v>24.75</v>
      </c>
      <c r="Y83" s="87">
        <v>5.5</v>
      </c>
      <c r="Z83" s="87">
        <v>2.25</v>
      </c>
      <c r="AA83" s="87">
        <v>15</v>
      </c>
      <c r="AB83" s="87">
        <v>2</v>
      </c>
      <c r="AC83" s="89">
        <f t="shared" si="47"/>
        <v>24.75</v>
      </c>
      <c r="AD83" s="89">
        <f t="shared" si="48"/>
        <v>1592370</v>
      </c>
      <c r="AE83" s="89">
        <f t="shared" si="33"/>
        <v>106920</v>
      </c>
      <c r="AF83" s="89">
        <f t="shared" si="34"/>
        <v>148500</v>
      </c>
      <c r="AG83" s="89">
        <f t="shared" si="35"/>
        <v>59400</v>
      </c>
      <c r="AH83" s="89">
        <f t="shared" si="36"/>
        <v>232650</v>
      </c>
      <c r="AI83" s="89">
        <f t="shared" si="37"/>
        <v>19800</v>
      </c>
      <c r="AJ83" s="89">
        <f t="shared" si="38"/>
        <v>10000</v>
      </c>
      <c r="AK83" s="89">
        <f t="shared" si="39"/>
        <v>23760</v>
      </c>
      <c r="AL83" s="89">
        <f t="shared" si="49"/>
        <v>765432.36</v>
      </c>
      <c r="AM83" s="89"/>
      <c r="AN83" s="89">
        <f t="shared" si="40"/>
        <v>2958832.36</v>
      </c>
      <c r="AO83" s="99">
        <f t="shared" si="50"/>
        <v>2367066</v>
      </c>
    </row>
    <row r="84" spans="1:41" ht="17.100000000000001" customHeight="1">
      <c r="A84" s="85" t="s">
        <v>4</v>
      </c>
      <c r="B84" s="86" t="s">
        <v>668</v>
      </c>
      <c r="C84" s="86" t="s">
        <v>609</v>
      </c>
      <c r="D84" s="87">
        <v>1</v>
      </c>
      <c r="E84" s="94">
        <v>0</v>
      </c>
      <c r="F84" s="94">
        <v>2</v>
      </c>
      <c r="G84" s="94">
        <v>36.67</v>
      </c>
      <c r="H84" s="94">
        <v>2.67</v>
      </c>
      <c r="I84" s="89">
        <f t="shared" si="42"/>
        <v>41.34</v>
      </c>
      <c r="J84" s="87"/>
      <c r="K84" s="87"/>
      <c r="L84" s="87">
        <v>1.67</v>
      </c>
      <c r="M84" s="87"/>
      <c r="N84" s="89">
        <f t="shared" si="43"/>
        <v>1.67</v>
      </c>
      <c r="O84" s="89">
        <f t="shared" si="44"/>
        <v>0</v>
      </c>
      <c r="P84" s="89">
        <f t="shared" si="44"/>
        <v>2</v>
      </c>
      <c r="Q84" s="89">
        <f t="shared" si="44"/>
        <v>38.340000000000003</v>
      </c>
      <c r="R84" s="89">
        <f t="shared" si="44"/>
        <v>2.67</v>
      </c>
      <c r="S84" s="89">
        <f t="shared" si="45"/>
        <v>43.010000000000005</v>
      </c>
      <c r="T84" s="87">
        <v>0</v>
      </c>
      <c r="U84" s="87">
        <v>2</v>
      </c>
      <c r="V84" s="87">
        <v>39</v>
      </c>
      <c r="W84" s="87">
        <v>2</v>
      </c>
      <c r="X84" s="89">
        <f t="shared" si="46"/>
        <v>43</v>
      </c>
      <c r="Y84" s="87">
        <v>0</v>
      </c>
      <c r="Z84" s="87">
        <v>2</v>
      </c>
      <c r="AA84" s="87">
        <v>39</v>
      </c>
      <c r="AB84" s="87">
        <v>2</v>
      </c>
      <c r="AC84" s="89">
        <f t="shared" si="47"/>
        <v>43</v>
      </c>
      <c r="AD84" s="89">
        <f t="shared" si="48"/>
        <v>2620392</v>
      </c>
      <c r="AE84" s="89">
        <f t="shared" si="33"/>
        <v>185760</v>
      </c>
      <c r="AF84" s="89">
        <f t="shared" si="34"/>
        <v>258000</v>
      </c>
      <c r="AG84" s="89">
        <f t="shared" si="35"/>
        <v>103200</v>
      </c>
      <c r="AH84" s="89">
        <f t="shared" si="36"/>
        <v>404200</v>
      </c>
      <c r="AI84" s="89">
        <f t="shared" si="37"/>
        <v>34400</v>
      </c>
      <c r="AJ84" s="89">
        <f t="shared" si="38"/>
        <v>10000</v>
      </c>
      <c r="AK84" s="89">
        <f t="shared" si="39"/>
        <v>41280</v>
      </c>
      <c r="AL84" s="89">
        <f t="shared" si="49"/>
        <v>1329842.08</v>
      </c>
      <c r="AM84" s="89"/>
      <c r="AN84" s="89">
        <f t="shared" si="40"/>
        <v>4987074.08</v>
      </c>
      <c r="AO84" s="99">
        <f t="shared" si="50"/>
        <v>3989659</v>
      </c>
    </row>
    <row r="85" spans="1:41" ht="17.100000000000001" customHeight="1">
      <c r="A85" s="85" t="s">
        <v>4</v>
      </c>
      <c r="B85" s="86" t="s">
        <v>669</v>
      </c>
      <c r="C85" s="86" t="s">
        <v>609</v>
      </c>
      <c r="D85" s="87">
        <v>1</v>
      </c>
      <c r="E85" s="94">
        <v>0</v>
      </c>
      <c r="F85" s="94">
        <v>1.33</v>
      </c>
      <c r="G85" s="94">
        <v>9.67</v>
      </c>
      <c r="H85" s="94">
        <v>1.33</v>
      </c>
      <c r="I85" s="89">
        <f>SUM(E85:H85)</f>
        <v>12.33</v>
      </c>
      <c r="J85" s="87">
        <v>2</v>
      </c>
      <c r="K85" s="87">
        <v>0</v>
      </c>
      <c r="L85" s="87">
        <v>1</v>
      </c>
      <c r="M85" s="87">
        <v>0</v>
      </c>
      <c r="N85" s="89">
        <f>SUM(J85:M85)</f>
        <v>3</v>
      </c>
      <c r="O85" s="89">
        <f t="shared" ref="O85:R86" si="51">E85+J85</f>
        <v>2</v>
      </c>
      <c r="P85" s="89">
        <f t="shared" si="51"/>
        <v>1.33</v>
      </c>
      <c r="Q85" s="89">
        <f t="shared" si="51"/>
        <v>10.67</v>
      </c>
      <c r="R85" s="89">
        <f t="shared" si="51"/>
        <v>1.33</v>
      </c>
      <c r="S85" s="89">
        <f>SUM(O85:R85)</f>
        <v>15.33</v>
      </c>
      <c r="T85" s="87">
        <v>1.33</v>
      </c>
      <c r="U85" s="87">
        <v>2</v>
      </c>
      <c r="V85" s="87">
        <v>9.92</v>
      </c>
      <c r="W85" s="87">
        <v>1.33</v>
      </c>
      <c r="X85" s="89">
        <f>SUM(T85:W85)</f>
        <v>14.58</v>
      </c>
      <c r="Y85" s="87">
        <v>1.33</v>
      </c>
      <c r="Z85" s="87">
        <v>2</v>
      </c>
      <c r="AA85" s="87">
        <v>9.92</v>
      </c>
      <c r="AB85" s="87">
        <v>1.33</v>
      </c>
      <c r="AC85" s="89">
        <f>SUM(Y85:AB85)</f>
        <v>14.58</v>
      </c>
      <c r="AD85" s="89">
        <f t="shared" si="48"/>
        <v>910361.76000000013</v>
      </c>
      <c r="AE85" s="89">
        <f>AC85*4320</f>
        <v>62985.599999999999</v>
      </c>
      <c r="AF85" s="89">
        <f>AC85*6000</f>
        <v>87480</v>
      </c>
      <c r="AG85" s="89">
        <f>AC85*2400</f>
        <v>34992</v>
      </c>
      <c r="AH85" s="89">
        <f>AC85*9400</f>
        <v>137052</v>
      </c>
      <c r="AI85" s="89">
        <f>AC85*800</f>
        <v>11664</v>
      </c>
      <c r="AJ85" s="89">
        <f>D85*50*200</f>
        <v>10000</v>
      </c>
      <c r="AK85" s="89">
        <f>AC85*960</f>
        <v>13996.8</v>
      </c>
      <c r="AL85" s="89">
        <f t="shared" si="49"/>
        <v>450909.24480000004</v>
      </c>
      <c r="AN85" s="89">
        <f>SUM(AD85:AM85)</f>
        <v>1719441.4048000001</v>
      </c>
      <c r="AO85" s="99">
        <f t="shared" si="50"/>
        <v>1375553</v>
      </c>
    </row>
    <row r="86" spans="1:41" ht="17.100000000000001" customHeight="1">
      <c r="A86" s="85" t="s">
        <v>4</v>
      </c>
      <c r="B86" s="86" t="s">
        <v>670</v>
      </c>
      <c r="C86" s="86" t="s">
        <v>611</v>
      </c>
      <c r="D86" s="87"/>
      <c r="E86" s="94">
        <v>3</v>
      </c>
      <c r="F86" s="94">
        <v>3.33</v>
      </c>
      <c r="G86" s="94">
        <v>0</v>
      </c>
      <c r="H86" s="94">
        <v>5.33</v>
      </c>
      <c r="I86" s="89">
        <f>SUM(E86:H86)</f>
        <v>11.66</v>
      </c>
      <c r="J86" s="87">
        <v>6</v>
      </c>
      <c r="K86" s="87">
        <v>1</v>
      </c>
      <c r="L86" s="87">
        <v>0</v>
      </c>
      <c r="M86" s="87">
        <v>1</v>
      </c>
      <c r="N86" s="89">
        <f>SUM(J86:M86)</f>
        <v>8</v>
      </c>
      <c r="O86" s="89">
        <f t="shared" si="51"/>
        <v>9</v>
      </c>
      <c r="P86" s="89">
        <f t="shared" si="51"/>
        <v>4.33</v>
      </c>
      <c r="Q86" s="89">
        <f t="shared" si="51"/>
        <v>0</v>
      </c>
      <c r="R86" s="89">
        <f t="shared" si="51"/>
        <v>6.33</v>
      </c>
      <c r="S86" s="89">
        <f>SUM(O86:R86)</f>
        <v>19.66</v>
      </c>
      <c r="T86" s="87">
        <v>7.17</v>
      </c>
      <c r="U86" s="87">
        <v>4.5</v>
      </c>
      <c r="V86" s="87">
        <v>0</v>
      </c>
      <c r="W86" s="87">
        <v>7.67</v>
      </c>
      <c r="X86" s="89">
        <f>SUM(T86:W86)</f>
        <v>19.34</v>
      </c>
      <c r="Y86" s="87">
        <v>7.17</v>
      </c>
      <c r="Z86" s="87">
        <v>4.5</v>
      </c>
      <c r="AA86" s="87">
        <v>0</v>
      </c>
      <c r="AB86" s="87">
        <v>7.67</v>
      </c>
      <c r="AC86" s="89">
        <f>SUM(Y86:AB86)</f>
        <v>19.34</v>
      </c>
      <c r="AD86" s="89">
        <f t="shared" si="48"/>
        <v>1246128</v>
      </c>
      <c r="AE86" s="89">
        <f>AC86*4320</f>
        <v>83548.800000000003</v>
      </c>
      <c r="AF86" s="89">
        <f>AC86*6000</f>
        <v>116040</v>
      </c>
      <c r="AG86" s="89">
        <f>AC86*2400</f>
        <v>46416</v>
      </c>
      <c r="AH86" s="89">
        <f>AC86*9400</f>
        <v>181796</v>
      </c>
      <c r="AI86" s="89">
        <f>AC86*800</f>
        <v>15472</v>
      </c>
      <c r="AJ86" s="89">
        <f>D86*50*200</f>
        <v>0</v>
      </c>
      <c r="AK86" s="89">
        <f>AC86*960</f>
        <v>18566.400000000001</v>
      </c>
      <c r="AL86" s="89">
        <f t="shared" si="49"/>
        <v>598119.67040000006</v>
      </c>
      <c r="AM86" s="89">
        <v>647636.75</v>
      </c>
      <c r="AN86" s="89">
        <f>SUM(AD86:AM86)</f>
        <v>2953723.6203999999</v>
      </c>
      <c r="AO86" s="99">
        <f t="shared" si="50"/>
        <v>2362979</v>
      </c>
    </row>
    <row r="87" spans="1:41" s="95" customFormat="1" ht="17.100000000000001" customHeight="1">
      <c r="A87" s="85" t="s">
        <v>4</v>
      </c>
      <c r="B87" s="86" t="s">
        <v>671</v>
      </c>
      <c r="C87" s="86" t="s">
        <v>609</v>
      </c>
      <c r="D87" s="87">
        <v>1</v>
      </c>
      <c r="E87" s="94">
        <v>0</v>
      </c>
      <c r="F87" s="94">
        <v>2</v>
      </c>
      <c r="G87" s="94">
        <v>7</v>
      </c>
      <c r="H87" s="94">
        <v>1</v>
      </c>
      <c r="I87" s="89">
        <f t="shared" si="42"/>
        <v>10</v>
      </c>
      <c r="J87" s="87"/>
      <c r="K87" s="87"/>
      <c r="L87" s="87"/>
      <c r="M87" s="87"/>
      <c r="N87" s="89">
        <f t="shared" si="43"/>
        <v>0</v>
      </c>
      <c r="O87" s="89">
        <f t="shared" si="44"/>
        <v>0</v>
      </c>
      <c r="P87" s="89">
        <f t="shared" si="44"/>
        <v>2</v>
      </c>
      <c r="Q87" s="89">
        <f t="shared" si="44"/>
        <v>7</v>
      </c>
      <c r="R87" s="89">
        <f t="shared" si="44"/>
        <v>1</v>
      </c>
      <c r="S87" s="89">
        <f t="shared" si="45"/>
        <v>10</v>
      </c>
      <c r="T87" s="87">
        <v>0.83</v>
      </c>
      <c r="U87" s="87">
        <v>1.92</v>
      </c>
      <c r="V87" s="87">
        <v>5.08</v>
      </c>
      <c r="W87" s="87">
        <v>0.92</v>
      </c>
      <c r="X87" s="89">
        <f t="shared" si="46"/>
        <v>8.75</v>
      </c>
      <c r="Y87" s="87">
        <v>0.83</v>
      </c>
      <c r="Z87" s="87">
        <v>1.92</v>
      </c>
      <c r="AA87" s="87">
        <v>5.08</v>
      </c>
      <c r="AB87" s="87">
        <v>0.92</v>
      </c>
      <c r="AC87" s="89">
        <f t="shared" si="47"/>
        <v>8.75</v>
      </c>
      <c r="AD87" s="89">
        <f t="shared" si="48"/>
        <v>549618.24</v>
      </c>
      <c r="AE87" s="89">
        <f t="shared" si="33"/>
        <v>37800</v>
      </c>
      <c r="AF87" s="89">
        <f t="shared" si="34"/>
        <v>52500</v>
      </c>
      <c r="AG87" s="89">
        <f t="shared" si="35"/>
        <v>21000</v>
      </c>
      <c r="AH87" s="89">
        <f t="shared" si="36"/>
        <v>82250</v>
      </c>
      <c r="AI87" s="89">
        <f t="shared" si="37"/>
        <v>7000</v>
      </c>
      <c r="AJ87" s="89">
        <f t="shared" si="38"/>
        <v>10000</v>
      </c>
      <c r="AK87" s="89">
        <f t="shared" si="39"/>
        <v>8400</v>
      </c>
      <c r="AL87" s="89">
        <f t="shared" si="49"/>
        <v>270607.40000000002</v>
      </c>
      <c r="AM87" s="89"/>
      <c r="AN87" s="89">
        <f t="shared" si="40"/>
        <v>1039175.64</v>
      </c>
      <c r="AO87" s="99">
        <f t="shared" si="50"/>
        <v>831341</v>
      </c>
    </row>
    <row r="88" spans="1:41" s="93" customFormat="1" ht="17.100000000000001" customHeight="1">
      <c r="A88" s="91"/>
      <c r="B88" s="91" t="s">
        <v>672</v>
      </c>
      <c r="C88" s="91"/>
      <c r="D88" s="92">
        <f t="shared" ref="D88:AO88" si="52">SUM(D69:D87)</f>
        <v>16</v>
      </c>
      <c r="E88" s="92">
        <f t="shared" si="52"/>
        <v>60.33</v>
      </c>
      <c r="F88" s="92">
        <f t="shared" si="52"/>
        <v>80.66</v>
      </c>
      <c r="G88" s="92">
        <f t="shared" si="52"/>
        <v>219.33999999999995</v>
      </c>
      <c r="H88" s="92">
        <f t="shared" si="52"/>
        <v>100.33999999999999</v>
      </c>
      <c r="I88" s="92">
        <f t="shared" si="52"/>
        <v>460.66999999999996</v>
      </c>
      <c r="J88" s="92">
        <f t="shared" si="52"/>
        <v>32.42</v>
      </c>
      <c r="K88" s="92">
        <f t="shared" si="52"/>
        <v>3.67</v>
      </c>
      <c r="L88" s="92">
        <f t="shared" si="52"/>
        <v>4</v>
      </c>
      <c r="M88" s="92">
        <f t="shared" si="52"/>
        <v>1</v>
      </c>
      <c r="N88" s="92">
        <f t="shared" si="52"/>
        <v>41.09</v>
      </c>
      <c r="O88" s="92">
        <f t="shared" si="52"/>
        <v>92.75</v>
      </c>
      <c r="P88" s="92">
        <f t="shared" si="52"/>
        <v>84.33</v>
      </c>
      <c r="Q88" s="92">
        <f t="shared" si="52"/>
        <v>223.33999999999997</v>
      </c>
      <c r="R88" s="92">
        <f t="shared" si="52"/>
        <v>101.33999999999999</v>
      </c>
      <c r="S88" s="92">
        <f t="shared" si="52"/>
        <v>501.76000000000005</v>
      </c>
      <c r="T88" s="92">
        <f t="shared" si="52"/>
        <v>74.33</v>
      </c>
      <c r="U88" s="92">
        <f t="shared" si="52"/>
        <v>76.91</v>
      </c>
      <c r="V88" s="92">
        <f t="shared" si="52"/>
        <v>221.17000000000002</v>
      </c>
      <c r="W88" s="92">
        <f t="shared" si="52"/>
        <v>108.5</v>
      </c>
      <c r="X88" s="92">
        <f t="shared" si="52"/>
        <v>480.90999999999997</v>
      </c>
      <c r="Y88" s="92">
        <f t="shared" si="52"/>
        <v>71.749999999999986</v>
      </c>
      <c r="Z88" s="92">
        <f t="shared" si="52"/>
        <v>77.33</v>
      </c>
      <c r="AA88" s="92">
        <f t="shared" si="52"/>
        <v>222</v>
      </c>
      <c r="AB88" s="92">
        <f t="shared" si="52"/>
        <v>109.34</v>
      </c>
      <c r="AC88" s="92">
        <f t="shared" si="52"/>
        <v>480.41999999999996</v>
      </c>
      <c r="AD88" s="92">
        <f t="shared" si="52"/>
        <v>29872938</v>
      </c>
      <c r="AE88" s="92">
        <f t="shared" si="52"/>
        <v>2075414.4000000006</v>
      </c>
      <c r="AF88" s="92">
        <f t="shared" si="52"/>
        <v>2882520</v>
      </c>
      <c r="AG88" s="92">
        <f t="shared" si="52"/>
        <v>1153008</v>
      </c>
      <c r="AH88" s="92">
        <f t="shared" si="52"/>
        <v>4515948</v>
      </c>
      <c r="AI88" s="92">
        <f t="shared" si="52"/>
        <v>384336</v>
      </c>
      <c r="AJ88" s="92">
        <f t="shared" si="52"/>
        <v>160000</v>
      </c>
      <c r="AK88" s="92">
        <f t="shared" si="52"/>
        <v>461203.19999999995</v>
      </c>
      <c r="AL88" s="92">
        <f t="shared" si="52"/>
        <v>14857737.9552</v>
      </c>
      <c r="AM88" s="92">
        <f t="shared" si="52"/>
        <v>1114677.25</v>
      </c>
      <c r="AN88" s="92">
        <f t="shared" si="52"/>
        <v>57477782.805199988</v>
      </c>
      <c r="AO88" s="92">
        <f t="shared" si="52"/>
        <v>45982225</v>
      </c>
    </row>
    <row r="89" spans="1:41" ht="17.100000000000001" customHeight="1">
      <c r="A89" s="85"/>
      <c r="B89" s="86" t="s">
        <v>673</v>
      </c>
      <c r="C89" s="86" t="s">
        <v>609</v>
      </c>
      <c r="D89" s="87"/>
      <c r="E89" s="89"/>
      <c r="F89" s="89"/>
      <c r="G89" s="89"/>
      <c r="H89" s="89">
        <v>1</v>
      </c>
      <c r="I89" s="89">
        <f>SUM(E89:H89)</f>
        <v>1</v>
      </c>
      <c r="J89" s="87"/>
      <c r="K89" s="87"/>
      <c r="L89" s="87"/>
      <c r="M89" s="87"/>
      <c r="N89" s="89"/>
      <c r="O89" s="89">
        <f>E89+J89</f>
        <v>0</v>
      </c>
      <c r="P89" s="89">
        <f>F89+K89</f>
        <v>0</v>
      </c>
      <c r="Q89" s="89">
        <f>G89+L89</f>
        <v>0</v>
      </c>
      <c r="R89" s="89">
        <f>H89+M89</f>
        <v>1</v>
      </c>
      <c r="S89" s="89">
        <f>SUM(O89:R89)</f>
        <v>1</v>
      </c>
      <c r="T89" s="87"/>
      <c r="U89" s="87"/>
      <c r="V89" s="87"/>
      <c r="W89" s="87">
        <v>1</v>
      </c>
      <c r="X89" s="89">
        <f>SUM(T89:W89)</f>
        <v>1</v>
      </c>
      <c r="Y89" s="87"/>
      <c r="Z89" s="87"/>
      <c r="AA89" s="87"/>
      <c r="AB89" s="87">
        <v>1</v>
      </c>
      <c r="AC89" s="89">
        <f>SUM(Y89:AB89)</f>
        <v>1</v>
      </c>
      <c r="AD89" s="89">
        <f t="shared" si="48"/>
        <v>51600</v>
      </c>
      <c r="AE89" s="89">
        <f>AC89*4320</f>
        <v>4320</v>
      </c>
      <c r="AF89" s="89">
        <f>AC89*6000</f>
        <v>6000</v>
      </c>
      <c r="AG89" s="89">
        <f>AC89*2400</f>
        <v>2400</v>
      </c>
      <c r="AH89" s="89">
        <f>AC89*9400</f>
        <v>9400</v>
      </c>
      <c r="AI89" s="89">
        <f>AC89*800</f>
        <v>800</v>
      </c>
      <c r="AJ89" s="89">
        <f>D89*50*200</f>
        <v>0</v>
      </c>
      <c r="AK89" s="89">
        <f>AC89*960</f>
        <v>960</v>
      </c>
      <c r="AL89" s="89">
        <f t="shared" si="49"/>
        <v>30926.560000000001</v>
      </c>
      <c r="AM89" s="89"/>
      <c r="AN89" s="89">
        <f>SUM(AD89:AM89)</f>
        <v>106406.56</v>
      </c>
      <c r="AO89" s="99">
        <f t="shared" si="50"/>
        <v>85125</v>
      </c>
    </row>
    <row r="90" spans="1:41" ht="17.100000000000001" customHeight="1">
      <c r="A90" s="85" t="s">
        <v>3</v>
      </c>
      <c r="B90" s="86" t="s">
        <v>674</v>
      </c>
      <c r="C90" s="86" t="s">
        <v>609</v>
      </c>
      <c r="D90" s="87">
        <v>2</v>
      </c>
      <c r="E90" s="89">
        <v>7.67</v>
      </c>
      <c r="F90" s="89">
        <v>3</v>
      </c>
      <c r="G90" s="89">
        <v>32.33</v>
      </c>
      <c r="H90" s="89">
        <v>3</v>
      </c>
      <c r="I90" s="89">
        <f t="shared" si="42"/>
        <v>46</v>
      </c>
      <c r="J90" s="87">
        <v>2.33</v>
      </c>
      <c r="K90" s="87"/>
      <c r="L90" s="87">
        <v>1.67</v>
      </c>
      <c r="M90" s="87">
        <v>0.67</v>
      </c>
      <c r="N90" s="89">
        <f t="shared" si="43"/>
        <v>4.67</v>
      </c>
      <c r="O90" s="89">
        <f t="shared" ref="O90:R94" si="53">E90+J90</f>
        <v>10</v>
      </c>
      <c r="P90" s="89">
        <f t="shared" si="53"/>
        <v>3</v>
      </c>
      <c r="Q90" s="89">
        <f t="shared" si="53"/>
        <v>34</v>
      </c>
      <c r="R90" s="89">
        <f t="shared" si="53"/>
        <v>3.67</v>
      </c>
      <c r="S90" s="89">
        <f t="shared" si="45"/>
        <v>50.67</v>
      </c>
      <c r="T90" s="87">
        <v>9.83</v>
      </c>
      <c r="U90" s="87">
        <v>3</v>
      </c>
      <c r="V90" s="87">
        <v>34</v>
      </c>
      <c r="W90" s="87">
        <v>3.83</v>
      </c>
      <c r="X90" s="89">
        <f t="shared" si="46"/>
        <v>50.66</v>
      </c>
      <c r="Y90" s="87">
        <v>9.83</v>
      </c>
      <c r="Z90" s="87">
        <v>3</v>
      </c>
      <c r="AA90" s="87">
        <v>34</v>
      </c>
      <c r="AB90" s="87">
        <v>3.83</v>
      </c>
      <c r="AC90" s="89">
        <f t="shared" si="47"/>
        <v>50.66</v>
      </c>
      <c r="AD90" s="89">
        <f t="shared" si="48"/>
        <v>3230724</v>
      </c>
      <c r="AE90" s="89">
        <f t="shared" si="33"/>
        <v>218851.19999999998</v>
      </c>
      <c r="AF90" s="89">
        <f t="shared" si="34"/>
        <v>303960</v>
      </c>
      <c r="AG90" s="89">
        <f t="shared" si="35"/>
        <v>121583.99999999999</v>
      </c>
      <c r="AH90" s="89">
        <f t="shared" si="36"/>
        <v>476203.99999999994</v>
      </c>
      <c r="AI90" s="89">
        <f t="shared" si="37"/>
        <v>40528</v>
      </c>
      <c r="AJ90" s="89">
        <f t="shared" si="38"/>
        <v>20000</v>
      </c>
      <c r="AK90" s="89">
        <f t="shared" si="39"/>
        <v>48633.599999999999</v>
      </c>
      <c r="AL90" s="89">
        <f t="shared" si="49"/>
        <v>1566739.5296</v>
      </c>
      <c r="AM90" s="89"/>
      <c r="AN90" s="89">
        <f t="shared" si="40"/>
        <v>6027224.3295999998</v>
      </c>
      <c r="AO90" s="99">
        <f t="shared" si="50"/>
        <v>4821779</v>
      </c>
    </row>
    <row r="91" spans="1:41" ht="17.100000000000001" customHeight="1">
      <c r="A91" s="85" t="s">
        <v>3</v>
      </c>
      <c r="B91" s="86" t="s">
        <v>675</v>
      </c>
      <c r="C91" s="86" t="s">
        <v>609</v>
      </c>
      <c r="D91" s="87">
        <v>1</v>
      </c>
      <c r="E91" s="89">
        <v>0</v>
      </c>
      <c r="F91" s="89">
        <v>2</v>
      </c>
      <c r="G91" s="89">
        <v>19.670000000000002</v>
      </c>
      <c r="H91" s="89">
        <v>2.67</v>
      </c>
      <c r="I91" s="89">
        <f t="shared" si="42"/>
        <v>24.340000000000003</v>
      </c>
      <c r="J91" s="87">
        <v>0</v>
      </c>
      <c r="K91" s="87">
        <v>0</v>
      </c>
      <c r="L91" s="87">
        <v>1.17</v>
      </c>
      <c r="M91" s="87">
        <v>0</v>
      </c>
      <c r="N91" s="89">
        <f t="shared" si="43"/>
        <v>1.17</v>
      </c>
      <c r="O91" s="89">
        <f t="shared" si="53"/>
        <v>0</v>
      </c>
      <c r="P91" s="89">
        <f t="shared" si="53"/>
        <v>2</v>
      </c>
      <c r="Q91" s="89">
        <f t="shared" si="53"/>
        <v>20.840000000000003</v>
      </c>
      <c r="R91" s="89">
        <f t="shared" si="53"/>
        <v>2.67</v>
      </c>
      <c r="S91" s="89">
        <f t="shared" si="45"/>
        <v>25.510000000000005</v>
      </c>
      <c r="T91" s="87">
        <v>1</v>
      </c>
      <c r="U91" s="87">
        <v>2.25</v>
      </c>
      <c r="V91" s="87">
        <v>20.5</v>
      </c>
      <c r="W91" s="87">
        <v>3</v>
      </c>
      <c r="X91" s="89">
        <f t="shared" si="46"/>
        <v>26.75</v>
      </c>
      <c r="Y91" s="87">
        <v>0</v>
      </c>
      <c r="Z91" s="87">
        <v>2</v>
      </c>
      <c r="AA91" s="87">
        <v>20.840000000000003</v>
      </c>
      <c r="AB91" s="87">
        <v>2.67</v>
      </c>
      <c r="AC91" s="89">
        <f t="shared" si="47"/>
        <v>25.510000000000005</v>
      </c>
      <c r="AD91" s="89">
        <f t="shared" si="48"/>
        <v>1544879.5200000003</v>
      </c>
      <c r="AE91" s="89">
        <f t="shared" si="33"/>
        <v>110203.20000000003</v>
      </c>
      <c r="AF91" s="89">
        <f t="shared" si="34"/>
        <v>153060.00000000003</v>
      </c>
      <c r="AG91" s="89">
        <f t="shared" si="35"/>
        <v>61224.000000000015</v>
      </c>
      <c r="AH91" s="89">
        <f t="shared" si="36"/>
        <v>239794.00000000006</v>
      </c>
      <c r="AI91" s="89">
        <f t="shared" si="37"/>
        <v>20408.000000000004</v>
      </c>
      <c r="AJ91" s="89">
        <f t="shared" si="38"/>
        <v>10000</v>
      </c>
      <c r="AK91" s="89">
        <f t="shared" si="39"/>
        <v>24489.600000000006</v>
      </c>
      <c r="AL91" s="89">
        <f t="shared" si="49"/>
        <v>788936.54560000019</v>
      </c>
      <c r="AM91" s="89"/>
      <c r="AN91" s="89">
        <f t="shared" si="40"/>
        <v>2952994.8656000006</v>
      </c>
      <c r="AO91" s="99">
        <f t="shared" si="50"/>
        <v>2362396</v>
      </c>
    </row>
    <row r="92" spans="1:41" ht="17.100000000000001" customHeight="1">
      <c r="A92" s="85" t="s">
        <v>3</v>
      </c>
      <c r="B92" s="86" t="s">
        <v>192</v>
      </c>
      <c r="C92" s="86" t="s">
        <v>609</v>
      </c>
      <c r="D92" s="87">
        <v>1</v>
      </c>
      <c r="E92" s="89">
        <v>0</v>
      </c>
      <c r="F92" s="89">
        <v>1</v>
      </c>
      <c r="G92" s="89">
        <v>7.67</v>
      </c>
      <c r="H92" s="89">
        <v>1.67</v>
      </c>
      <c r="I92" s="89">
        <f t="shared" si="42"/>
        <v>10.34</v>
      </c>
      <c r="J92" s="87"/>
      <c r="K92" s="87"/>
      <c r="L92" s="87"/>
      <c r="M92" s="87"/>
      <c r="N92" s="89">
        <f t="shared" si="43"/>
        <v>0</v>
      </c>
      <c r="O92" s="89">
        <f t="shared" si="53"/>
        <v>0</v>
      </c>
      <c r="P92" s="89">
        <f t="shared" si="53"/>
        <v>1</v>
      </c>
      <c r="Q92" s="89">
        <f t="shared" si="53"/>
        <v>7.67</v>
      </c>
      <c r="R92" s="89">
        <f t="shared" si="53"/>
        <v>1.67</v>
      </c>
      <c r="S92" s="89">
        <f t="shared" si="45"/>
        <v>10.34</v>
      </c>
      <c r="T92" s="87">
        <v>0</v>
      </c>
      <c r="U92" s="87">
        <v>1</v>
      </c>
      <c r="V92" s="87">
        <v>7.42</v>
      </c>
      <c r="W92" s="87">
        <v>0.25</v>
      </c>
      <c r="X92" s="89">
        <f t="shared" si="46"/>
        <v>8.67</v>
      </c>
      <c r="Y92" s="87">
        <v>0</v>
      </c>
      <c r="Z92" s="87">
        <v>1</v>
      </c>
      <c r="AA92" s="87">
        <v>7.42</v>
      </c>
      <c r="AB92" s="87">
        <v>0.25</v>
      </c>
      <c r="AC92" s="89">
        <f t="shared" si="47"/>
        <v>8.67</v>
      </c>
      <c r="AD92" s="89">
        <f t="shared" si="48"/>
        <v>533069.76</v>
      </c>
      <c r="AE92" s="89">
        <f t="shared" si="33"/>
        <v>37454.400000000001</v>
      </c>
      <c r="AF92" s="89">
        <f t="shared" si="34"/>
        <v>52020</v>
      </c>
      <c r="AG92" s="89">
        <f t="shared" si="35"/>
        <v>20808</v>
      </c>
      <c r="AH92" s="89">
        <f t="shared" si="36"/>
        <v>81498</v>
      </c>
      <c r="AI92" s="89">
        <f t="shared" si="37"/>
        <v>6936</v>
      </c>
      <c r="AJ92" s="89">
        <f t="shared" si="38"/>
        <v>10000</v>
      </c>
      <c r="AK92" s="89">
        <f t="shared" si="39"/>
        <v>8323.2000000000007</v>
      </c>
      <c r="AL92" s="89">
        <f t="shared" si="49"/>
        <v>268133.27520000003</v>
      </c>
      <c r="AM92" s="89"/>
      <c r="AN92" s="89">
        <f t="shared" si="40"/>
        <v>1018242.6352</v>
      </c>
      <c r="AO92" s="99">
        <f t="shared" si="50"/>
        <v>814594</v>
      </c>
    </row>
    <row r="93" spans="1:41" ht="17.100000000000001" customHeight="1">
      <c r="A93" s="85" t="s">
        <v>3</v>
      </c>
      <c r="B93" s="86" t="s">
        <v>676</v>
      </c>
      <c r="C93" s="86" t="s">
        <v>611</v>
      </c>
      <c r="D93" s="87"/>
      <c r="E93" s="89">
        <v>0.33</v>
      </c>
      <c r="F93" s="89">
        <v>4.33</v>
      </c>
      <c r="G93" s="89">
        <v>0</v>
      </c>
      <c r="H93" s="89">
        <v>5.67</v>
      </c>
      <c r="I93" s="89">
        <f t="shared" si="42"/>
        <v>10.33</v>
      </c>
      <c r="J93" s="87">
        <v>0.33</v>
      </c>
      <c r="K93" s="87">
        <v>0</v>
      </c>
      <c r="L93" s="87">
        <v>0</v>
      </c>
      <c r="M93" s="87">
        <v>0</v>
      </c>
      <c r="N93" s="89">
        <f t="shared" si="43"/>
        <v>0.33</v>
      </c>
      <c r="O93" s="89">
        <f t="shared" si="53"/>
        <v>0.66</v>
      </c>
      <c r="P93" s="89">
        <f t="shared" si="53"/>
        <v>4.33</v>
      </c>
      <c r="Q93" s="89">
        <f t="shared" si="53"/>
        <v>0</v>
      </c>
      <c r="R93" s="89">
        <f t="shared" si="53"/>
        <v>5.67</v>
      </c>
      <c r="S93" s="89">
        <f t="shared" si="45"/>
        <v>10.66</v>
      </c>
      <c r="T93" s="87">
        <v>0.67</v>
      </c>
      <c r="U93" s="87">
        <v>3</v>
      </c>
      <c r="V93" s="87">
        <v>0</v>
      </c>
      <c r="W93" s="87">
        <v>6</v>
      </c>
      <c r="X93" s="89">
        <f t="shared" si="46"/>
        <v>9.67</v>
      </c>
      <c r="Y93" s="87">
        <v>0.67</v>
      </c>
      <c r="Z93" s="87">
        <v>3</v>
      </c>
      <c r="AA93" s="87">
        <v>0</v>
      </c>
      <c r="AB93" s="87">
        <v>6</v>
      </c>
      <c r="AC93" s="89">
        <f t="shared" si="47"/>
        <v>9.67</v>
      </c>
      <c r="AD93" s="89">
        <f t="shared" si="48"/>
        <v>560856</v>
      </c>
      <c r="AE93" s="89">
        <f t="shared" si="33"/>
        <v>41774.400000000001</v>
      </c>
      <c r="AF93" s="89">
        <f t="shared" si="34"/>
        <v>58020</v>
      </c>
      <c r="AG93" s="89">
        <f t="shared" si="35"/>
        <v>23208</v>
      </c>
      <c r="AH93" s="89">
        <f t="shared" si="36"/>
        <v>90898</v>
      </c>
      <c r="AI93" s="89">
        <f t="shared" si="37"/>
        <v>7736</v>
      </c>
      <c r="AJ93" s="89">
        <f t="shared" si="38"/>
        <v>0</v>
      </c>
      <c r="AK93" s="89">
        <f t="shared" si="39"/>
        <v>9283.2000000000007</v>
      </c>
      <c r="AL93" s="89">
        <f t="shared" si="49"/>
        <v>299059.83520000003</v>
      </c>
      <c r="AM93" s="89">
        <v>25882.5</v>
      </c>
      <c r="AN93" s="89">
        <f t="shared" si="40"/>
        <v>1116717.9351999999</v>
      </c>
      <c r="AO93" s="99">
        <f t="shared" si="50"/>
        <v>893374</v>
      </c>
    </row>
    <row r="94" spans="1:41" ht="17.100000000000001" customHeight="1">
      <c r="A94" s="85" t="s">
        <v>3</v>
      </c>
      <c r="B94" s="86" t="s">
        <v>677</v>
      </c>
      <c r="C94" s="86" t="s">
        <v>611</v>
      </c>
      <c r="D94" s="87"/>
      <c r="E94" s="89">
        <v>0</v>
      </c>
      <c r="F94" s="89">
        <v>3</v>
      </c>
      <c r="G94" s="89">
        <v>0</v>
      </c>
      <c r="H94" s="89">
        <v>4</v>
      </c>
      <c r="I94" s="89">
        <f t="shared" si="42"/>
        <v>7</v>
      </c>
      <c r="J94" s="87">
        <v>0.33</v>
      </c>
      <c r="K94" s="87">
        <v>0</v>
      </c>
      <c r="L94" s="87">
        <v>0</v>
      </c>
      <c r="M94" s="87">
        <v>0.33</v>
      </c>
      <c r="N94" s="89">
        <f t="shared" si="43"/>
        <v>0.66</v>
      </c>
      <c r="O94" s="89">
        <f t="shared" si="53"/>
        <v>0.33</v>
      </c>
      <c r="P94" s="89">
        <f t="shared" si="53"/>
        <v>3</v>
      </c>
      <c r="Q94" s="89">
        <f t="shared" si="53"/>
        <v>0</v>
      </c>
      <c r="R94" s="89">
        <f t="shared" si="53"/>
        <v>4.33</v>
      </c>
      <c r="S94" s="89">
        <f t="shared" si="45"/>
        <v>7.66</v>
      </c>
      <c r="T94" s="87">
        <v>0.33</v>
      </c>
      <c r="U94" s="87">
        <v>2</v>
      </c>
      <c r="V94" s="87">
        <v>0</v>
      </c>
      <c r="W94" s="87">
        <v>5.33</v>
      </c>
      <c r="X94" s="89">
        <f t="shared" si="46"/>
        <v>7.66</v>
      </c>
      <c r="Y94" s="87">
        <v>0.33</v>
      </c>
      <c r="Z94" s="87">
        <v>2</v>
      </c>
      <c r="AA94" s="87">
        <v>0</v>
      </c>
      <c r="AB94" s="87">
        <v>5.33</v>
      </c>
      <c r="AC94" s="89">
        <f t="shared" si="47"/>
        <v>7.66</v>
      </c>
      <c r="AD94" s="89">
        <f t="shared" si="48"/>
        <v>433572</v>
      </c>
      <c r="AE94" s="89">
        <f t="shared" si="33"/>
        <v>33091.199999999997</v>
      </c>
      <c r="AF94" s="89">
        <f t="shared" si="34"/>
        <v>45960</v>
      </c>
      <c r="AG94" s="89">
        <f t="shared" si="35"/>
        <v>18384</v>
      </c>
      <c r="AH94" s="89">
        <f t="shared" si="36"/>
        <v>72004</v>
      </c>
      <c r="AI94" s="89">
        <f t="shared" si="37"/>
        <v>6128</v>
      </c>
      <c r="AJ94" s="89">
        <f t="shared" si="38"/>
        <v>0</v>
      </c>
      <c r="AK94" s="89">
        <f t="shared" si="39"/>
        <v>7353.6</v>
      </c>
      <c r="AL94" s="89">
        <f t="shared" si="49"/>
        <v>236897.44960000002</v>
      </c>
      <c r="AM94" s="89">
        <v>12000</v>
      </c>
      <c r="AN94" s="89">
        <f t="shared" si="40"/>
        <v>865390.24959999998</v>
      </c>
      <c r="AO94" s="99">
        <f t="shared" si="50"/>
        <v>692312</v>
      </c>
    </row>
    <row r="95" spans="1:41" s="93" customFormat="1" ht="17.100000000000001" customHeight="1">
      <c r="A95" s="91"/>
      <c r="B95" s="91" t="s">
        <v>678</v>
      </c>
      <c r="C95" s="91"/>
      <c r="D95" s="92">
        <f t="shared" ref="D95:AO95" si="54">SUM(D89:D94)</f>
        <v>4</v>
      </c>
      <c r="E95" s="92">
        <f t="shared" si="54"/>
        <v>8</v>
      </c>
      <c r="F95" s="92">
        <f t="shared" si="54"/>
        <v>13.33</v>
      </c>
      <c r="G95" s="92">
        <f t="shared" si="54"/>
        <v>59.67</v>
      </c>
      <c r="H95" s="92">
        <f t="shared" si="54"/>
        <v>18.009999999999998</v>
      </c>
      <c r="I95" s="92">
        <f t="shared" si="54"/>
        <v>99.01</v>
      </c>
      <c r="J95" s="92">
        <f t="shared" si="54"/>
        <v>2.99</v>
      </c>
      <c r="K95" s="92">
        <f t="shared" si="54"/>
        <v>0</v>
      </c>
      <c r="L95" s="92">
        <f t="shared" si="54"/>
        <v>2.84</v>
      </c>
      <c r="M95" s="92">
        <f t="shared" si="54"/>
        <v>1</v>
      </c>
      <c r="N95" s="92">
        <f t="shared" si="54"/>
        <v>6.83</v>
      </c>
      <c r="O95" s="92">
        <f t="shared" si="54"/>
        <v>10.99</v>
      </c>
      <c r="P95" s="92">
        <f t="shared" si="54"/>
        <v>13.33</v>
      </c>
      <c r="Q95" s="92">
        <f t="shared" si="54"/>
        <v>62.510000000000005</v>
      </c>
      <c r="R95" s="92">
        <f t="shared" si="54"/>
        <v>19.009999999999998</v>
      </c>
      <c r="S95" s="92">
        <f t="shared" si="54"/>
        <v>105.84</v>
      </c>
      <c r="T95" s="92">
        <f t="shared" si="54"/>
        <v>11.83</v>
      </c>
      <c r="U95" s="92">
        <f t="shared" si="54"/>
        <v>11.25</v>
      </c>
      <c r="V95" s="92">
        <f t="shared" si="54"/>
        <v>61.92</v>
      </c>
      <c r="W95" s="92">
        <f t="shared" si="54"/>
        <v>19.41</v>
      </c>
      <c r="X95" s="92">
        <f t="shared" si="54"/>
        <v>104.41</v>
      </c>
      <c r="Y95" s="92">
        <f t="shared" si="54"/>
        <v>10.83</v>
      </c>
      <c r="Z95" s="92">
        <f t="shared" si="54"/>
        <v>11</v>
      </c>
      <c r="AA95" s="92">
        <f t="shared" si="54"/>
        <v>62.260000000000005</v>
      </c>
      <c r="AB95" s="92">
        <f t="shared" si="54"/>
        <v>19.079999999999998</v>
      </c>
      <c r="AC95" s="92">
        <f t="shared" si="54"/>
        <v>103.17</v>
      </c>
      <c r="AD95" s="92">
        <f t="shared" si="54"/>
        <v>6354701.2800000003</v>
      </c>
      <c r="AE95" s="92">
        <f t="shared" si="54"/>
        <v>445694.40000000008</v>
      </c>
      <c r="AF95" s="92">
        <f t="shared" si="54"/>
        <v>619020</v>
      </c>
      <c r="AG95" s="92">
        <f t="shared" si="54"/>
        <v>247608</v>
      </c>
      <c r="AH95" s="92">
        <f t="shared" si="54"/>
        <v>969798</v>
      </c>
      <c r="AI95" s="92">
        <f t="shared" si="54"/>
        <v>82536</v>
      </c>
      <c r="AJ95" s="92">
        <f t="shared" si="54"/>
        <v>40000</v>
      </c>
      <c r="AK95" s="92">
        <f t="shared" si="54"/>
        <v>99043.200000000012</v>
      </c>
      <c r="AL95" s="92">
        <f t="shared" si="54"/>
        <v>3190693.1952000004</v>
      </c>
      <c r="AM95" s="92">
        <f t="shared" si="54"/>
        <v>37882.5</v>
      </c>
      <c r="AN95" s="92">
        <f t="shared" si="54"/>
        <v>12086976.575200001</v>
      </c>
      <c r="AO95" s="92">
        <f t="shared" si="54"/>
        <v>9669580</v>
      </c>
    </row>
    <row r="96" spans="1:41" ht="17.100000000000001" customHeight="1">
      <c r="A96" s="85" t="s">
        <v>2</v>
      </c>
      <c r="B96" s="96" t="s">
        <v>679</v>
      </c>
      <c r="C96" s="86" t="s">
        <v>609</v>
      </c>
      <c r="D96" s="87">
        <v>2</v>
      </c>
      <c r="E96" s="94">
        <v>4</v>
      </c>
      <c r="F96" s="94">
        <v>3</v>
      </c>
      <c r="G96" s="94">
        <v>27.67</v>
      </c>
      <c r="H96" s="94">
        <v>3</v>
      </c>
      <c r="I96" s="89">
        <f t="shared" si="42"/>
        <v>37.67</v>
      </c>
      <c r="J96" s="87">
        <v>0.67</v>
      </c>
      <c r="K96" s="87">
        <v>0</v>
      </c>
      <c r="L96" s="87">
        <v>0</v>
      </c>
      <c r="M96" s="87">
        <v>0</v>
      </c>
      <c r="N96" s="89">
        <f t="shared" si="43"/>
        <v>0.67</v>
      </c>
      <c r="O96" s="89">
        <f>E96+J96</f>
        <v>4.67</v>
      </c>
      <c r="P96" s="89">
        <f t="shared" ref="P96:R99" si="55">F96+K96</f>
        <v>3</v>
      </c>
      <c r="Q96" s="89">
        <f t="shared" si="55"/>
        <v>27.67</v>
      </c>
      <c r="R96" s="89">
        <f t="shared" si="55"/>
        <v>3</v>
      </c>
      <c r="S96" s="89">
        <f t="shared" si="45"/>
        <v>38.340000000000003</v>
      </c>
      <c r="T96" s="87">
        <v>3.25</v>
      </c>
      <c r="U96" s="87">
        <v>3</v>
      </c>
      <c r="V96" s="87">
        <v>27.42</v>
      </c>
      <c r="W96" s="87">
        <v>3.08</v>
      </c>
      <c r="X96" s="89">
        <f t="shared" si="46"/>
        <v>36.75</v>
      </c>
      <c r="Y96" s="87">
        <v>3.25</v>
      </c>
      <c r="Z96" s="87">
        <v>3</v>
      </c>
      <c r="AA96" s="87">
        <v>27.42</v>
      </c>
      <c r="AB96" s="87">
        <v>3.08</v>
      </c>
      <c r="AC96" s="89">
        <f t="shared" si="47"/>
        <v>36.75</v>
      </c>
      <c r="AD96" s="89">
        <f t="shared" si="48"/>
        <v>2284457.7600000002</v>
      </c>
      <c r="AE96" s="89">
        <f t="shared" si="33"/>
        <v>158760</v>
      </c>
      <c r="AF96" s="89">
        <f t="shared" si="34"/>
        <v>220500</v>
      </c>
      <c r="AG96" s="89">
        <f t="shared" si="35"/>
        <v>88200</v>
      </c>
      <c r="AH96" s="89">
        <f t="shared" si="36"/>
        <v>345450</v>
      </c>
      <c r="AI96" s="89">
        <f t="shared" si="37"/>
        <v>29400</v>
      </c>
      <c r="AJ96" s="89">
        <f t="shared" si="38"/>
        <v>20000</v>
      </c>
      <c r="AK96" s="89">
        <f t="shared" si="39"/>
        <v>35280</v>
      </c>
      <c r="AL96" s="89">
        <f t="shared" si="49"/>
        <v>1136551.08</v>
      </c>
      <c r="AM96" s="89"/>
      <c r="AN96" s="89">
        <f t="shared" si="40"/>
        <v>4318598.84</v>
      </c>
      <c r="AO96" s="99">
        <f t="shared" si="50"/>
        <v>3454879</v>
      </c>
    </row>
    <row r="97" spans="1:41" ht="17.100000000000001" customHeight="1">
      <c r="A97" s="85" t="s">
        <v>2</v>
      </c>
      <c r="B97" s="96" t="s">
        <v>468</v>
      </c>
      <c r="C97" s="86" t="s">
        <v>609</v>
      </c>
      <c r="D97" s="87">
        <v>3</v>
      </c>
      <c r="E97" s="94">
        <v>0</v>
      </c>
      <c r="F97" s="94">
        <v>2</v>
      </c>
      <c r="G97" s="94">
        <v>33.67</v>
      </c>
      <c r="H97" s="94">
        <v>4</v>
      </c>
      <c r="I97" s="89">
        <f t="shared" si="42"/>
        <v>39.67</v>
      </c>
      <c r="J97" s="87">
        <v>0</v>
      </c>
      <c r="K97" s="87">
        <v>0</v>
      </c>
      <c r="L97" s="87">
        <v>0</v>
      </c>
      <c r="M97" s="87">
        <v>0</v>
      </c>
      <c r="N97" s="89">
        <f t="shared" si="43"/>
        <v>0</v>
      </c>
      <c r="O97" s="89">
        <f>E97+J97</f>
        <v>0</v>
      </c>
      <c r="P97" s="89">
        <f t="shared" si="55"/>
        <v>2</v>
      </c>
      <c r="Q97" s="89">
        <f t="shared" si="55"/>
        <v>33.67</v>
      </c>
      <c r="R97" s="89">
        <f t="shared" si="55"/>
        <v>4</v>
      </c>
      <c r="S97" s="89">
        <f t="shared" si="45"/>
        <v>39.67</v>
      </c>
      <c r="T97" s="87">
        <v>0.08</v>
      </c>
      <c r="U97" s="87">
        <v>3</v>
      </c>
      <c r="V97" s="87">
        <v>33.67</v>
      </c>
      <c r="W97" s="87">
        <v>3.75</v>
      </c>
      <c r="X97" s="89">
        <f t="shared" si="46"/>
        <v>40.5</v>
      </c>
      <c r="Y97" s="89">
        <v>0</v>
      </c>
      <c r="Z97" s="89">
        <v>2</v>
      </c>
      <c r="AA97" s="89">
        <v>33.67</v>
      </c>
      <c r="AB97" s="89">
        <v>4</v>
      </c>
      <c r="AC97" s="89">
        <f t="shared" si="47"/>
        <v>39.67</v>
      </c>
      <c r="AD97" s="89">
        <f t="shared" si="48"/>
        <v>2397779.7600000002</v>
      </c>
      <c r="AE97" s="89">
        <f t="shared" si="33"/>
        <v>171374.4</v>
      </c>
      <c r="AF97" s="89">
        <f t="shared" si="34"/>
        <v>238020</v>
      </c>
      <c r="AG97" s="89">
        <f t="shared" si="35"/>
        <v>95208</v>
      </c>
      <c r="AH97" s="89">
        <f t="shared" si="36"/>
        <v>372898</v>
      </c>
      <c r="AI97" s="89">
        <f t="shared" si="37"/>
        <v>31736</v>
      </c>
      <c r="AJ97" s="89">
        <f t="shared" si="38"/>
        <v>30000</v>
      </c>
      <c r="AK97" s="89">
        <f t="shared" si="39"/>
        <v>38083.200000000004</v>
      </c>
      <c r="AL97" s="89">
        <f t="shared" si="49"/>
        <v>1226856.6352000001</v>
      </c>
      <c r="AM97" s="89"/>
      <c r="AN97" s="89">
        <f t="shared" si="40"/>
        <v>4601955.9952000007</v>
      </c>
      <c r="AO97" s="99">
        <f t="shared" si="50"/>
        <v>3681565</v>
      </c>
    </row>
    <row r="98" spans="1:41" ht="17.100000000000001" customHeight="1">
      <c r="A98" s="85" t="s">
        <v>2</v>
      </c>
      <c r="B98" s="86" t="s">
        <v>680</v>
      </c>
      <c r="C98" s="86" t="s">
        <v>611</v>
      </c>
      <c r="D98" s="87"/>
      <c r="E98" s="94">
        <v>0</v>
      </c>
      <c r="F98" s="94">
        <v>6</v>
      </c>
      <c r="G98" s="94">
        <v>0</v>
      </c>
      <c r="H98" s="94">
        <v>8.67</v>
      </c>
      <c r="I98" s="89">
        <f t="shared" si="42"/>
        <v>14.67</v>
      </c>
      <c r="J98" s="87">
        <v>0</v>
      </c>
      <c r="K98" s="87">
        <v>0</v>
      </c>
      <c r="L98" s="87">
        <v>0</v>
      </c>
      <c r="M98" s="87">
        <v>0</v>
      </c>
      <c r="N98" s="89">
        <f t="shared" si="43"/>
        <v>0</v>
      </c>
      <c r="O98" s="89">
        <f>E98+J98</f>
        <v>0</v>
      </c>
      <c r="P98" s="89">
        <f t="shared" si="55"/>
        <v>6</v>
      </c>
      <c r="Q98" s="89">
        <f t="shared" si="55"/>
        <v>0</v>
      </c>
      <c r="R98" s="89">
        <f t="shared" si="55"/>
        <v>8.67</v>
      </c>
      <c r="S98" s="89">
        <f t="shared" si="45"/>
        <v>14.67</v>
      </c>
      <c r="T98" s="87">
        <v>0</v>
      </c>
      <c r="U98" s="87">
        <v>5</v>
      </c>
      <c r="V98" s="87">
        <v>0</v>
      </c>
      <c r="W98" s="87">
        <v>0</v>
      </c>
      <c r="X98" s="89">
        <f t="shared" si="46"/>
        <v>5</v>
      </c>
      <c r="Y98" s="87">
        <v>0</v>
      </c>
      <c r="Z98" s="87">
        <v>5</v>
      </c>
      <c r="AA98" s="87">
        <v>0</v>
      </c>
      <c r="AB98" s="87">
        <v>0</v>
      </c>
      <c r="AC98" s="89">
        <f t="shared" si="47"/>
        <v>5</v>
      </c>
      <c r="AD98" s="89">
        <f t="shared" si="48"/>
        <v>333000</v>
      </c>
      <c r="AE98" s="89">
        <f t="shared" si="33"/>
        <v>21600</v>
      </c>
      <c r="AF98" s="89">
        <f t="shared" si="34"/>
        <v>30000</v>
      </c>
      <c r="AG98" s="89">
        <f t="shared" si="35"/>
        <v>12000</v>
      </c>
      <c r="AH98" s="89">
        <f t="shared" si="36"/>
        <v>47000</v>
      </c>
      <c r="AI98" s="89">
        <f t="shared" si="37"/>
        <v>4000</v>
      </c>
      <c r="AJ98" s="89">
        <f t="shared" si="38"/>
        <v>0</v>
      </c>
      <c r="AK98" s="89">
        <f t="shared" si="39"/>
        <v>4800</v>
      </c>
      <c r="AL98" s="89">
        <f t="shared" si="49"/>
        <v>154632.80000000002</v>
      </c>
      <c r="AM98" s="89"/>
      <c r="AN98" s="89">
        <f t="shared" si="40"/>
        <v>607032.80000000005</v>
      </c>
      <c r="AO98" s="99">
        <f t="shared" si="50"/>
        <v>485626</v>
      </c>
    </row>
    <row r="99" spans="1:41" ht="17.100000000000001" customHeight="1">
      <c r="A99" s="85" t="s">
        <v>2</v>
      </c>
      <c r="B99" s="86" t="s">
        <v>681</v>
      </c>
      <c r="C99" s="86" t="s">
        <v>609</v>
      </c>
      <c r="D99" s="87">
        <v>1</v>
      </c>
      <c r="E99" s="94">
        <v>0</v>
      </c>
      <c r="F99" s="94">
        <v>1.33</v>
      </c>
      <c r="G99" s="94">
        <v>13</v>
      </c>
      <c r="H99" s="94">
        <v>2</v>
      </c>
      <c r="I99" s="89">
        <f t="shared" si="42"/>
        <v>16.329999999999998</v>
      </c>
      <c r="J99" s="87">
        <v>1</v>
      </c>
      <c r="K99" s="87">
        <v>1</v>
      </c>
      <c r="L99" s="87">
        <v>1.5</v>
      </c>
      <c r="M99" s="87">
        <v>0</v>
      </c>
      <c r="N99" s="89">
        <f t="shared" si="43"/>
        <v>3.5</v>
      </c>
      <c r="O99" s="89">
        <f>E99+J99</f>
        <v>1</v>
      </c>
      <c r="P99" s="89">
        <f t="shared" si="55"/>
        <v>2.33</v>
      </c>
      <c r="Q99" s="89">
        <f t="shared" si="55"/>
        <v>14.5</v>
      </c>
      <c r="R99" s="89">
        <f t="shared" si="55"/>
        <v>2</v>
      </c>
      <c r="S99" s="89">
        <f t="shared" si="45"/>
        <v>19.829999999999998</v>
      </c>
      <c r="T99" s="87">
        <v>0.57999999999999996</v>
      </c>
      <c r="U99" s="87">
        <v>2.17</v>
      </c>
      <c r="V99" s="87">
        <v>11.5</v>
      </c>
      <c r="W99" s="87">
        <v>5.42</v>
      </c>
      <c r="X99" s="89">
        <f t="shared" si="46"/>
        <v>19.670000000000002</v>
      </c>
      <c r="Y99" s="87">
        <v>0.57999999999999996</v>
      </c>
      <c r="Z99" s="87">
        <v>2.17</v>
      </c>
      <c r="AA99" s="87">
        <v>11.5</v>
      </c>
      <c r="AB99" s="87">
        <v>5.42</v>
      </c>
      <c r="AC99" s="89">
        <f t="shared" si="47"/>
        <v>19.670000000000002</v>
      </c>
      <c r="AD99" s="89">
        <f t="shared" si="48"/>
        <v>1171710</v>
      </c>
      <c r="AE99" s="89">
        <f t="shared" si="33"/>
        <v>84974.400000000009</v>
      </c>
      <c r="AF99" s="89">
        <f t="shared" si="34"/>
        <v>118020.00000000001</v>
      </c>
      <c r="AG99" s="89">
        <f t="shared" si="35"/>
        <v>47208.000000000007</v>
      </c>
      <c r="AH99" s="89">
        <f t="shared" si="36"/>
        <v>184898.00000000003</v>
      </c>
      <c r="AI99" s="89">
        <f t="shared" si="37"/>
        <v>15736.000000000002</v>
      </c>
      <c r="AJ99" s="89">
        <f t="shared" si="38"/>
        <v>10000</v>
      </c>
      <c r="AK99" s="89">
        <f t="shared" si="39"/>
        <v>18883.2</v>
      </c>
      <c r="AL99" s="89">
        <f t="shared" si="49"/>
        <v>608325.43520000007</v>
      </c>
      <c r="AM99" s="89"/>
      <c r="AN99" s="89">
        <f t="shared" si="40"/>
        <v>2259755.0351999998</v>
      </c>
      <c r="AO99" s="99">
        <f t="shared" si="50"/>
        <v>1807804</v>
      </c>
    </row>
    <row r="100" spans="1:41" s="93" customFormat="1" ht="17.100000000000001" customHeight="1">
      <c r="A100" s="91"/>
      <c r="B100" s="91" t="s">
        <v>682</v>
      </c>
      <c r="C100" s="91"/>
      <c r="D100" s="92">
        <f>SUM(D96:D99)</f>
        <v>6</v>
      </c>
      <c r="E100" s="92">
        <f t="shared" ref="E100:AO100" si="56">SUM(E96:E99)</f>
        <v>4</v>
      </c>
      <c r="F100" s="92">
        <f t="shared" si="56"/>
        <v>12.33</v>
      </c>
      <c r="G100" s="92">
        <f t="shared" si="56"/>
        <v>74.34</v>
      </c>
      <c r="H100" s="92">
        <f t="shared" si="56"/>
        <v>17.670000000000002</v>
      </c>
      <c r="I100" s="92">
        <f t="shared" si="56"/>
        <v>108.34</v>
      </c>
      <c r="J100" s="92">
        <f t="shared" si="56"/>
        <v>1.67</v>
      </c>
      <c r="K100" s="92">
        <f t="shared" si="56"/>
        <v>1</v>
      </c>
      <c r="L100" s="92">
        <f t="shared" si="56"/>
        <v>1.5</v>
      </c>
      <c r="M100" s="92">
        <f t="shared" si="56"/>
        <v>0</v>
      </c>
      <c r="N100" s="92">
        <f t="shared" si="56"/>
        <v>4.17</v>
      </c>
      <c r="O100" s="92">
        <f t="shared" si="56"/>
        <v>5.67</v>
      </c>
      <c r="P100" s="92">
        <f t="shared" si="56"/>
        <v>13.33</v>
      </c>
      <c r="Q100" s="92">
        <f t="shared" si="56"/>
        <v>75.84</v>
      </c>
      <c r="R100" s="92">
        <f t="shared" si="56"/>
        <v>17.670000000000002</v>
      </c>
      <c r="S100" s="92">
        <f t="shared" si="56"/>
        <v>112.51</v>
      </c>
      <c r="T100" s="92">
        <f t="shared" si="56"/>
        <v>3.91</v>
      </c>
      <c r="U100" s="92">
        <f t="shared" si="56"/>
        <v>13.17</v>
      </c>
      <c r="V100" s="92">
        <f t="shared" si="56"/>
        <v>72.59</v>
      </c>
      <c r="W100" s="92">
        <f t="shared" si="56"/>
        <v>12.25</v>
      </c>
      <c r="X100" s="92">
        <f t="shared" si="56"/>
        <v>101.92</v>
      </c>
      <c r="Y100" s="92">
        <f t="shared" si="56"/>
        <v>3.83</v>
      </c>
      <c r="Z100" s="92">
        <f t="shared" si="56"/>
        <v>12.17</v>
      </c>
      <c r="AA100" s="92">
        <f t="shared" si="56"/>
        <v>72.59</v>
      </c>
      <c r="AB100" s="92">
        <f t="shared" si="56"/>
        <v>12.5</v>
      </c>
      <c r="AC100" s="92">
        <f t="shared" si="56"/>
        <v>101.09</v>
      </c>
      <c r="AD100" s="92">
        <f t="shared" si="56"/>
        <v>6186947.5200000005</v>
      </c>
      <c r="AE100" s="92">
        <f t="shared" si="56"/>
        <v>436708.80000000005</v>
      </c>
      <c r="AF100" s="92">
        <f t="shared" si="56"/>
        <v>606540</v>
      </c>
      <c r="AG100" s="92">
        <f t="shared" si="56"/>
        <v>242616</v>
      </c>
      <c r="AH100" s="92">
        <f t="shared" si="56"/>
        <v>950246</v>
      </c>
      <c r="AI100" s="92">
        <f t="shared" si="56"/>
        <v>80872</v>
      </c>
      <c r="AJ100" s="92">
        <f t="shared" si="56"/>
        <v>60000</v>
      </c>
      <c r="AK100" s="92">
        <f t="shared" si="56"/>
        <v>97046.400000000009</v>
      </c>
      <c r="AL100" s="92">
        <f t="shared" si="56"/>
        <v>3126365.9504000004</v>
      </c>
      <c r="AM100" s="92">
        <f t="shared" si="56"/>
        <v>0</v>
      </c>
      <c r="AN100" s="92">
        <f t="shared" si="56"/>
        <v>11787342.670400001</v>
      </c>
      <c r="AO100" s="92">
        <f t="shared" si="56"/>
        <v>9429874</v>
      </c>
    </row>
    <row r="101" spans="1:41" ht="17.100000000000001" customHeight="1">
      <c r="A101" s="85" t="s">
        <v>9</v>
      </c>
      <c r="B101" s="86" t="s">
        <v>487</v>
      </c>
      <c r="C101" s="86" t="s">
        <v>609</v>
      </c>
      <c r="D101" s="87">
        <v>2</v>
      </c>
      <c r="E101" s="94">
        <v>4.33</v>
      </c>
      <c r="F101" s="94">
        <v>3</v>
      </c>
      <c r="G101" s="94">
        <v>26.33</v>
      </c>
      <c r="H101" s="94">
        <v>3</v>
      </c>
      <c r="I101" s="89">
        <f t="shared" si="42"/>
        <v>36.659999999999997</v>
      </c>
      <c r="J101" s="87">
        <v>0</v>
      </c>
      <c r="K101" s="87">
        <v>0</v>
      </c>
      <c r="L101" s="87">
        <v>0</v>
      </c>
      <c r="M101" s="87">
        <v>0</v>
      </c>
      <c r="N101" s="89">
        <f t="shared" si="43"/>
        <v>0</v>
      </c>
      <c r="O101" s="89">
        <f>E101+J101</f>
        <v>4.33</v>
      </c>
      <c r="P101" s="89">
        <f t="shared" ref="P101:R114" si="57">F101+K101</f>
        <v>3</v>
      </c>
      <c r="Q101" s="89">
        <f t="shared" si="57"/>
        <v>26.33</v>
      </c>
      <c r="R101" s="89">
        <f t="shared" si="57"/>
        <v>3</v>
      </c>
      <c r="S101" s="89">
        <f t="shared" si="45"/>
        <v>36.659999999999997</v>
      </c>
      <c r="T101" s="89">
        <v>4.83</v>
      </c>
      <c r="U101" s="89">
        <v>2.5</v>
      </c>
      <c r="V101" s="89">
        <v>25.92</v>
      </c>
      <c r="W101" s="89">
        <v>2.5</v>
      </c>
      <c r="X101" s="89">
        <f t="shared" si="46"/>
        <v>35.75</v>
      </c>
      <c r="Y101" s="87">
        <v>4.83</v>
      </c>
      <c r="Z101" s="87">
        <v>2.5</v>
      </c>
      <c r="AA101" s="87">
        <v>25.92</v>
      </c>
      <c r="AB101" s="87">
        <v>2.5</v>
      </c>
      <c r="AC101" s="89">
        <f t="shared" si="47"/>
        <v>35.75</v>
      </c>
      <c r="AD101" s="89">
        <f t="shared" si="48"/>
        <v>2250881.7600000002</v>
      </c>
      <c r="AE101" s="89">
        <f t="shared" si="33"/>
        <v>154440</v>
      </c>
      <c r="AF101" s="89">
        <f t="shared" si="34"/>
        <v>214500</v>
      </c>
      <c r="AG101" s="89">
        <f t="shared" si="35"/>
        <v>85800</v>
      </c>
      <c r="AH101" s="89">
        <f t="shared" si="36"/>
        <v>336050</v>
      </c>
      <c r="AI101" s="89">
        <f t="shared" si="37"/>
        <v>28600</v>
      </c>
      <c r="AJ101" s="89">
        <f t="shared" si="38"/>
        <v>20000</v>
      </c>
      <c r="AK101" s="89">
        <f t="shared" si="39"/>
        <v>34320</v>
      </c>
      <c r="AL101" s="89">
        <f t="shared" si="49"/>
        <v>1105624.52</v>
      </c>
      <c r="AM101" s="89"/>
      <c r="AN101" s="89">
        <f t="shared" si="40"/>
        <v>4230216.28</v>
      </c>
      <c r="AO101" s="99">
        <f t="shared" si="50"/>
        <v>3384173</v>
      </c>
    </row>
    <row r="102" spans="1:41" ht="17.100000000000001" customHeight="1">
      <c r="A102" s="85" t="s">
        <v>9</v>
      </c>
      <c r="B102" s="86" t="s">
        <v>683</v>
      </c>
      <c r="C102" s="86" t="s">
        <v>609</v>
      </c>
      <c r="D102" s="87">
        <v>2</v>
      </c>
      <c r="E102" s="94"/>
      <c r="F102" s="94">
        <v>3</v>
      </c>
      <c r="G102" s="94">
        <v>27</v>
      </c>
      <c r="H102" s="94">
        <v>3</v>
      </c>
      <c r="I102" s="89">
        <f t="shared" si="42"/>
        <v>33</v>
      </c>
      <c r="J102" s="87">
        <v>10.33</v>
      </c>
      <c r="K102" s="87">
        <v>0</v>
      </c>
      <c r="L102" s="87">
        <v>0</v>
      </c>
      <c r="M102" s="87">
        <v>0</v>
      </c>
      <c r="N102" s="89">
        <f t="shared" si="43"/>
        <v>10.33</v>
      </c>
      <c r="O102" s="89">
        <f t="shared" ref="O102:O114" si="58">E102+J102</f>
        <v>10.33</v>
      </c>
      <c r="P102" s="89">
        <f t="shared" si="57"/>
        <v>3</v>
      </c>
      <c r="Q102" s="89">
        <f t="shared" si="57"/>
        <v>27</v>
      </c>
      <c r="R102" s="89">
        <f t="shared" si="57"/>
        <v>3</v>
      </c>
      <c r="S102" s="89">
        <f t="shared" si="45"/>
        <v>43.33</v>
      </c>
      <c r="T102" s="87">
        <v>10.42</v>
      </c>
      <c r="U102" s="87">
        <v>3</v>
      </c>
      <c r="V102" s="87">
        <v>26.67</v>
      </c>
      <c r="W102" s="87">
        <v>3</v>
      </c>
      <c r="X102" s="89">
        <f t="shared" si="46"/>
        <v>43.09</v>
      </c>
      <c r="Y102" s="89">
        <v>10.42</v>
      </c>
      <c r="Z102" s="89">
        <v>3</v>
      </c>
      <c r="AA102" s="89">
        <v>26.67</v>
      </c>
      <c r="AB102" s="89">
        <v>3</v>
      </c>
      <c r="AC102" s="89">
        <f t="shared" si="47"/>
        <v>43.09</v>
      </c>
      <c r="AD102" s="89">
        <f t="shared" si="48"/>
        <v>2785139.7600000002</v>
      </c>
      <c r="AE102" s="89">
        <f t="shared" si="33"/>
        <v>186148.80000000002</v>
      </c>
      <c r="AF102" s="89">
        <f t="shared" si="34"/>
        <v>258540.00000000003</v>
      </c>
      <c r="AG102" s="89">
        <f t="shared" si="35"/>
        <v>103416.00000000001</v>
      </c>
      <c r="AH102" s="89">
        <f t="shared" si="36"/>
        <v>405046.00000000006</v>
      </c>
      <c r="AI102" s="89">
        <f t="shared" si="37"/>
        <v>34472</v>
      </c>
      <c r="AJ102" s="89">
        <f t="shared" si="38"/>
        <v>20000</v>
      </c>
      <c r="AK102" s="89">
        <f t="shared" si="39"/>
        <v>41366.400000000001</v>
      </c>
      <c r="AL102" s="89">
        <f t="shared" si="49"/>
        <v>1332625.4704000002</v>
      </c>
      <c r="AM102" s="89"/>
      <c r="AN102" s="89">
        <f t="shared" si="40"/>
        <v>5166754.4304</v>
      </c>
      <c r="AO102" s="99">
        <f t="shared" si="50"/>
        <v>4133404</v>
      </c>
    </row>
    <row r="103" spans="1:41" ht="17.100000000000001" customHeight="1">
      <c r="A103" s="85" t="s">
        <v>9</v>
      </c>
      <c r="B103" s="86" t="s">
        <v>684</v>
      </c>
      <c r="C103" s="86" t="s">
        <v>609</v>
      </c>
      <c r="D103" s="87">
        <v>2</v>
      </c>
      <c r="E103" s="94">
        <v>3.33</v>
      </c>
      <c r="F103" s="94">
        <v>3</v>
      </c>
      <c r="G103" s="94">
        <v>35.33</v>
      </c>
      <c r="H103" s="94">
        <v>4</v>
      </c>
      <c r="I103" s="89">
        <f t="shared" si="42"/>
        <v>45.66</v>
      </c>
      <c r="J103" s="87">
        <v>0</v>
      </c>
      <c r="K103" s="87">
        <v>3</v>
      </c>
      <c r="L103" s="87">
        <v>0</v>
      </c>
      <c r="M103" s="87">
        <v>0</v>
      </c>
      <c r="N103" s="89">
        <f t="shared" si="43"/>
        <v>3</v>
      </c>
      <c r="O103" s="89">
        <f t="shared" si="58"/>
        <v>3.33</v>
      </c>
      <c r="P103" s="89">
        <f t="shared" si="57"/>
        <v>6</v>
      </c>
      <c r="Q103" s="89">
        <f t="shared" si="57"/>
        <v>35.33</v>
      </c>
      <c r="R103" s="89">
        <f t="shared" si="57"/>
        <v>4</v>
      </c>
      <c r="S103" s="89">
        <f t="shared" si="45"/>
        <v>48.66</v>
      </c>
      <c r="T103" s="87">
        <v>2.33</v>
      </c>
      <c r="U103" s="87">
        <v>6.5</v>
      </c>
      <c r="V103" s="87">
        <v>34.25</v>
      </c>
      <c r="W103" s="87">
        <v>5</v>
      </c>
      <c r="X103" s="89">
        <f t="shared" si="46"/>
        <v>48.08</v>
      </c>
      <c r="Y103" s="89">
        <v>2.33</v>
      </c>
      <c r="Z103" s="89">
        <v>6.5</v>
      </c>
      <c r="AA103" s="89">
        <v>34.25</v>
      </c>
      <c r="AB103" s="89">
        <v>5</v>
      </c>
      <c r="AC103" s="89">
        <f t="shared" si="47"/>
        <v>48.08</v>
      </c>
      <c r="AD103" s="89">
        <f t="shared" si="48"/>
        <v>2963478</v>
      </c>
      <c r="AE103" s="89">
        <f t="shared" si="33"/>
        <v>207705.60000000001</v>
      </c>
      <c r="AF103" s="89">
        <f t="shared" si="34"/>
        <v>288480</v>
      </c>
      <c r="AG103" s="89">
        <f t="shared" si="35"/>
        <v>115392</v>
      </c>
      <c r="AH103" s="89">
        <f t="shared" si="36"/>
        <v>451952</v>
      </c>
      <c r="AI103" s="89">
        <f t="shared" si="37"/>
        <v>38464</v>
      </c>
      <c r="AJ103" s="89">
        <f t="shared" si="38"/>
        <v>20000</v>
      </c>
      <c r="AK103" s="89">
        <f t="shared" si="39"/>
        <v>46156.799999999996</v>
      </c>
      <c r="AL103" s="89">
        <f t="shared" si="49"/>
        <v>1486949.0048</v>
      </c>
      <c r="AM103" s="89"/>
      <c r="AN103" s="89">
        <f t="shared" si="40"/>
        <v>5618577.4047999997</v>
      </c>
      <c r="AO103" s="99">
        <f t="shared" si="50"/>
        <v>4494862</v>
      </c>
    </row>
    <row r="104" spans="1:41" ht="17.100000000000001" customHeight="1">
      <c r="A104" s="85" t="s">
        <v>9</v>
      </c>
      <c r="B104" s="86" t="s">
        <v>685</v>
      </c>
      <c r="C104" s="86" t="s">
        <v>609</v>
      </c>
      <c r="D104" s="87">
        <v>3</v>
      </c>
      <c r="E104" s="94">
        <v>0</v>
      </c>
      <c r="F104" s="94">
        <v>2</v>
      </c>
      <c r="G104" s="94">
        <v>25.67</v>
      </c>
      <c r="H104" s="94">
        <v>2.67</v>
      </c>
      <c r="I104" s="89">
        <f t="shared" si="42"/>
        <v>30.340000000000003</v>
      </c>
      <c r="J104" s="87">
        <v>0</v>
      </c>
      <c r="K104" s="87">
        <v>0</v>
      </c>
      <c r="L104" s="87">
        <v>0</v>
      </c>
      <c r="M104" s="87">
        <v>0</v>
      </c>
      <c r="N104" s="89">
        <f t="shared" si="43"/>
        <v>0</v>
      </c>
      <c r="O104" s="89">
        <f t="shared" si="58"/>
        <v>0</v>
      </c>
      <c r="P104" s="89">
        <f t="shared" si="57"/>
        <v>2</v>
      </c>
      <c r="Q104" s="89">
        <f t="shared" si="57"/>
        <v>25.67</v>
      </c>
      <c r="R104" s="89">
        <f t="shared" si="57"/>
        <v>2.67</v>
      </c>
      <c r="S104" s="89">
        <f t="shared" si="45"/>
        <v>30.340000000000003</v>
      </c>
      <c r="T104" s="87">
        <v>0</v>
      </c>
      <c r="U104" s="87">
        <v>3.67</v>
      </c>
      <c r="V104" s="87">
        <v>24</v>
      </c>
      <c r="W104" s="87">
        <v>1.75</v>
      </c>
      <c r="X104" s="89">
        <f t="shared" si="46"/>
        <v>29.42</v>
      </c>
      <c r="Y104" s="89">
        <v>0</v>
      </c>
      <c r="Z104" s="89">
        <v>3.67</v>
      </c>
      <c r="AA104" s="89">
        <v>24</v>
      </c>
      <c r="AB104" s="89">
        <v>1.75</v>
      </c>
      <c r="AC104" s="89">
        <f t="shared" si="47"/>
        <v>29.42</v>
      </c>
      <c r="AD104" s="89">
        <f t="shared" si="48"/>
        <v>1801794</v>
      </c>
      <c r="AE104" s="89">
        <f t="shared" si="33"/>
        <v>127094.40000000001</v>
      </c>
      <c r="AF104" s="89">
        <f t="shared" si="34"/>
        <v>176520</v>
      </c>
      <c r="AG104" s="89">
        <f t="shared" si="35"/>
        <v>70608</v>
      </c>
      <c r="AH104" s="89">
        <f t="shared" si="36"/>
        <v>276548</v>
      </c>
      <c r="AI104" s="89">
        <f t="shared" si="37"/>
        <v>23536</v>
      </c>
      <c r="AJ104" s="89">
        <f t="shared" si="38"/>
        <v>30000</v>
      </c>
      <c r="AK104" s="89">
        <f t="shared" si="39"/>
        <v>28243.200000000001</v>
      </c>
      <c r="AL104" s="89">
        <f t="shared" si="49"/>
        <v>909859.39520000014</v>
      </c>
      <c r="AM104" s="89"/>
      <c r="AN104" s="89">
        <f t="shared" si="40"/>
        <v>3444202.9952000002</v>
      </c>
      <c r="AO104" s="99">
        <f t="shared" si="50"/>
        <v>2755362</v>
      </c>
    </row>
    <row r="105" spans="1:41" ht="17.100000000000001" customHeight="1">
      <c r="A105" s="85" t="s">
        <v>9</v>
      </c>
      <c r="B105" s="86" t="s">
        <v>482</v>
      </c>
      <c r="C105" s="86" t="s">
        <v>611</v>
      </c>
      <c r="D105" s="87"/>
      <c r="E105" s="94">
        <v>0</v>
      </c>
      <c r="F105" s="94">
        <v>3.33</v>
      </c>
      <c r="G105" s="94">
        <v>0</v>
      </c>
      <c r="H105" s="94">
        <v>5.67</v>
      </c>
      <c r="I105" s="89">
        <f t="shared" si="42"/>
        <v>9</v>
      </c>
      <c r="J105" s="87">
        <v>0.57999999999999996</v>
      </c>
      <c r="K105" s="87">
        <v>0.33</v>
      </c>
      <c r="L105" s="87">
        <v>0</v>
      </c>
      <c r="M105" s="87">
        <v>0.67</v>
      </c>
      <c r="N105" s="89">
        <f t="shared" si="43"/>
        <v>1.58</v>
      </c>
      <c r="O105" s="89">
        <f t="shared" si="58"/>
        <v>0.57999999999999996</v>
      </c>
      <c r="P105" s="89">
        <f t="shared" si="57"/>
        <v>3.66</v>
      </c>
      <c r="Q105" s="89">
        <f t="shared" si="57"/>
        <v>0</v>
      </c>
      <c r="R105" s="89">
        <f t="shared" si="57"/>
        <v>6.34</v>
      </c>
      <c r="S105" s="89">
        <f t="shared" si="45"/>
        <v>10.58</v>
      </c>
      <c r="T105" s="87">
        <v>0.57999999999999996</v>
      </c>
      <c r="U105" s="87">
        <v>3</v>
      </c>
      <c r="V105" s="87">
        <v>0</v>
      </c>
      <c r="W105" s="87">
        <v>7</v>
      </c>
      <c r="X105" s="89">
        <f t="shared" si="46"/>
        <v>10.58</v>
      </c>
      <c r="Y105" s="89">
        <v>0.57999999999999996</v>
      </c>
      <c r="Z105" s="89">
        <v>3</v>
      </c>
      <c r="AA105" s="89">
        <v>0</v>
      </c>
      <c r="AB105" s="89">
        <v>7</v>
      </c>
      <c r="AC105" s="89">
        <f t="shared" si="47"/>
        <v>10.58</v>
      </c>
      <c r="AD105" s="89">
        <f t="shared" si="48"/>
        <v>605544</v>
      </c>
      <c r="AE105" s="89">
        <f t="shared" si="33"/>
        <v>45705.599999999999</v>
      </c>
      <c r="AF105" s="89">
        <f t="shared" si="34"/>
        <v>63480</v>
      </c>
      <c r="AG105" s="89">
        <f t="shared" si="35"/>
        <v>25392</v>
      </c>
      <c r="AH105" s="89">
        <f t="shared" si="36"/>
        <v>99452</v>
      </c>
      <c r="AI105" s="89">
        <f t="shared" si="37"/>
        <v>8464</v>
      </c>
      <c r="AJ105" s="89">
        <f t="shared" si="38"/>
        <v>0</v>
      </c>
      <c r="AK105" s="89">
        <f t="shared" si="39"/>
        <v>10156.799999999999</v>
      </c>
      <c r="AL105" s="89">
        <f t="shared" si="49"/>
        <v>327203.0048</v>
      </c>
      <c r="AM105" s="89">
        <v>2677.5</v>
      </c>
      <c r="AN105" s="89">
        <f t="shared" si="40"/>
        <v>1188074.9048000001</v>
      </c>
      <c r="AO105" s="99">
        <f t="shared" si="50"/>
        <v>950460</v>
      </c>
    </row>
    <row r="106" spans="1:41" ht="17.100000000000001" customHeight="1">
      <c r="A106" s="85" t="s">
        <v>9</v>
      </c>
      <c r="B106" s="86" t="s">
        <v>686</v>
      </c>
      <c r="C106" s="86" t="s">
        <v>611</v>
      </c>
      <c r="D106" s="87"/>
      <c r="E106" s="94">
        <v>10</v>
      </c>
      <c r="F106" s="94">
        <v>10.67</v>
      </c>
      <c r="G106" s="94">
        <v>0</v>
      </c>
      <c r="H106" s="94">
        <v>11.33</v>
      </c>
      <c r="I106" s="89">
        <f t="shared" si="42"/>
        <v>32</v>
      </c>
      <c r="J106" s="87">
        <v>5</v>
      </c>
      <c r="K106" s="87">
        <v>0</v>
      </c>
      <c r="L106" s="87">
        <v>0</v>
      </c>
      <c r="M106" s="87">
        <v>0</v>
      </c>
      <c r="N106" s="89">
        <f t="shared" si="43"/>
        <v>5</v>
      </c>
      <c r="O106" s="89">
        <f t="shared" si="58"/>
        <v>15</v>
      </c>
      <c r="P106" s="89">
        <f t="shared" si="57"/>
        <v>10.67</v>
      </c>
      <c r="Q106" s="89">
        <f t="shared" si="57"/>
        <v>0</v>
      </c>
      <c r="R106" s="89">
        <f t="shared" si="57"/>
        <v>11.33</v>
      </c>
      <c r="S106" s="89">
        <f t="shared" si="45"/>
        <v>37</v>
      </c>
      <c r="T106" s="87">
        <v>15.58</v>
      </c>
      <c r="U106" s="87">
        <v>12.5</v>
      </c>
      <c r="V106" s="87">
        <v>0</v>
      </c>
      <c r="W106" s="87">
        <v>7.5</v>
      </c>
      <c r="X106" s="89">
        <f t="shared" si="46"/>
        <v>35.58</v>
      </c>
      <c r="Y106" s="89">
        <v>15.58</v>
      </c>
      <c r="Z106" s="89">
        <v>12.5</v>
      </c>
      <c r="AA106" s="89">
        <v>0</v>
      </c>
      <c r="AB106" s="89">
        <v>7.5</v>
      </c>
      <c r="AC106" s="89">
        <f t="shared" si="47"/>
        <v>35.58</v>
      </c>
      <c r="AD106" s="89">
        <f t="shared" si="48"/>
        <v>2416044</v>
      </c>
      <c r="AE106" s="89">
        <f t="shared" si="33"/>
        <v>153705.60000000001</v>
      </c>
      <c r="AF106" s="89">
        <f t="shared" si="34"/>
        <v>213480</v>
      </c>
      <c r="AG106" s="89">
        <f t="shared" si="35"/>
        <v>85392</v>
      </c>
      <c r="AH106" s="89">
        <f t="shared" si="36"/>
        <v>334452</v>
      </c>
      <c r="AI106" s="89">
        <f t="shared" si="37"/>
        <v>28464</v>
      </c>
      <c r="AJ106" s="89">
        <f t="shared" si="38"/>
        <v>0</v>
      </c>
      <c r="AK106" s="89">
        <f t="shared" si="39"/>
        <v>34156.799999999996</v>
      </c>
      <c r="AL106" s="89">
        <f t="shared" si="49"/>
        <v>1100367.0048</v>
      </c>
      <c r="AM106" s="89">
        <v>199602.5</v>
      </c>
      <c r="AN106" s="89">
        <f t="shared" si="40"/>
        <v>4565663.9047999997</v>
      </c>
      <c r="AO106" s="99">
        <f t="shared" si="50"/>
        <v>3652531</v>
      </c>
    </row>
    <row r="107" spans="1:41" ht="17.100000000000001" customHeight="1">
      <c r="A107" s="85" t="s">
        <v>9</v>
      </c>
      <c r="B107" s="86" t="s">
        <v>687</v>
      </c>
      <c r="C107" s="86" t="s">
        <v>611</v>
      </c>
      <c r="D107" s="87"/>
      <c r="E107" s="94">
        <v>0</v>
      </c>
      <c r="F107" s="94">
        <v>3.33</v>
      </c>
      <c r="G107" s="94">
        <v>0</v>
      </c>
      <c r="H107" s="94">
        <v>3.33</v>
      </c>
      <c r="I107" s="89">
        <f t="shared" si="42"/>
        <v>6.66</v>
      </c>
      <c r="J107" s="87">
        <v>1.33</v>
      </c>
      <c r="K107" s="87">
        <v>0</v>
      </c>
      <c r="L107" s="87">
        <v>0</v>
      </c>
      <c r="M107" s="87">
        <v>0</v>
      </c>
      <c r="N107" s="89">
        <f t="shared" si="43"/>
        <v>1.33</v>
      </c>
      <c r="O107" s="89">
        <f t="shared" si="58"/>
        <v>1.33</v>
      </c>
      <c r="P107" s="89">
        <f t="shared" si="57"/>
        <v>3.33</v>
      </c>
      <c r="Q107" s="89">
        <f t="shared" si="57"/>
        <v>0</v>
      </c>
      <c r="R107" s="89">
        <f t="shared" si="57"/>
        <v>3.33</v>
      </c>
      <c r="S107" s="89">
        <f t="shared" si="45"/>
        <v>7.99</v>
      </c>
      <c r="T107" s="87">
        <v>1.83</v>
      </c>
      <c r="U107" s="87">
        <v>3</v>
      </c>
      <c r="V107" s="87">
        <v>0</v>
      </c>
      <c r="W107" s="87">
        <v>3</v>
      </c>
      <c r="X107" s="89">
        <f t="shared" si="46"/>
        <v>7.83</v>
      </c>
      <c r="Y107" s="89">
        <v>1.83</v>
      </c>
      <c r="Z107" s="89">
        <v>3</v>
      </c>
      <c r="AA107" s="89">
        <v>0</v>
      </c>
      <c r="AB107" s="89">
        <v>3</v>
      </c>
      <c r="AC107" s="89">
        <f t="shared" si="47"/>
        <v>7.83</v>
      </c>
      <c r="AD107" s="89">
        <f t="shared" si="48"/>
        <v>495144</v>
      </c>
      <c r="AE107" s="89">
        <f t="shared" si="33"/>
        <v>33825.599999999999</v>
      </c>
      <c r="AF107" s="89">
        <f t="shared" si="34"/>
        <v>46980</v>
      </c>
      <c r="AG107" s="89">
        <f t="shared" si="35"/>
        <v>18792</v>
      </c>
      <c r="AH107" s="89">
        <f t="shared" si="36"/>
        <v>73602</v>
      </c>
      <c r="AI107" s="89">
        <f t="shared" si="37"/>
        <v>6264</v>
      </c>
      <c r="AJ107" s="89">
        <f t="shared" si="38"/>
        <v>0</v>
      </c>
      <c r="AK107" s="89">
        <f t="shared" si="39"/>
        <v>7516.8</v>
      </c>
      <c r="AL107" s="89">
        <f t="shared" si="49"/>
        <v>242154.96480000002</v>
      </c>
      <c r="AM107" s="89">
        <v>10902</v>
      </c>
      <c r="AN107" s="89">
        <f t="shared" si="40"/>
        <v>935181.3648000001</v>
      </c>
      <c r="AO107" s="99">
        <f t="shared" si="50"/>
        <v>748145</v>
      </c>
    </row>
    <row r="108" spans="1:41" ht="17.100000000000001" customHeight="1">
      <c r="A108" s="85" t="s">
        <v>9</v>
      </c>
      <c r="B108" s="86" t="s">
        <v>480</v>
      </c>
      <c r="C108" s="86" t="s">
        <v>611</v>
      </c>
      <c r="D108" s="87"/>
      <c r="E108" s="94">
        <v>0</v>
      </c>
      <c r="F108" s="94">
        <v>3.33</v>
      </c>
      <c r="G108" s="94">
        <v>0</v>
      </c>
      <c r="H108" s="94">
        <v>5.67</v>
      </c>
      <c r="I108" s="89">
        <f t="shared" si="42"/>
        <v>9</v>
      </c>
      <c r="J108" s="87">
        <v>0</v>
      </c>
      <c r="K108" s="87">
        <v>0</v>
      </c>
      <c r="L108" s="87">
        <v>0</v>
      </c>
      <c r="M108" s="87">
        <v>0</v>
      </c>
      <c r="N108" s="89">
        <f t="shared" si="43"/>
        <v>0</v>
      </c>
      <c r="O108" s="89">
        <f t="shared" si="58"/>
        <v>0</v>
      </c>
      <c r="P108" s="89">
        <f t="shared" si="57"/>
        <v>3.33</v>
      </c>
      <c r="Q108" s="89">
        <f t="shared" si="57"/>
        <v>0</v>
      </c>
      <c r="R108" s="89">
        <f t="shared" si="57"/>
        <v>5.67</v>
      </c>
      <c r="S108" s="89">
        <f t="shared" si="45"/>
        <v>9</v>
      </c>
      <c r="T108" s="87">
        <v>0</v>
      </c>
      <c r="U108" s="87">
        <v>2</v>
      </c>
      <c r="V108" s="87">
        <v>0</v>
      </c>
      <c r="W108" s="87">
        <v>6</v>
      </c>
      <c r="X108" s="89">
        <f t="shared" si="46"/>
        <v>8</v>
      </c>
      <c r="Y108" s="89">
        <v>0</v>
      </c>
      <c r="Z108" s="89">
        <v>2</v>
      </c>
      <c r="AA108" s="89">
        <v>0</v>
      </c>
      <c r="AB108" s="89">
        <v>6</v>
      </c>
      <c r="AC108" s="89">
        <f t="shared" si="47"/>
        <v>8</v>
      </c>
      <c r="AD108" s="89">
        <f t="shared" si="48"/>
        <v>442800</v>
      </c>
      <c r="AE108" s="89">
        <f t="shared" si="33"/>
        <v>34560</v>
      </c>
      <c r="AF108" s="89">
        <f t="shared" si="34"/>
        <v>48000</v>
      </c>
      <c r="AG108" s="89">
        <f t="shared" si="35"/>
        <v>19200</v>
      </c>
      <c r="AH108" s="89">
        <f t="shared" si="36"/>
        <v>75200</v>
      </c>
      <c r="AI108" s="89">
        <f t="shared" si="37"/>
        <v>6400</v>
      </c>
      <c r="AJ108" s="89">
        <f t="shared" si="38"/>
        <v>0</v>
      </c>
      <c r="AK108" s="89">
        <f t="shared" si="39"/>
        <v>7680</v>
      </c>
      <c r="AL108" s="89">
        <f t="shared" si="49"/>
        <v>247412.48000000001</v>
      </c>
      <c r="AM108" s="89">
        <v>383</v>
      </c>
      <c r="AN108" s="89">
        <f t="shared" si="40"/>
        <v>881635.48</v>
      </c>
      <c r="AO108" s="99">
        <f t="shared" si="50"/>
        <v>705308</v>
      </c>
    </row>
    <row r="109" spans="1:41" ht="17.100000000000001" customHeight="1">
      <c r="A109" s="85" t="s">
        <v>9</v>
      </c>
      <c r="B109" s="86" t="s">
        <v>688</v>
      </c>
      <c r="C109" s="86" t="s">
        <v>611</v>
      </c>
      <c r="D109" s="87"/>
      <c r="E109" s="94">
        <v>1</v>
      </c>
      <c r="F109" s="94">
        <v>3.67</v>
      </c>
      <c r="G109" s="94">
        <v>0</v>
      </c>
      <c r="H109" s="94">
        <v>6</v>
      </c>
      <c r="I109" s="89">
        <f t="shared" si="42"/>
        <v>10.67</v>
      </c>
      <c r="J109" s="87">
        <v>0.5</v>
      </c>
      <c r="K109" s="87">
        <v>0</v>
      </c>
      <c r="L109" s="87">
        <v>0</v>
      </c>
      <c r="M109" s="87">
        <v>0</v>
      </c>
      <c r="N109" s="89">
        <f t="shared" si="43"/>
        <v>0.5</v>
      </c>
      <c r="O109" s="89">
        <f t="shared" si="58"/>
        <v>1.5</v>
      </c>
      <c r="P109" s="89">
        <f t="shared" si="57"/>
        <v>3.67</v>
      </c>
      <c r="Q109" s="89">
        <f t="shared" si="57"/>
        <v>0</v>
      </c>
      <c r="R109" s="89">
        <f t="shared" si="57"/>
        <v>6</v>
      </c>
      <c r="S109" s="89">
        <f t="shared" si="45"/>
        <v>11.17</v>
      </c>
      <c r="T109" s="87">
        <v>2.42</v>
      </c>
      <c r="U109" s="87">
        <v>1.83</v>
      </c>
      <c r="V109" s="87">
        <v>0</v>
      </c>
      <c r="W109" s="87">
        <v>5.17</v>
      </c>
      <c r="X109" s="89">
        <f t="shared" si="46"/>
        <v>9.42</v>
      </c>
      <c r="Y109" s="89">
        <v>2.42</v>
      </c>
      <c r="Z109" s="89">
        <v>1.83</v>
      </c>
      <c r="AA109" s="89">
        <v>0</v>
      </c>
      <c r="AB109" s="89">
        <v>5.17</v>
      </c>
      <c r="AC109" s="89">
        <f t="shared" si="47"/>
        <v>9.42</v>
      </c>
      <c r="AD109" s="89">
        <f t="shared" si="48"/>
        <v>574506</v>
      </c>
      <c r="AE109" s="89">
        <f t="shared" si="33"/>
        <v>40694.400000000001</v>
      </c>
      <c r="AF109" s="89">
        <f t="shared" si="34"/>
        <v>56520</v>
      </c>
      <c r="AG109" s="89">
        <f t="shared" si="35"/>
        <v>22608</v>
      </c>
      <c r="AH109" s="89">
        <f t="shared" si="36"/>
        <v>88548</v>
      </c>
      <c r="AI109" s="89">
        <f t="shared" si="37"/>
        <v>7536</v>
      </c>
      <c r="AJ109" s="89">
        <f t="shared" si="38"/>
        <v>0</v>
      </c>
      <c r="AK109" s="89">
        <f t="shared" si="39"/>
        <v>9043.2000000000007</v>
      </c>
      <c r="AL109" s="89">
        <f t="shared" si="49"/>
        <v>291328.19520000002</v>
      </c>
      <c r="AM109" s="89">
        <v>50872.5</v>
      </c>
      <c r="AN109" s="89">
        <f t="shared" si="40"/>
        <v>1141656.2952000001</v>
      </c>
      <c r="AO109" s="99">
        <f t="shared" si="50"/>
        <v>913325</v>
      </c>
    </row>
    <row r="110" spans="1:41" ht="17.100000000000001" customHeight="1">
      <c r="A110" s="85" t="s">
        <v>9</v>
      </c>
      <c r="B110" s="86" t="s">
        <v>689</v>
      </c>
      <c r="C110" s="86" t="s">
        <v>611</v>
      </c>
      <c r="D110" s="87"/>
      <c r="E110" s="94">
        <v>0</v>
      </c>
      <c r="F110" s="94">
        <v>6</v>
      </c>
      <c r="G110" s="94">
        <v>0</v>
      </c>
      <c r="H110" s="94">
        <v>6</v>
      </c>
      <c r="I110" s="89">
        <f t="shared" si="42"/>
        <v>12</v>
      </c>
      <c r="J110" s="87">
        <v>0</v>
      </c>
      <c r="K110" s="87">
        <v>1</v>
      </c>
      <c r="L110" s="87">
        <v>0</v>
      </c>
      <c r="M110" s="87">
        <v>0</v>
      </c>
      <c r="N110" s="89">
        <f t="shared" si="43"/>
        <v>1</v>
      </c>
      <c r="O110" s="89">
        <f t="shared" si="58"/>
        <v>0</v>
      </c>
      <c r="P110" s="89">
        <f t="shared" si="57"/>
        <v>7</v>
      </c>
      <c r="Q110" s="89">
        <f t="shared" si="57"/>
        <v>0</v>
      </c>
      <c r="R110" s="89">
        <f t="shared" si="57"/>
        <v>6</v>
      </c>
      <c r="S110" s="89">
        <f t="shared" si="45"/>
        <v>13</v>
      </c>
      <c r="T110" s="87">
        <v>0</v>
      </c>
      <c r="U110" s="87">
        <v>7</v>
      </c>
      <c r="V110" s="87">
        <v>0</v>
      </c>
      <c r="W110" s="87">
        <v>6</v>
      </c>
      <c r="X110" s="89">
        <f t="shared" si="46"/>
        <v>13</v>
      </c>
      <c r="Y110" s="89">
        <v>0</v>
      </c>
      <c r="Z110" s="89">
        <v>7</v>
      </c>
      <c r="AA110" s="89">
        <v>0</v>
      </c>
      <c r="AB110" s="89">
        <v>6</v>
      </c>
      <c r="AC110" s="89">
        <f t="shared" si="47"/>
        <v>13</v>
      </c>
      <c r="AD110" s="89">
        <f t="shared" si="48"/>
        <v>775800</v>
      </c>
      <c r="AE110" s="89">
        <f t="shared" si="33"/>
        <v>56160</v>
      </c>
      <c r="AF110" s="89">
        <f t="shared" si="34"/>
        <v>78000</v>
      </c>
      <c r="AG110" s="89">
        <f t="shared" si="35"/>
        <v>31200</v>
      </c>
      <c r="AH110" s="89">
        <f t="shared" si="36"/>
        <v>122200</v>
      </c>
      <c r="AI110" s="89">
        <f t="shared" si="37"/>
        <v>10400</v>
      </c>
      <c r="AJ110" s="89">
        <f t="shared" si="38"/>
        <v>0</v>
      </c>
      <c r="AK110" s="89">
        <f t="shared" si="39"/>
        <v>12480</v>
      </c>
      <c r="AL110" s="89">
        <f t="shared" si="49"/>
        <v>402045.28</v>
      </c>
      <c r="AM110" s="89">
        <v>44532</v>
      </c>
      <c r="AN110" s="89">
        <f t="shared" si="40"/>
        <v>1532817.28</v>
      </c>
      <c r="AO110" s="99">
        <f t="shared" si="50"/>
        <v>1226254</v>
      </c>
    </row>
    <row r="111" spans="1:41" ht="17.100000000000001" customHeight="1">
      <c r="A111" s="85" t="s">
        <v>9</v>
      </c>
      <c r="B111" s="86" t="s">
        <v>690</v>
      </c>
      <c r="C111" s="86" t="s">
        <v>611</v>
      </c>
      <c r="D111" s="87"/>
      <c r="E111" s="94">
        <v>1</v>
      </c>
      <c r="F111" s="94">
        <v>5.33</v>
      </c>
      <c r="G111" s="94">
        <v>0</v>
      </c>
      <c r="H111" s="94">
        <v>10</v>
      </c>
      <c r="I111" s="89">
        <f t="shared" si="42"/>
        <v>16.329999999999998</v>
      </c>
      <c r="J111" s="87">
        <v>3</v>
      </c>
      <c r="K111" s="87">
        <v>0</v>
      </c>
      <c r="L111" s="87">
        <v>0</v>
      </c>
      <c r="M111" s="87">
        <v>0</v>
      </c>
      <c r="N111" s="89">
        <f t="shared" si="43"/>
        <v>3</v>
      </c>
      <c r="O111" s="89">
        <f t="shared" si="58"/>
        <v>4</v>
      </c>
      <c r="P111" s="89">
        <f t="shared" si="57"/>
        <v>5.33</v>
      </c>
      <c r="Q111" s="89">
        <f t="shared" si="57"/>
        <v>0</v>
      </c>
      <c r="R111" s="89">
        <f t="shared" si="57"/>
        <v>10</v>
      </c>
      <c r="S111" s="89">
        <f t="shared" si="45"/>
        <v>19.329999999999998</v>
      </c>
      <c r="T111" s="87">
        <v>3</v>
      </c>
      <c r="U111" s="87">
        <v>10</v>
      </c>
      <c r="V111" s="87">
        <v>0</v>
      </c>
      <c r="W111" s="87">
        <v>6</v>
      </c>
      <c r="X111" s="89">
        <f t="shared" si="46"/>
        <v>19</v>
      </c>
      <c r="Y111" s="89">
        <v>3</v>
      </c>
      <c r="Z111" s="89">
        <v>10</v>
      </c>
      <c r="AA111" s="89">
        <v>0</v>
      </c>
      <c r="AB111" s="89">
        <v>6</v>
      </c>
      <c r="AC111" s="89">
        <f t="shared" si="47"/>
        <v>19</v>
      </c>
      <c r="AD111" s="89">
        <f t="shared" si="48"/>
        <v>1206000</v>
      </c>
      <c r="AE111" s="89">
        <f t="shared" si="33"/>
        <v>82080</v>
      </c>
      <c r="AF111" s="89">
        <f t="shared" si="34"/>
        <v>114000</v>
      </c>
      <c r="AG111" s="89">
        <f t="shared" si="35"/>
        <v>45600</v>
      </c>
      <c r="AH111" s="89">
        <f t="shared" si="36"/>
        <v>178600</v>
      </c>
      <c r="AI111" s="89">
        <f t="shared" si="37"/>
        <v>15200</v>
      </c>
      <c r="AJ111" s="89">
        <f t="shared" si="38"/>
        <v>0</v>
      </c>
      <c r="AK111" s="89">
        <f t="shared" si="39"/>
        <v>18240</v>
      </c>
      <c r="AL111" s="89">
        <f t="shared" si="49"/>
        <v>587604.64</v>
      </c>
      <c r="AM111" s="89">
        <v>24489.5</v>
      </c>
      <c r="AN111" s="89">
        <f t="shared" si="40"/>
        <v>2271814.14</v>
      </c>
      <c r="AO111" s="99">
        <f t="shared" si="50"/>
        <v>1817451</v>
      </c>
    </row>
    <row r="112" spans="1:41" ht="17.100000000000001" customHeight="1">
      <c r="A112" s="85" t="s">
        <v>9</v>
      </c>
      <c r="B112" s="86" t="s">
        <v>691</v>
      </c>
      <c r="C112" s="86" t="s">
        <v>611</v>
      </c>
      <c r="D112" s="87"/>
      <c r="E112" s="94">
        <v>4</v>
      </c>
      <c r="F112" s="94">
        <v>3</v>
      </c>
      <c r="G112" s="94">
        <v>0</v>
      </c>
      <c r="H112" s="94">
        <v>4.67</v>
      </c>
      <c r="I112" s="89">
        <f t="shared" si="42"/>
        <v>11.67</v>
      </c>
      <c r="J112" s="87">
        <v>1</v>
      </c>
      <c r="K112" s="87">
        <v>0</v>
      </c>
      <c r="L112" s="87">
        <v>0</v>
      </c>
      <c r="M112" s="87">
        <v>0</v>
      </c>
      <c r="N112" s="89">
        <f t="shared" si="43"/>
        <v>1</v>
      </c>
      <c r="O112" s="89">
        <f t="shared" si="58"/>
        <v>5</v>
      </c>
      <c r="P112" s="89">
        <f t="shared" si="57"/>
        <v>3</v>
      </c>
      <c r="Q112" s="89">
        <f t="shared" si="57"/>
        <v>0</v>
      </c>
      <c r="R112" s="89">
        <f t="shared" si="57"/>
        <v>4.67</v>
      </c>
      <c r="S112" s="89">
        <f t="shared" si="45"/>
        <v>12.67</v>
      </c>
      <c r="T112" s="87">
        <v>4.92</v>
      </c>
      <c r="U112" s="87">
        <v>2</v>
      </c>
      <c r="V112" s="87">
        <v>0</v>
      </c>
      <c r="W112" s="87">
        <v>5.5</v>
      </c>
      <c r="X112" s="89">
        <f t="shared" si="46"/>
        <v>12.42</v>
      </c>
      <c r="Y112" s="89">
        <v>4.92</v>
      </c>
      <c r="Z112" s="89">
        <v>2</v>
      </c>
      <c r="AA112" s="89">
        <v>0</v>
      </c>
      <c r="AB112" s="89">
        <v>5.5</v>
      </c>
      <c r="AC112" s="89">
        <f t="shared" si="47"/>
        <v>12.42</v>
      </c>
      <c r="AD112" s="89">
        <f t="shared" si="48"/>
        <v>794856</v>
      </c>
      <c r="AE112" s="89">
        <f t="shared" si="33"/>
        <v>53654.400000000001</v>
      </c>
      <c r="AF112" s="89">
        <f t="shared" si="34"/>
        <v>74520</v>
      </c>
      <c r="AG112" s="89">
        <f t="shared" si="35"/>
        <v>29808</v>
      </c>
      <c r="AH112" s="89">
        <f t="shared" si="36"/>
        <v>116748</v>
      </c>
      <c r="AI112" s="89">
        <f t="shared" si="37"/>
        <v>9936</v>
      </c>
      <c r="AJ112" s="89">
        <f t="shared" si="38"/>
        <v>0</v>
      </c>
      <c r="AK112" s="89">
        <f t="shared" si="39"/>
        <v>11923.2</v>
      </c>
      <c r="AL112" s="89">
        <f t="shared" si="49"/>
        <v>384107.87520000001</v>
      </c>
      <c r="AM112" s="89">
        <v>155431.5</v>
      </c>
      <c r="AN112" s="89">
        <f t="shared" si="40"/>
        <v>1630984.9751999998</v>
      </c>
      <c r="AO112" s="99">
        <f t="shared" si="50"/>
        <v>1304788</v>
      </c>
    </row>
    <row r="113" spans="1:41" ht="17.100000000000001" customHeight="1">
      <c r="A113" s="85" t="s">
        <v>9</v>
      </c>
      <c r="B113" s="86" t="s">
        <v>692</v>
      </c>
      <c r="C113" s="86" t="s">
        <v>609</v>
      </c>
      <c r="D113" s="87">
        <v>2</v>
      </c>
      <c r="E113" s="94">
        <v>9.33</v>
      </c>
      <c r="F113" s="94">
        <v>3</v>
      </c>
      <c r="G113" s="94">
        <v>21.67</v>
      </c>
      <c r="H113" s="94">
        <v>2.67</v>
      </c>
      <c r="I113" s="89">
        <f t="shared" si="42"/>
        <v>36.67</v>
      </c>
      <c r="J113" s="87">
        <v>5</v>
      </c>
      <c r="K113" s="87">
        <v>1</v>
      </c>
      <c r="L113" s="87">
        <v>0</v>
      </c>
      <c r="M113" s="87">
        <v>0</v>
      </c>
      <c r="N113" s="89">
        <f t="shared" si="43"/>
        <v>6</v>
      </c>
      <c r="O113" s="89">
        <f t="shared" si="58"/>
        <v>14.33</v>
      </c>
      <c r="P113" s="89">
        <f t="shared" si="57"/>
        <v>4</v>
      </c>
      <c r="Q113" s="89">
        <f t="shared" si="57"/>
        <v>21.67</v>
      </c>
      <c r="R113" s="89">
        <f t="shared" si="57"/>
        <v>2.67</v>
      </c>
      <c r="S113" s="89">
        <f t="shared" si="45"/>
        <v>42.67</v>
      </c>
      <c r="T113" s="87">
        <v>13.33</v>
      </c>
      <c r="U113" s="87">
        <v>4</v>
      </c>
      <c r="V113" s="87">
        <v>22.5</v>
      </c>
      <c r="W113" s="87">
        <v>2</v>
      </c>
      <c r="X113" s="89">
        <f t="shared" si="46"/>
        <v>41.83</v>
      </c>
      <c r="Y113" s="89">
        <v>13.33</v>
      </c>
      <c r="Z113" s="89">
        <v>4</v>
      </c>
      <c r="AA113" s="89">
        <v>22.5</v>
      </c>
      <c r="AB113" s="89">
        <v>2</v>
      </c>
      <c r="AC113" s="89">
        <f t="shared" si="47"/>
        <v>41.83</v>
      </c>
      <c r="AD113" s="89">
        <f t="shared" si="48"/>
        <v>2768724</v>
      </c>
      <c r="AE113" s="89">
        <f t="shared" si="33"/>
        <v>180705.6</v>
      </c>
      <c r="AF113" s="89">
        <f t="shared" si="34"/>
        <v>250980</v>
      </c>
      <c r="AG113" s="89">
        <f t="shared" si="35"/>
        <v>100392</v>
      </c>
      <c r="AH113" s="89">
        <f t="shared" si="36"/>
        <v>393202</v>
      </c>
      <c r="AI113" s="89">
        <f t="shared" si="37"/>
        <v>33464</v>
      </c>
      <c r="AJ113" s="89">
        <f t="shared" si="38"/>
        <v>20000</v>
      </c>
      <c r="AK113" s="89">
        <f t="shared" si="39"/>
        <v>40156.799999999996</v>
      </c>
      <c r="AL113" s="89">
        <f t="shared" si="49"/>
        <v>1293658.0048</v>
      </c>
      <c r="AM113" s="89"/>
      <c r="AN113" s="89">
        <f t="shared" si="40"/>
        <v>5081282.4047999997</v>
      </c>
      <c r="AO113" s="99">
        <f t="shared" si="50"/>
        <v>4065026</v>
      </c>
    </row>
    <row r="114" spans="1:41" ht="17.100000000000001" customHeight="1">
      <c r="A114" s="85" t="s">
        <v>9</v>
      </c>
      <c r="B114" s="86" t="s">
        <v>693</v>
      </c>
      <c r="C114" s="86" t="s">
        <v>609</v>
      </c>
      <c r="D114" s="87">
        <v>1</v>
      </c>
      <c r="E114" s="94">
        <v>1.67</v>
      </c>
      <c r="F114" s="94">
        <v>1.33</v>
      </c>
      <c r="G114" s="94">
        <v>10.33</v>
      </c>
      <c r="H114" s="94">
        <v>1.33</v>
      </c>
      <c r="I114" s="89">
        <f t="shared" si="42"/>
        <v>14.66</v>
      </c>
      <c r="J114" s="87">
        <v>0.67</v>
      </c>
      <c r="K114" s="87">
        <v>2</v>
      </c>
      <c r="L114" s="87">
        <v>0</v>
      </c>
      <c r="M114" s="87">
        <v>0.33</v>
      </c>
      <c r="N114" s="89">
        <f t="shared" si="43"/>
        <v>3</v>
      </c>
      <c r="O114" s="89">
        <f t="shared" si="58"/>
        <v>2.34</v>
      </c>
      <c r="P114" s="89">
        <f t="shared" si="57"/>
        <v>3.33</v>
      </c>
      <c r="Q114" s="89">
        <f t="shared" si="57"/>
        <v>10.33</v>
      </c>
      <c r="R114" s="89">
        <f t="shared" si="57"/>
        <v>1.6600000000000001</v>
      </c>
      <c r="S114" s="89">
        <f t="shared" si="45"/>
        <v>17.66</v>
      </c>
      <c r="T114" s="87">
        <v>3.58</v>
      </c>
      <c r="U114" s="87">
        <v>2.33</v>
      </c>
      <c r="V114" s="87">
        <v>10.67</v>
      </c>
      <c r="W114" s="87">
        <v>1</v>
      </c>
      <c r="X114" s="89">
        <f t="shared" si="46"/>
        <v>17.579999999999998</v>
      </c>
      <c r="Y114" s="89">
        <v>3.58</v>
      </c>
      <c r="Z114" s="89">
        <v>2.33</v>
      </c>
      <c r="AA114" s="89">
        <v>10.67</v>
      </c>
      <c r="AB114" s="89">
        <v>1</v>
      </c>
      <c r="AC114" s="89">
        <f t="shared" si="47"/>
        <v>17.579999999999998</v>
      </c>
      <c r="AD114" s="89">
        <f t="shared" si="48"/>
        <v>1133957.7600000002</v>
      </c>
      <c r="AE114" s="89">
        <f t="shared" si="33"/>
        <v>75945.599999999991</v>
      </c>
      <c r="AF114" s="89">
        <f t="shared" si="34"/>
        <v>105479.99999999999</v>
      </c>
      <c r="AG114" s="89">
        <f t="shared" si="35"/>
        <v>42191.999999999993</v>
      </c>
      <c r="AH114" s="89">
        <f t="shared" si="36"/>
        <v>165251.99999999997</v>
      </c>
      <c r="AI114" s="89">
        <f t="shared" si="37"/>
        <v>14063.999999999998</v>
      </c>
      <c r="AJ114" s="89">
        <f t="shared" si="38"/>
        <v>10000</v>
      </c>
      <c r="AK114" s="89">
        <f t="shared" si="39"/>
        <v>16876.8</v>
      </c>
      <c r="AL114" s="89">
        <f t="shared" si="49"/>
        <v>543688.92479999992</v>
      </c>
      <c r="AM114" s="89"/>
      <c r="AN114" s="89">
        <f t="shared" si="40"/>
        <v>2107457.0848000003</v>
      </c>
      <c r="AO114" s="99">
        <f t="shared" si="50"/>
        <v>1685966</v>
      </c>
    </row>
    <row r="115" spans="1:41" s="93" customFormat="1" ht="17.100000000000001" customHeight="1">
      <c r="A115" s="91"/>
      <c r="B115" s="91" t="s">
        <v>694</v>
      </c>
      <c r="C115" s="91"/>
      <c r="D115" s="92">
        <f>SUM(D101:D114)</f>
        <v>12</v>
      </c>
      <c r="E115" s="92">
        <f t="shared" ref="E115:AO115" si="59">SUM(E101:E114)</f>
        <v>34.660000000000004</v>
      </c>
      <c r="F115" s="92">
        <f t="shared" si="59"/>
        <v>53.989999999999995</v>
      </c>
      <c r="G115" s="92">
        <f t="shared" si="59"/>
        <v>146.33000000000001</v>
      </c>
      <c r="H115" s="92">
        <f t="shared" si="59"/>
        <v>69.34</v>
      </c>
      <c r="I115" s="92">
        <f t="shared" si="59"/>
        <v>304.32</v>
      </c>
      <c r="J115" s="92">
        <f t="shared" si="59"/>
        <v>27.410000000000004</v>
      </c>
      <c r="K115" s="92">
        <f t="shared" si="59"/>
        <v>7.33</v>
      </c>
      <c r="L115" s="92">
        <f t="shared" si="59"/>
        <v>0</v>
      </c>
      <c r="M115" s="92">
        <f t="shared" si="59"/>
        <v>1</v>
      </c>
      <c r="N115" s="92">
        <f t="shared" si="59"/>
        <v>35.74</v>
      </c>
      <c r="O115" s="92">
        <f t="shared" si="59"/>
        <v>62.069999999999993</v>
      </c>
      <c r="P115" s="92">
        <f t="shared" si="59"/>
        <v>61.319999999999993</v>
      </c>
      <c r="Q115" s="92">
        <f t="shared" si="59"/>
        <v>146.33000000000001</v>
      </c>
      <c r="R115" s="92">
        <f t="shared" si="59"/>
        <v>70.339999999999989</v>
      </c>
      <c r="S115" s="92">
        <f t="shared" si="59"/>
        <v>340.06000000000006</v>
      </c>
      <c r="T115" s="92">
        <f t="shared" si="59"/>
        <v>62.819999999999993</v>
      </c>
      <c r="U115" s="92">
        <f t="shared" si="59"/>
        <v>63.33</v>
      </c>
      <c r="V115" s="92">
        <f t="shared" si="59"/>
        <v>144.01</v>
      </c>
      <c r="W115" s="92">
        <f t="shared" si="59"/>
        <v>61.42</v>
      </c>
      <c r="X115" s="92">
        <f t="shared" si="59"/>
        <v>331.58</v>
      </c>
      <c r="Y115" s="92">
        <f t="shared" si="59"/>
        <v>62.819999999999993</v>
      </c>
      <c r="Z115" s="92">
        <f t="shared" si="59"/>
        <v>63.33</v>
      </c>
      <c r="AA115" s="92">
        <f t="shared" si="59"/>
        <v>144.01</v>
      </c>
      <c r="AB115" s="92">
        <f t="shared" si="59"/>
        <v>61.42</v>
      </c>
      <c r="AC115" s="92">
        <f t="shared" si="59"/>
        <v>331.58</v>
      </c>
      <c r="AD115" s="92">
        <f t="shared" si="59"/>
        <v>21014669.280000001</v>
      </c>
      <c r="AE115" s="92">
        <f t="shared" si="59"/>
        <v>1432425.6</v>
      </c>
      <c r="AF115" s="92">
        <f t="shared" si="59"/>
        <v>1989480</v>
      </c>
      <c r="AG115" s="92">
        <f t="shared" si="59"/>
        <v>795792</v>
      </c>
      <c r="AH115" s="92">
        <f t="shared" si="59"/>
        <v>3116852</v>
      </c>
      <c r="AI115" s="92">
        <f t="shared" si="59"/>
        <v>265264</v>
      </c>
      <c r="AJ115" s="92">
        <f t="shared" si="59"/>
        <v>120000</v>
      </c>
      <c r="AK115" s="92">
        <f t="shared" si="59"/>
        <v>318316.79999999999</v>
      </c>
      <c r="AL115" s="92">
        <f t="shared" si="59"/>
        <v>10254628.764800001</v>
      </c>
      <c r="AM115" s="92">
        <f t="shared" si="59"/>
        <v>488890.5</v>
      </c>
      <c r="AN115" s="92">
        <f t="shared" si="59"/>
        <v>39796318.944800004</v>
      </c>
      <c r="AO115" s="92">
        <f t="shared" si="59"/>
        <v>31837055</v>
      </c>
    </row>
    <row r="116" spans="1:41" s="93" customFormat="1" ht="17.100000000000001" customHeight="1">
      <c r="A116" s="91"/>
      <c r="B116" s="91" t="s">
        <v>492</v>
      </c>
      <c r="C116" s="91"/>
      <c r="D116" s="92">
        <f t="shared" ref="D116:AO116" si="60">SUM(D115,D100,D95,D88,D68,D49,D33,D21,D13)</f>
        <v>92</v>
      </c>
      <c r="E116" s="92">
        <f t="shared" si="60"/>
        <v>287.68</v>
      </c>
      <c r="F116" s="92">
        <f t="shared" si="60"/>
        <v>362.96000000000004</v>
      </c>
      <c r="G116" s="92">
        <f t="shared" si="60"/>
        <v>1237.9899999999998</v>
      </c>
      <c r="H116" s="92">
        <f t="shared" si="60"/>
        <v>480.41999999999996</v>
      </c>
      <c r="I116" s="92">
        <f t="shared" si="60"/>
        <v>2369.0499999999997</v>
      </c>
      <c r="J116" s="92">
        <f t="shared" si="60"/>
        <v>180.55</v>
      </c>
      <c r="K116" s="92">
        <f t="shared" si="60"/>
        <v>40.57</v>
      </c>
      <c r="L116" s="92">
        <f t="shared" si="60"/>
        <v>16.329999999999998</v>
      </c>
      <c r="M116" s="92">
        <f t="shared" si="60"/>
        <v>20.159999999999997</v>
      </c>
      <c r="N116" s="92">
        <f t="shared" si="60"/>
        <v>257.61</v>
      </c>
      <c r="O116" s="92">
        <f t="shared" si="60"/>
        <v>468.23</v>
      </c>
      <c r="P116" s="92">
        <f t="shared" si="60"/>
        <v>403.53</v>
      </c>
      <c r="Q116" s="92">
        <f t="shared" si="60"/>
        <v>1254.3200000000002</v>
      </c>
      <c r="R116" s="92">
        <f t="shared" si="60"/>
        <v>500.57999999999993</v>
      </c>
      <c r="S116" s="92">
        <f t="shared" si="60"/>
        <v>2626.66</v>
      </c>
      <c r="T116" s="92">
        <f t="shared" si="60"/>
        <v>413.04999999999995</v>
      </c>
      <c r="U116" s="92">
        <f t="shared" si="60"/>
        <v>390.39</v>
      </c>
      <c r="V116" s="92">
        <f t="shared" si="60"/>
        <v>1229.05</v>
      </c>
      <c r="W116" s="92">
        <f t="shared" si="60"/>
        <v>482.61999999999995</v>
      </c>
      <c r="X116" s="92">
        <f t="shared" si="60"/>
        <v>2515.1099999999997</v>
      </c>
      <c r="Y116" s="92">
        <f t="shared" si="60"/>
        <v>409.39</v>
      </c>
      <c r="Z116" s="92">
        <f t="shared" si="60"/>
        <v>389.55999999999995</v>
      </c>
      <c r="AA116" s="92">
        <f t="shared" si="60"/>
        <v>1230.2199999999998</v>
      </c>
      <c r="AB116" s="92">
        <f t="shared" si="60"/>
        <v>483.38</v>
      </c>
      <c r="AC116" s="92">
        <f t="shared" si="60"/>
        <v>2512.5499999999997</v>
      </c>
      <c r="AD116" s="92">
        <f t="shared" si="60"/>
        <v>157529144.16</v>
      </c>
      <c r="AE116" s="92">
        <f t="shared" si="60"/>
        <v>10854216.000000002</v>
      </c>
      <c r="AF116" s="92">
        <f t="shared" si="60"/>
        <v>15075300</v>
      </c>
      <c r="AG116" s="92">
        <f t="shared" si="60"/>
        <v>6030120</v>
      </c>
      <c r="AH116" s="92">
        <f t="shared" si="60"/>
        <v>23617970</v>
      </c>
      <c r="AI116" s="92">
        <f t="shared" si="60"/>
        <v>2010040</v>
      </c>
      <c r="AJ116" s="92">
        <f t="shared" si="60"/>
        <v>920000</v>
      </c>
      <c r="AK116" s="92">
        <f t="shared" si="60"/>
        <v>2412048</v>
      </c>
      <c r="AL116" s="92">
        <f t="shared" si="60"/>
        <v>77704528.328000009</v>
      </c>
      <c r="AM116" s="92">
        <f t="shared" si="60"/>
        <v>3064152.42</v>
      </c>
      <c r="AN116" s="92">
        <f t="shared" si="60"/>
        <v>299217518.90799993</v>
      </c>
      <c r="AO116" s="92">
        <f t="shared" si="60"/>
        <v>239374008</v>
      </c>
    </row>
    <row r="117" spans="1:41">
      <c r="AN117" s="97"/>
      <c r="AO117" s="123">
        <f>AN116-AO116</f>
        <v>59843510.907999933</v>
      </c>
    </row>
  </sheetData>
  <mergeCells count="12">
    <mergeCell ref="A1:AO1"/>
    <mergeCell ref="AD2:AN2"/>
    <mergeCell ref="AO2:AO3"/>
    <mergeCell ref="A2:A3"/>
    <mergeCell ref="B2:B3"/>
    <mergeCell ref="C2:C3"/>
    <mergeCell ref="D2:D3"/>
    <mergeCell ref="E2:I2"/>
    <mergeCell ref="J2:N2"/>
    <mergeCell ref="O2:S2"/>
    <mergeCell ref="T2:X2"/>
    <mergeCell ref="Y2:AC2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8" orientation="landscape" r:id="rId1"/>
  <headerFooter>
    <oddFooter>第 &amp;P 页，共 &amp;N 页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>
  <dimension ref="A1:I60"/>
  <sheetViews>
    <sheetView topLeftCell="A34" workbookViewId="0">
      <selection activeCell="I60" sqref="I60"/>
    </sheetView>
  </sheetViews>
  <sheetFormatPr defaultColWidth="9" defaultRowHeight="13.5" outlineLevelRow="2"/>
  <cols>
    <col min="1" max="1" width="9.625" customWidth="1"/>
    <col min="2" max="2" width="26.875" customWidth="1"/>
    <col min="3" max="3" width="13.5" customWidth="1"/>
    <col min="4" max="4" width="14" customWidth="1"/>
    <col min="5" max="7" width="15.625" customWidth="1"/>
    <col min="8" max="8" width="11.75" style="208" customWidth="1"/>
    <col min="9" max="9" width="12.875" style="205" customWidth="1"/>
  </cols>
  <sheetData>
    <row r="1" spans="1:9" ht="35.25" customHeight="1">
      <c r="A1" s="507" t="s">
        <v>1616</v>
      </c>
      <c r="B1" s="507"/>
      <c r="C1" s="507"/>
      <c r="D1" s="507"/>
      <c r="E1" s="507"/>
      <c r="F1" s="508"/>
      <c r="G1" s="508"/>
      <c r="H1" s="502"/>
      <c r="I1" s="502"/>
    </row>
    <row r="2" spans="1:9" s="196" customFormat="1" ht="18" customHeight="1">
      <c r="A2" s="354" t="s">
        <v>907</v>
      </c>
      <c r="B2" s="201" t="s">
        <v>718</v>
      </c>
      <c r="C2" s="201" t="s">
        <v>1614</v>
      </c>
      <c r="D2" s="201" t="s">
        <v>1615</v>
      </c>
      <c r="E2" s="201" t="s">
        <v>1617</v>
      </c>
      <c r="F2" s="143" t="s">
        <v>1618</v>
      </c>
      <c r="G2" s="143" t="s">
        <v>1619</v>
      </c>
      <c r="H2" s="354" t="s">
        <v>1613</v>
      </c>
      <c r="I2" s="354" t="s">
        <v>1612</v>
      </c>
    </row>
    <row r="3" spans="1:9" ht="18" customHeight="1" outlineLevel="2">
      <c r="A3" s="211" t="s">
        <v>908</v>
      </c>
      <c r="B3" s="212" t="s">
        <v>466</v>
      </c>
      <c r="C3" s="216">
        <v>1402.5</v>
      </c>
      <c r="D3" s="217">
        <v>3187.5</v>
      </c>
      <c r="E3" s="217">
        <f>C3+D3</f>
        <v>4590</v>
      </c>
      <c r="F3" s="218"/>
      <c r="G3" s="218">
        <f>E3-F3</f>
        <v>4590</v>
      </c>
      <c r="H3" s="211"/>
      <c r="I3" s="204">
        <f>G3+H3</f>
        <v>4590</v>
      </c>
    </row>
    <row r="4" spans="1:9" ht="18" customHeight="1" outlineLevel="1">
      <c r="A4" s="220" t="s">
        <v>498</v>
      </c>
      <c r="B4" s="212"/>
      <c r="C4" s="216">
        <f t="shared" ref="C4:I4" si="0">SUBTOTAL(9,C3:C3)</f>
        <v>1402.5</v>
      </c>
      <c r="D4" s="217">
        <f t="shared" si="0"/>
        <v>3187.5</v>
      </c>
      <c r="E4" s="217">
        <f t="shared" si="0"/>
        <v>4590</v>
      </c>
      <c r="F4" s="218">
        <f t="shared" si="0"/>
        <v>0</v>
      </c>
      <c r="G4" s="218">
        <f t="shared" si="0"/>
        <v>4590</v>
      </c>
      <c r="H4" s="211">
        <f t="shared" si="0"/>
        <v>0</v>
      </c>
      <c r="I4" s="204">
        <f t="shared" si="0"/>
        <v>4590</v>
      </c>
    </row>
    <row r="5" spans="1:9" ht="18" customHeight="1" outlineLevel="2">
      <c r="A5" s="211" t="s">
        <v>909</v>
      </c>
      <c r="B5" s="212" t="s">
        <v>190</v>
      </c>
      <c r="C5" s="217">
        <v>5992.5</v>
      </c>
      <c r="D5" s="217">
        <v>22567.5</v>
      </c>
      <c r="E5" s="217">
        <f>C5+D5</f>
        <v>28560</v>
      </c>
      <c r="F5" s="218">
        <v>25882.5</v>
      </c>
      <c r="G5" s="218">
        <f t="shared" ref="G5:G58" si="1">E5-F5</f>
        <v>2677.5</v>
      </c>
      <c r="H5" s="211"/>
      <c r="I5" s="204">
        <f t="shared" ref="I5:I58" si="2">G5+H5</f>
        <v>2677.5</v>
      </c>
    </row>
    <row r="6" spans="1:9" ht="18" customHeight="1" outlineLevel="2">
      <c r="A6" s="211" t="s">
        <v>909</v>
      </c>
      <c r="B6" s="212" t="s">
        <v>191</v>
      </c>
      <c r="C6" s="217">
        <v>4977</v>
      </c>
      <c r="D6" s="217">
        <v>12629.5</v>
      </c>
      <c r="E6" s="217">
        <f>C6+D6</f>
        <v>17606.5</v>
      </c>
      <c r="F6" s="218">
        <v>12000</v>
      </c>
      <c r="G6" s="218">
        <f t="shared" si="1"/>
        <v>5606.5</v>
      </c>
      <c r="H6" s="211"/>
      <c r="I6" s="204">
        <f t="shared" si="2"/>
        <v>5606.5</v>
      </c>
    </row>
    <row r="7" spans="1:9" ht="18" customHeight="1" outlineLevel="1">
      <c r="A7" s="220" t="s">
        <v>500</v>
      </c>
      <c r="B7" s="212"/>
      <c r="C7" s="217">
        <f t="shared" ref="C7:I7" si="3">SUBTOTAL(9,C5:C6)</f>
        <v>10969.5</v>
      </c>
      <c r="D7" s="217">
        <f t="shared" si="3"/>
        <v>35197</v>
      </c>
      <c r="E7" s="217">
        <f t="shared" si="3"/>
        <v>46166.5</v>
      </c>
      <c r="F7" s="218">
        <f t="shared" si="3"/>
        <v>37882.5</v>
      </c>
      <c r="G7" s="218">
        <f t="shared" si="3"/>
        <v>8284</v>
      </c>
      <c r="H7" s="211">
        <f t="shared" si="3"/>
        <v>0</v>
      </c>
      <c r="I7" s="204">
        <f t="shared" si="3"/>
        <v>8284</v>
      </c>
    </row>
    <row r="8" spans="1:9" ht="18" customHeight="1" outlineLevel="2">
      <c r="A8" s="211" t="s">
        <v>910</v>
      </c>
      <c r="B8" s="212" t="s">
        <v>450</v>
      </c>
      <c r="C8" s="217"/>
      <c r="D8" s="217">
        <v>3570</v>
      </c>
      <c r="E8" s="217">
        <v>3570</v>
      </c>
      <c r="F8" s="217"/>
      <c r="G8" s="217">
        <v>3570</v>
      </c>
      <c r="H8" s="211"/>
      <c r="I8" s="204">
        <f t="shared" si="2"/>
        <v>3570</v>
      </c>
    </row>
    <row r="9" spans="1:9" ht="18" customHeight="1" outlineLevel="2">
      <c r="A9" s="211" t="s">
        <v>910</v>
      </c>
      <c r="B9" s="212" t="s">
        <v>663</v>
      </c>
      <c r="C9" s="217"/>
      <c r="D9" s="217"/>
      <c r="E9" s="217"/>
      <c r="F9" s="221">
        <v>15075</v>
      </c>
      <c r="G9" s="217">
        <f>E9-F9</f>
        <v>-15075</v>
      </c>
      <c r="H9" s="211"/>
      <c r="I9" s="204">
        <f t="shared" si="2"/>
        <v>-15075</v>
      </c>
    </row>
    <row r="10" spans="1:9" ht="18" customHeight="1" outlineLevel="2">
      <c r="A10" s="211" t="s">
        <v>910</v>
      </c>
      <c r="B10" s="212" t="s">
        <v>451</v>
      </c>
      <c r="C10" s="217">
        <v>89034</v>
      </c>
      <c r="D10" s="217">
        <v>97768</v>
      </c>
      <c r="E10" s="217">
        <f t="shared" ref="E10:E16" si="4">C10+D10</f>
        <v>186802</v>
      </c>
      <c r="F10" s="216">
        <v>243384</v>
      </c>
      <c r="G10" s="218">
        <f t="shared" si="1"/>
        <v>-56582</v>
      </c>
      <c r="H10" s="211"/>
      <c r="I10" s="204">
        <f t="shared" si="2"/>
        <v>-56582</v>
      </c>
    </row>
    <row r="11" spans="1:9" ht="18" customHeight="1" outlineLevel="2">
      <c r="A11" s="211" t="s">
        <v>910</v>
      </c>
      <c r="B11" s="212" t="s">
        <v>453</v>
      </c>
      <c r="C11" s="217">
        <v>5869</v>
      </c>
      <c r="D11" s="217">
        <v>31881</v>
      </c>
      <c r="E11" s="217">
        <f t="shared" si="4"/>
        <v>37750</v>
      </c>
      <c r="F11" s="216">
        <v>36397</v>
      </c>
      <c r="G11" s="218">
        <f t="shared" si="1"/>
        <v>1353</v>
      </c>
      <c r="H11" s="211"/>
      <c r="I11" s="204">
        <f t="shared" si="2"/>
        <v>1353</v>
      </c>
    </row>
    <row r="12" spans="1:9" ht="18" customHeight="1" outlineLevel="2">
      <c r="A12" s="211" t="s">
        <v>910</v>
      </c>
      <c r="B12" s="212" t="s">
        <v>452</v>
      </c>
      <c r="C12" s="217">
        <v>7331</v>
      </c>
      <c r="D12" s="217">
        <v>12914.5</v>
      </c>
      <c r="E12" s="217">
        <f t="shared" si="4"/>
        <v>20245.5</v>
      </c>
      <c r="F12" s="216">
        <v>25245</v>
      </c>
      <c r="G12" s="218">
        <f t="shared" si="1"/>
        <v>-4999.5</v>
      </c>
      <c r="H12" s="211"/>
      <c r="I12" s="204">
        <f t="shared" si="2"/>
        <v>-4999.5</v>
      </c>
    </row>
    <row r="13" spans="1:9" ht="18" customHeight="1" outlineLevel="2">
      <c r="A13" s="211" t="s">
        <v>910</v>
      </c>
      <c r="B13" s="212" t="s">
        <v>896</v>
      </c>
      <c r="C13" s="217">
        <v>117548.5</v>
      </c>
      <c r="D13" s="217">
        <v>211140</v>
      </c>
      <c r="E13" s="217">
        <f t="shared" si="4"/>
        <v>328688.5</v>
      </c>
      <c r="F13" s="216">
        <v>647636.75</v>
      </c>
      <c r="G13" s="218">
        <f t="shared" si="1"/>
        <v>-318948.25</v>
      </c>
      <c r="H13" s="211"/>
      <c r="I13" s="204">
        <f t="shared" si="2"/>
        <v>-318948.25</v>
      </c>
    </row>
    <row r="14" spans="1:9" ht="18" customHeight="1" outlineLevel="2">
      <c r="A14" s="211" t="s">
        <v>910</v>
      </c>
      <c r="B14" s="212" t="s">
        <v>444</v>
      </c>
      <c r="C14" s="217">
        <v>4977</v>
      </c>
      <c r="D14" s="217">
        <v>11320</v>
      </c>
      <c r="E14" s="217">
        <f t="shared" si="4"/>
        <v>16297</v>
      </c>
      <c r="F14" s="216">
        <v>15535.5</v>
      </c>
      <c r="G14" s="218">
        <f t="shared" si="1"/>
        <v>761.5</v>
      </c>
      <c r="H14" s="211"/>
      <c r="I14" s="204">
        <f t="shared" si="2"/>
        <v>761.5</v>
      </c>
    </row>
    <row r="15" spans="1:9" ht="18" customHeight="1" outlineLevel="2">
      <c r="A15" s="211" t="s">
        <v>910</v>
      </c>
      <c r="B15" s="212" t="s">
        <v>447</v>
      </c>
      <c r="C15" s="217">
        <v>48067.5</v>
      </c>
      <c r="D15" s="217">
        <v>75648.5</v>
      </c>
      <c r="E15" s="217">
        <f t="shared" si="4"/>
        <v>123716</v>
      </c>
      <c r="F15" s="216">
        <v>98067.5</v>
      </c>
      <c r="G15" s="218">
        <f t="shared" si="1"/>
        <v>25648.5</v>
      </c>
      <c r="H15" s="211"/>
      <c r="I15" s="204">
        <f t="shared" si="2"/>
        <v>25648.5</v>
      </c>
    </row>
    <row r="16" spans="1:9" ht="18" customHeight="1" outlineLevel="2">
      <c r="A16" s="211" t="s">
        <v>910</v>
      </c>
      <c r="B16" s="212" t="s">
        <v>448</v>
      </c>
      <c r="C16" s="217">
        <v>8160</v>
      </c>
      <c r="D16" s="217">
        <v>10667.5</v>
      </c>
      <c r="E16" s="217">
        <f t="shared" si="4"/>
        <v>18827.5</v>
      </c>
      <c r="F16" s="216">
        <v>33336.5</v>
      </c>
      <c r="G16" s="218">
        <f t="shared" si="1"/>
        <v>-14509</v>
      </c>
      <c r="H16" s="211"/>
      <c r="I16" s="204">
        <f t="shared" si="2"/>
        <v>-14509</v>
      </c>
    </row>
    <row r="17" spans="1:9" ht="18" customHeight="1" outlineLevel="2">
      <c r="A17" s="211" t="s">
        <v>910</v>
      </c>
      <c r="B17" s="212" t="s">
        <v>449</v>
      </c>
      <c r="C17" s="217"/>
      <c r="D17" s="217">
        <v>4895.67</v>
      </c>
      <c r="E17" s="217">
        <v>4895.67</v>
      </c>
      <c r="F17" s="217"/>
      <c r="G17" s="217">
        <v>4895.67</v>
      </c>
      <c r="H17" s="211"/>
      <c r="I17" s="204">
        <f t="shared" si="2"/>
        <v>4895.67</v>
      </c>
    </row>
    <row r="18" spans="1:9" ht="18" customHeight="1" outlineLevel="1">
      <c r="A18" s="220" t="s">
        <v>502</v>
      </c>
      <c r="B18" s="212"/>
      <c r="C18" s="217">
        <f t="shared" ref="C18:I18" si="5">SUBTOTAL(9,C8:C17)</f>
        <v>280987</v>
      </c>
      <c r="D18" s="217">
        <f t="shared" si="5"/>
        <v>459805.17</v>
      </c>
      <c r="E18" s="217">
        <f t="shared" si="5"/>
        <v>740792.17</v>
      </c>
      <c r="F18" s="217">
        <f t="shared" si="5"/>
        <v>1114677.25</v>
      </c>
      <c r="G18" s="217">
        <f t="shared" si="5"/>
        <v>-373885.08</v>
      </c>
      <c r="H18" s="211">
        <f t="shared" si="5"/>
        <v>0</v>
      </c>
      <c r="I18" s="204">
        <f t="shared" si="5"/>
        <v>-373885.08</v>
      </c>
    </row>
    <row r="19" spans="1:9" ht="18" customHeight="1" outlineLevel="2">
      <c r="A19" s="211" t="s">
        <v>911</v>
      </c>
      <c r="B19" s="212" t="s">
        <v>428</v>
      </c>
      <c r="C19" s="217">
        <v>57378</v>
      </c>
      <c r="D19" s="217">
        <v>39271.5</v>
      </c>
      <c r="E19" s="217">
        <f>C19+D19</f>
        <v>96649.5</v>
      </c>
      <c r="F19" s="218">
        <v>90000</v>
      </c>
      <c r="G19" s="218">
        <f t="shared" si="1"/>
        <v>6649.5</v>
      </c>
      <c r="H19" s="211"/>
      <c r="I19" s="204">
        <f t="shared" si="2"/>
        <v>6649.5</v>
      </c>
    </row>
    <row r="20" spans="1:9" ht="18" customHeight="1" outlineLevel="2">
      <c r="A20" s="211" t="s">
        <v>911</v>
      </c>
      <c r="B20" s="212" t="s">
        <v>429</v>
      </c>
      <c r="C20" s="217">
        <v>19898</v>
      </c>
      <c r="D20" s="217">
        <v>32910.5</v>
      </c>
      <c r="E20" s="217">
        <f t="shared" ref="E20:E28" si="6">C20+D20</f>
        <v>52808.5</v>
      </c>
      <c r="F20" s="218">
        <v>39796</v>
      </c>
      <c r="G20" s="218">
        <f t="shared" si="1"/>
        <v>13012.5</v>
      </c>
      <c r="H20" s="211"/>
      <c r="I20" s="204">
        <f t="shared" si="2"/>
        <v>13012.5</v>
      </c>
    </row>
    <row r="21" spans="1:9" ht="18" customHeight="1" outlineLevel="2">
      <c r="A21" s="211" t="s">
        <v>911</v>
      </c>
      <c r="B21" s="212" t="s">
        <v>430</v>
      </c>
      <c r="C21" s="217">
        <v>33469.5</v>
      </c>
      <c r="D21" s="217">
        <v>58909.5</v>
      </c>
      <c r="E21" s="217">
        <f t="shared" si="6"/>
        <v>92379</v>
      </c>
      <c r="F21" s="218">
        <v>26076.67</v>
      </c>
      <c r="G21" s="218">
        <f t="shared" si="1"/>
        <v>66302.33</v>
      </c>
      <c r="H21" s="218">
        <v>471439.5</v>
      </c>
      <c r="I21" s="204">
        <f t="shared" si="2"/>
        <v>537741.82999999996</v>
      </c>
    </row>
    <row r="22" spans="1:9" ht="18" customHeight="1" outlineLevel="2">
      <c r="A22" s="211" t="s">
        <v>911</v>
      </c>
      <c r="B22" s="212" t="s">
        <v>431</v>
      </c>
      <c r="C22" s="217">
        <v>66254.5</v>
      </c>
      <c r="D22" s="217">
        <v>60281.5</v>
      </c>
      <c r="E22" s="217">
        <f t="shared" si="6"/>
        <v>126536</v>
      </c>
      <c r="F22" s="218">
        <v>154828</v>
      </c>
      <c r="G22" s="218">
        <f t="shared" si="1"/>
        <v>-28292</v>
      </c>
      <c r="H22" s="211"/>
      <c r="I22" s="204">
        <f t="shared" si="2"/>
        <v>-28292</v>
      </c>
    </row>
    <row r="23" spans="1:9" ht="18" customHeight="1" outlineLevel="2">
      <c r="A23" s="211" t="s">
        <v>911</v>
      </c>
      <c r="B23" s="212" t="s">
        <v>912</v>
      </c>
      <c r="C23" s="217">
        <v>26520</v>
      </c>
      <c r="D23" s="217">
        <v>32767.5</v>
      </c>
      <c r="E23" s="217">
        <f t="shared" si="6"/>
        <v>59287.5</v>
      </c>
      <c r="F23" s="218">
        <v>66682.5</v>
      </c>
      <c r="G23" s="218">
        <f t="shared" si="1"/>
        <v>-7395</v>
      </c>
      <c r="H23" s="211"/>
      <c r="I23" s="204">
        <f t="shared" si="2"/>
        <v>-7395</v>
      </c>
    </row>
    <row r="24" spans="1:9" ht="18" customHeight="1" outlineLevel="2">
      <c r="A24" s="211" t="s">
        <v>911</v>
      </c>
      <c r="B24" s="212" t="s">
        <v>427</v>
      </c>
      <c r="C24" s="217">
        <v>27421</v>
      </c>
      <c r="D24" s="217">
        <v>31241</v>
      </c>
      <c r="E24" s="217">
        <f t="shared" si="6"/>
        <v>58662</v>
      </c>
      <c r="F24" s="218">
        <v>50000</v>
      </c>
      <c r="G24" s="218">
        <f t="shared" si="1"/>
        <v>8662</v>
      </c>
      <c r="H24" s="211"/>
      <c r="I24" s="204">
        <f t="shared" si="2"/>
        <v>8662</v>
      </c>
    </row>
    <row r="25" spans="1:9" ht="18" customHeight="1" outlineLevel="2">
      <c r="A25" s="211" t="s">
        <v>911</v>
      </c>
      <c r="B25" s="213" t="s">
        <v>441</v>
      </c>
      <c r="C25" s="219">
        <v>33612.5</v>
      </c>
      <c r="D25" s="219">
        <v>26378.5</v>
      </c>
      <c r="E25" s="217">
        <f t="shared" si="6"/>
        <v>59991</v>
      </c>
      <c r="F25" s="218">
        <v>60000</v>
      </c>
      <c r="G25" s="218">
        <f t="shared" si="1"/>
        <v>-9</v>
      </c>
      <c r="H25" s="211"/>
      <c r="I25" s="204">
        <f t="shared" si="2"/>
        <v>-9</v>
      </c>
    </row>
    <row r="26" spans="1:9" ht="18" customHeight="1" outlineLevel="2">
      <c r="A26" s="211" t="s">
        <v>911</v>
      </c>
      <c r="B26" s="212" t="s">
        <v>423</v>
      </c>
      <c r="C26" s="217">
        <v>16320</v>
      </c>
      <c r="D26" s="217">
        <v>31875</v>
      </c>
      <c r="E26" s="217">
        <f t="shared" si="6"/>
        <v>48195</v>
      </c>
      <c r="F26" s="218">
        <v>34680</v>
      </c>
      <c r="G26" s="218">
        <f t="shared" si="1"/>
        <v>13515</v>
      </c>
      <c r="H26" s="211"/>
      <c r="I26" s="204">
        <f t="shared" si="2"/>
        <v>13515</v>
      </c>
    </row>
    <row r="27" spans="1:9" ht="18" customHeight="1" outlineLevel="2">
      <c r="A27" s="211" t="s">
        <v>911</v>
      </c>
      <c r="B27" s="212" t="s">
        <v>425</v>
      </c>
      <c r="C27" s="217">
        <v>24818</v>
      </c>
      <c r="D27" s="217">
        <v>32214.5</v>
      </c>
      <c r="E27" s="217">
        <f t="shared" si="6"/>
        <v>57032.5</v>
      </c>
      <c r="F27" s="218">
        <v>54868</v>
      </c>
      <c r="G27" s="218">
        <f t="shared" si="1"/>
        <v>2164.5</v>
      </c>
      <c r="H27" s="211"/>
      <c r="I27" s="204">
        <f t="shared" si="2"/>
        <v>2164.5</v>
      </c>
    </row>
    <row r="28" spans="1:9" ht="18" customHeight="1" outlineLevel="2">
      <c r="A28" s="211" t="s">
        <v>911</v>
      </c>
      <c r="B28" s="212" t="s">
        <v>426</v>
      </c>
      <c r="C28" s="217">
        <v>37055</v>
      </c>
      <c r="D28" s="217">
        <v>4590</v>
      </c>
      <c r="E28" s="217">
        <f t="shared" si="6"/>
        <v>41645</v>
      </c>
      <c r="F28" s="218">
        <v>77995</v>
      </c>
      <c r="G28" s="218">
        <f t="shared" si="1"/>
        <v>-36350</v>
      </c>
      <c r="H28" s="211"/>
      <c r="I28" s="204">
        <f t="shared" si="2"/>
        <v>-36350</v>
      </c>
    </row>
    <row r="29" spans="1:9" ht="18" customHeight="1" outlineLevel="2">
      <c r="A29" s="211" t="s">
        <v>911</v>
      </c>
      <c r="B29" s="212" t="s">
        <v>437</v>
      </c>
      <c r="C29" s="217"/>
      <c r="D29" s="217"/>
      <c r="E29" s="217"/>
      <c r="F29" s="218"/>
      <c r="G29" s="218"/>
      <c r="H29" s="218">
        <v>131570.5</v>
      </c>
      <c r="I29" s="204">
        <f t="shared" si="2"/>
        <v>131570.5</v>
      </c>
    </row>
    <row r="30" spans="1:9" ht="18" customHeight="1" outlineLevel="1">
      <c r="A30" s="220" t="s">
        <v>504</v>
      </c>
      <c r="B30" s="212"/>
      <c r="C30" s="217">
        <f t="shared" ref="C30:I30" si="7">SUBTOTAL(9,C19:C29)</f>
        <v>342746.5</v>
      </c>
      <c r="D30" s="217">
        <f t="shared" si="7"/>
        <v>350439.5</v>
      </c>
      <c r="E30" s="217">
        <f t="shared" si="7"/>
        <v>693186</v>
      </c>
      <c r="F30" s="218">
        <f t="shared" si="7"/>
        <v>654926.16999999993</v>
      </c>
      <c r="G30" s="218">
        <f t="shared" si="7"/>
        <v>38259.83</v>
      </c>
      <c r="H30" s="218">
        <f t="shared" si="7"/>
        <v>603010</v>
      </c>
      <c r="I30" s="204">
        <f t="shared" si="7"/>
        <v>641269.82999999996</v>
      </c>
    </row>
    <row r="31" spans="1:9" ht="18" customHeight="1" outlineLevel="2">
      <c r="A31" s="211" t="s">
        <v>913</v>
      </c>
      <c r="B31" s="212" t="s">
        <v>411</v>
      </c>
      <c r="C31" s="217">
        <v>5482.5</v>
      </c>
      <c r="D31" s="217">
        <v>44307.5</v>
      </c>
      <c r="E31" s="217">
        <f>C31+D31</f>
        <v>49790</v>
      </c>
      <c r="F31" s="218">
        <v>12877.5</v>
      </c>
      <c r="G31" s="218">
        <f t="shared" si="1"/>
        <v>36912.5</v>
      </c>
      <c r="H31" s="211"/>
      <c r="I31" s="204">
        <f t="shared" si="2"/>
        <v>36912.5</v>
      </c>
    </row>
    <row r="32" spans="1:9" ht="18" customHeight="1" outlineLevel="2">
      <c r="A32" s="211" t="s">
        <v>913</v>
      </c>
      <c r="B32" s="212" t="s">
        <v>412</v>
      </c>
      <c r="C32" s="217"/>
      <c r="D32" s="217">
        <v>1912.5</v>
      </c>
      <c r="E32" s="217">
        <f t="shared" ref="E32:E35" si="8">C32+D32</f>
        <v>1912.5</v>
      </c>
      <c r="F32" s="218"/>
      <c r="G32" s="218">
        <f t="shared" si="1"/>
        <v>1912.5</v>
      </c>
      <c r="H32" s="211"/>
      <c r="I32" s="204">
        <f t="shared" si="2"/>
        <v>1912.5</v>
      </c>
    </row>
    <row r="33" spans="1:9" ht="18" customHeight="1" outlineLevel="2">
      <c r="A33" s="211" t="s">
        <v>913</v>
      </c>
      <c r="B33" s="212" t="s">
        <v>918</v>
      </c>
      <c r="C33" s="217">
        <f>8993+3697.5</f>
        <v>12690.5</v>
      </c>
      <c r="D33" s="217">
        <v>8287.5</v>
      </c>
      <c r="E33" s="217">
        <f t="shared" si="8"/>
        <v>20978</v>
      </c>
      <c r="F33" s="218">
        <v>20850.5</v>
      </c>
      <c r="G33" s="218">
        <f t="shared" si="1"/>
        <v>127.5</v>
      </c>
      <c r="H33" s="211"/>
      <c r="I33" s="204">
        <f t="shared" si="2"/>
        <v>127.5</v>
      </c>
    </row>
    <row r="34" spans="1:9" ht="18" customHeight="1" outlineLevel="2">
      <c r="A34" s="211" t="s">
        <v>913</v>
      </c>
      <c r="B34" s="212" t="s">
        <v>407</v>
      </c>
      <c r="C34" s="217">
        <v>7909.5</v>
      </c>
      <c r="D34" s="217">
        <v>13775</v>
      </c>
      <c r="E34" s="217">
        <f t="shared" si="8"/>
        <v>21684.5</v>
      </c>
      <c r="F34" s="218"/>
      <c r="G34" s="218">
        <f t="shared" si="1"/>
        <v>21684.5</v>
      </c>
      <c r="H34" s="211"/>
      <c r="I34" s="204">
        <f t="shared" si="2"/>
        <v>21684.5</v>
      </c>
    </row>
    <row r="35" spans="1:9" ht="18" customHeight="1" outlineLevel="2">
      <c r="A35" s="211" t="s">
        <v>913</v>
      </c>
      <c r="B35" s="212" t="s">
        <v>409</v>
      </c>
      <c r="C35" s="217">
        <v>5864</v>
      </c>
      <c r="D35" s="217">
        <v>16320</v>
      </c>
      <c r="E35" s="217">
        <f t="shared" si="8"/>
        <v>22184</v>
      </c>
      <c r="F35" s="218">
        <v>8542.5</v>
      </c>
      <c r="G35" s="218">
        <f t="shared" si="1"/>
        <v>13641.5</v>
      </c>
      <c r="H35" s="211"/>
      <c r="I35" s="204">
        <f t="shared" si="2"/>
        <v>13641.5</v>
      </c>
    </row>
    <row r="36" spans="1:9" ht="18" customHeight="1" outlineLevel="2">
      <c r="A36" s="211" t="s">
        <v>913</v>
      </c>
      <c r="B36" s="212" t="s">
        <v>416</v>
      </c>
      <c r="C36" s="217"/>
      <c r="D36" s="217"/>
      <c r="E36" s="217"/>
      <c r="F36" s="218"/>
      <c r="G36" s="218"/>
      <c r="H36" s="218">
        <v>100937.60000000001</v>
      </c>
      <c r="I36" s="204">
        <f t="shared" si="2"/>
        <v>100937.60000000001</v>
      </c>
    </row>
    <row r="37" spans="1:9" ht="18" customHeight="1" outlineLevel="1">
      <c r="A37" s="220" t="s">
        <v>519</v>
      </c>
      <c r="B37" s="212"/>
      <c r="C37" s="217">
        <f t="shared" ref="C37:I37" si="9">SUBTOTAL(9,C31:C36)</f>
        <v>31946.5</v>
      </c>
      <c r="D37" s="217">
        <f t="shared" si="9"/>
        <v>84602.5</v>
      </c>
      <c r="E37" s="217">
        <f t="shared" si="9"/>
        <v>116549</v>
      </c>
      <c r="F37" s="218">
        <f t="shared" si="9"/>
        <v>42270.5</v>
      </c>
      <c r="G37" s="218">
        <f t="shared" si="9"/>
        <v>74278.5</v>
      </c>
      <c r="H37" s="218">
        <f t="shared" si="9"/>
        <v>100937.60000000001</v>
      </c>
      <c r="I37" s="204">
        <f t="shared" si="9"/>
        <v>175216.1</v>
      </c>
    </row>
    <row r="38" spans="1:9" ht="18" customHeight="1" outlineLevel="2">
      <c r="A38" s="211" t="s">
        <v>914</v>
      </c>
      <c r="B38" s="212" t="s">
        <v>395</v>
      </c>
      <c r="C38" s="217">
        <v>18615</v>
      </c>
      <c r="D38" s="217">
        <v>10391.5</v>
      </c>
      <c r="E38" s="217">
        <f>C38+D38</f>
        <v>29006.5</v>
      </c>
      <c r="F38" s="218">
        <v>37230</v>
      </c>
      <c r="G38" s="218">
        <f t="shared" si="1"/>
        <v>-8223.5</v>
      </c>
      <c r="H38" s="211"/>
      <c r="I38" s="204">
        <f t="shared" si="2"/>
        <v>-8223.5</v>
      </c>
    </row>
    <row r="39" spans="1:9" ht="18" customHeight="1" outlineLevel="2">
      <c r="A39" s="211" t="s">
        <v>914</v>
      </c>
      <c r="B39" s="212" t="s">
        <v>900</v>
      </c>
      <c r="C39" s="217">
        <v>149062</v>
      </c>
      <c r="D39" s="217">
        <v>89792</v>
      </c>
      <c r="E39" s="217">
        <f t="shared" ref="E39:E40" si="10">C39+D39</f>
        <v>238854</v>
      </c>
      <c r="F39" s="218">
        <v>298124</v>
      </c>
      <c r="G39" s="218">
        <f t="shared" si="1"/>
        <v>-59270</v>
      </c>
      <c r="H39" s="211"/>
      <c r="I39" s="204">
        <f t="shared" si="2"/>
        <v>-59270</v>
      </c>
    </row>
    <row r="40" spans="1:9" ht="18" customHeight="1" outlineLevel="2">
      <c r="A40" s="211" t="s">
        <v>914</v>
      </c>
      <c r="B40" s="212" t="s">
        <v>391</v>
      </c>
      <c r="C40" s="217">
        <v>52560</v>
      </c>
      <c r="D40" s="217">
        <v>39015</v>
      </c>
      <c r="E40" s="217">
        <f t="shared" si="10"/>
        <v>91575</v>
      </c>
      <c r="F40" s="218">
        <v>105120</v>
      </c>
      <c r="G40" s="218">
        <f t="shared" si="1"/>
        <v>-13545</v>
      </c>
      <c r="H40" s="211"/>
      <c r="I40" s="204">
        <f t="shared" si="2"/>
        <v>-13545</v>
      </c>
    </row>
    <row r="41" spans="1:9" ht="18" customHeight="1" outlineLevel="1">
      <c r="A41" s="220" t="s">
        <v>521</v>
      </c>
      <c r="B41" s="212"/>
      <c r="C41" s="217">
        <f t="shared" ref="C41:I41" si="11">SUBTOTAL(9,C38:C40)</f>
        <v>220237</v>
      </c>
      <c r="D41" s="217">
        <f t="shared" si="11"/>
        <v>139198.5</v>
      </c>
      <c r="E41" s="217">
        <f t="shared" si="11"/>
        <v>359435.5</v>
      </c>
      <c r="F41" s="218">
        <f t="shared" si="11"/>
        <v>440474</v>
      </c>
      <c r="G41" s="218">
        <f t="shared" si="11"/>
        <v>-81038.5</v>
      </c>
      <c r="H41" s="211">
        <f t="shared" si="11"/>
        <v>0</v>
      </c>
      <c r="I41" s="204">
        <f t="shared" si="11"/>
        <v>-81038.5</v>
      </c>
    </row>
    <row r="42" spans="1:9" ht="18" customHeight="1" outlineLevel="2">
      <c r="A42" s="211" t="s">
        <v>915</v>
      </c>
      <c r="B42" s="212" t="s">
        <v>383</v>
      </c>
      <c r="C42" s="217">
        <v>27166</v>
      </c>
      <c r="D42" s="217">
        <v>56610</v>
      </c>
      <c r="E42" s="217">
        <f>C42+D42</f>
        <v>83776</v>
      </c>
      <c r="F42" s="218">
        <v>49868</v>
      </c>
      <c r="G42" s="218">
        <f t="shared" si="1"/>
        <v>33908</v>
      </c>
      <c r="H42" s="211"/>
      <c r="I42" s="204">
        <f t="shared" si="2"/>
        <v>33908</v>
      </c>
    </row>
    <row r="43" spans="1:9" ht="18" customHeight="1" outlineLevel="2">
      <c r="A43" s="211" t="s">
        <v>915</v>
      </c>
      <c r="B43" s="212" t="s">
        <v>381</v>
      </c>
      <c r="C43" s="217">
        <v>9690</v>
      </c>
      <c r="D43" s="217">
        <v>10072.5</v>
      </c>
      <c r="E43" s="217">
        <f t="shared" ref="E43:E44" si="12">C43+D43</f>
        <v>19762.5</v>
      </c>
      <c r="F43" s="218">
        <v>16320</v>
      </c>
      <c r="G43" s="218">
        <f t="shared" si="1"/>
        <v>3442.5</v>
      </c>
      <c r="H43" s="211"/>
      <c r="I43" s="204">
        <f t="shared" si="2"/>
        <v>3442.5</v>
      </c>
    </row>
    <row r="44" spans="1:9" ht="18" customHeight="1" outlineLevel="2">
      <c r="A44" s="211" t="s">
        <v>915</v>
      </c>
      <c r="B44" s="212" t="s">
        <v>384</v>
      </c>
      <c r="C44" s="217">
        <v>53885.5</v>
      </c>
      <c r="D44" s="217">
        <v>50315</v>
      </c>
      <c r="E44" s="217">
        <f t="shared" si="12"/>
        <v>104200.5</v>
      </c>
      <c r="F44" s="218">
        <v>86535.5</v>
      </c>
      <c r="G44" s="218">
        <f t="shared" si="1"/>
        <v>17665</v>
      </c>
      <c r="H44" s="211"/>
      <c r="I44" s="204">
        <f t="shared" si="2"/>
        <v>17665</v>
      </c>
    </row>
    <row r="45" spans="1:9" ht="18" customHeight="1" outlineLevel="1">
      <c r="A45" s="220" t="s">
        <v>523</v>
      </c>
      <c r="B45" s="212"/>
      <c r="C45" s="217">
        <f t="shared" ref="C45:I45" si="13">SUBTOTAL(9,C42:C44)</f>
        <v>90741.5</v>
      </c>
      <c r="D45" s="217">
        <f t="shared" si="13"/>
        <v>116997.5</v>
      </c>
      <c r="E45" s="217">
        <f t="shared" si="13"/>
        <v>207739</v>
      </c>
      <c r="F45" s="218">
        <f t="shared" si="13"/>
        <v>152723.5</v>
      </c>
      <c r="G45" s="218">
        <f t="shared" si="13"/>
        <v>55015.5</v>
      </c>
      <c r="H45" s="211">
        <f t="shared" si="13"/>
        <v>0</v>
      </c>
      <c r="I45" s="204">
        <f t="shared" si="13"/>
        <v>55015.5</v>
      </c>
    </row>
    <row r="46" spans="1:9" ht="18" customHeight="1" outlineLevel="2">
      <c r="A46" s="211" t="s">
        <v>916</v>
      </c>
      <c r="B46" s="212" t="s">
        <v>481</v>
      </c>
      <c r="C46" s="217">
        <v>81598.5</v>
      </c>
      <c r="D46" s="217">
        <v>108584</v>
      </c>
      <c r="E46" s="217">
        <f>C46+D46</f>
        <v>190182.5</v>
      </c>
      <c r="F46" s="218">
        <v>199602.5</v>
      </c>
      <c r="G46" s="218">
        <f t="shared" si="1"/>
        <v>-9420</v>
      </c>
      <c r="H46" s="211"/>
      <c r="I46" s="204">
        <f t="shared" si="2"/>
        <v>-9420</v>
      </c>
    </row>
    <row r="47" spans="1:9" ht="18" customHeight="1" outlineLevel="2">
      <c r="A47" s="211" t="s">
        <v>916</v>
      </c>
      <c r="B47" s="212" t="s">
        <v>483</v>
      </c>
      <c r="C47" s="217">
        <v>8606.5</v>
      </c>
      <c r="D47" s="217">
        <v>28369</v>
      </c>
      <c r="E47" s="217">
        <f t="shared" ref="E47:E53" si="14">C47+D47</f>
        <v>36975.5</v>
      </c>
      <c r="F47" s="218">
        <v>10902</v>
      </c>
      <c r="G47" s="218">
        <f t="shared" si="1"/>
        <v>26073.5</v>
      </c>
      <c r="H47" s="211"/>
      <c r="I47" s="204">
        <f t="shared" si="2"/>
        <v>26073.5</v>
      </c>
    </row>
    <row r="48" spans="1:9" ht="18" customHeight="1" outlineLevel="2">
      <c r="A48" s="211" t="s">
        <v>916</v>
      </c>
      <c r="B48" s="212" t="s">
        <v>479</v>
      </c>
      <c r="C48" s="217">
        <v>12625.5</v>
      </c>
      <c r="D48" s="217">
        <v>53180.5</v>
      </c>
      <c r="E48" s="217">
        <f t="shared" si="14"/>
        <v>65806</v>
      </c>
      <c r="F48" s="218">
        <v>24489.5</v>
      </c>
      <c r="G48" s="218">
        <f t="shared" si="1"/>
        <v>41316.5</v>
      </c>
      <c r="H48" s="211"/>
      <c r="I48" s="204">
        <f t="shared" si="2"/>
        <v>41316.5</v>
      </c>
    </row>
    <row r="49" spans="1:9" ht="18" customHeight="1" outlineLevel="2">
      <c r="A49" s="211" t="s">
        <v>916</v>
      </c>
      <c r="B49" s="212" t="s">
        <v>477</v>
      </c>
      <c r="C49" s="217">
        <v>15045</v>
      </c>
      <c r="D49" s="217">
        <v>24990</v>
      </c>
      <c r="E49" s="217">
        <f t="shared" si="14"/>
        <v>40035</v>
      </c>
      <c r="F49" s="218">
        <v>50872.5</v>
      </c>
      <c r="G49" s="218">
        <f t="shared" si="1"/>
        <v>-10837.5</v>
      </c>
      <c r="H49" s="211"/>
      <c r="I49" s="204">
        <f t="shared" si="2"/>
        <v>-10837.5</v>
      </c>
    </row>
    <row r="50" spans="1:9" ht="18" customHeight="1" outlineLevel="2">
      <c r="A50" s="211" t="s">
        <v>916</v>
      </c>
      <c r="B50" s="212" t="s">
        <v>919</v>
      </c>
      <c r="C50" s="217"/>
      <c r="D50" s="217"/>
      <c r="E50" s="217"/>
      <c r="F50" s="218">
        <v>383</v>
      </c>
      <c r="G50" s="218">
        <f>E50-F50</f>
        <v>-383</v>
      </c>
      <c r="H50" s="211"/>
      <c r="I50" s="204">
        <f t="shared" si="2"/>
        <v>-383</v>
      </c>
    </row>
    <row r="51" spans="1:9" ht="18" customHeight="1" outlineLevel="2">
      <c r="A51" s="211" t="s">
        <v>916</v>
      </c>
      <c r="B51" s="212" t="s">
        <v>475</v>
      </c>
      <c r="C51" s="217">
        <v>19385</v>
      </c>
      <c r="D51" s="217">
        <v>23720</v>
      </c>
      <c r="E51" s="217">
        <f t="shared" si="14"/>
        <v>43105</v>
      </c>
      <c r="F51" s="218">
        <v>44532</v>
      </c>
      <c r="G51" s="218">
        <f t="shared" si="1"/>
        <v>-1427</v>
      </c>
      <c r="H51" s="211"/>
      <c r="I51" s="204">
        <f t="shared" si="2"/>
        <v>-1427</v>
      </c>
    </row>
    <row r="52" spans="1:9" ht="18" customHeight="1" outlineLevel="2">
      <c r="A52" s="211" t="s">
        <v>916</v>
      </c>
      <c r="B52" s="212" t="s">
        <v>478</v>
      </c>
      <c r="C52" s="217">
        <v>76718</v>
      </c>
      <c r="D52" s="217">
        <v>32973.5</v>
      </c>
      <c r="E52" s="217">
        <f t="shared" si="14"/>
        <v>109691.5</v>
      </c>
      <c r="F52" s="218">
        <v>155431.5</v>
      </c>
      <c r="G52" s="218">
        <f t="shared" si="1"/>
        <v>-45740</v>
      </c>
      <c r="H52" s="211"/>
      <c r="I52" s="204">
        <f t="shared" si="2"/>
        <v>-45740</v>
      </c>
    </row>
    <row r="53" spans="1:9" ht="18" customHeight="1" outlineLevel="2">
      <c r="A53" s="211" t="s">
        <v>916</v>
      </c>
      <c r="B53" s="212" t="s">
        <v>482</v>
      </c>
      <c r="C53" s="217">
        <v>8160</v>
      </c>
      <c r="D53" s="217">
        <v>2677.5</v>
      </c>
      <c r="E53" s="217">
        <f t="shared" si="14"/>
        <v>10837.5</v>
      </c>
      <c r="F53" s="218">
        <v>2677.5</v>
      </c>
      <c r="G53" s="218">
        <f t="shared" si="1"/>
        <v>8160</v>
      </c>
      <c r="H53" s="211"/>
      <c r="I53" s="204">
        <f t="shared" si="2"/>
        <v>8160</v>
      </c>
    </row>
    <row r="54" spans="1:9" ht="18" customHeight="1" outlineLevel="1">
      <c r="A54" s="220" t="s">
        <v>525</v>
      </c>
      <c r="B54" s="212"/>
      <c r="C54" s="217">
        <f t="shared" ref="C54:I54" si="15">SUBTOTAL(9,C46:C53)</f>
        <v>222138.5</v>
      </c>
      <c r="D54" s="217">
        <f t="shared" si="15"/>
        <v>274494.5</v>
      </c>
      <c r="E54" s="217">
        <f t="shared" si="15"/>
        <v>496633</v>
      </c>
      <c r="F54" s="218">
        <f t="shared" si="15"/>
        <v>488890.5</v>
      </c>
      <c r="G54" s="218">
        <f t="shared" si="15"/>
        <v>7742.5</v>
      </c>
      <c r="H54" s="211">
        <f t="shared" si="15"/>
        <v>0</v>
      </c>
      <c r="I54" s="204">
        <f t="shared" si="15"/>
        <v>7742.5</v>
      </c>
    </row>
    <row r="55" spans="1:9" ht="18" customHeight="1" outlineLevel="2">
      <c r="A55" s="211" t="s">
        <v>917</v>
      </c>
      <c r="B55" s="212" t="s">
        <v>371</v>
      </c>
      <c r="C55" s="217">
        <v>15300</v>
      </c>
      <c r="D55" s="217">
        <v>8060</v>
      </c>
      <c r="E55" s="217">
        <f>C55+D55</f>
        <v>23360</v>
      </c>
      <c r="F55" s="218">
        <v>19225</v>
      </c>
      <c r="G55" s="218">
        <f t="shared" si="1"/>
        <v>4135</v>
      </c>
      <c r="H55" s="211"/>
      <c r="I55" s="204">
        <f t="shared" si="2"/>
        <v>4135</v>
      </c>
    </row>
    <row r="56" spans="1:9" ht="18" customHeight="1" outlineLevel="2">
      <c r="A56" s="211" t="s">
        <v>917</v>
      </c>
      <c r="B56" s="212" t="s">
        <v>373</v>
      </c>
      <c r="C56" s="217">
        <v>22951.5</v>
      </c>
      <c r="D56" s="217">
        <v>25372.5</v>
      </c>
      <c r="E56" s="217">
        <f t="shared" ref="E56:E58" si="16">C56+D56</f>
        <v>48324</v>
      </c>
      <c r="F56" s="218">
        <v>68945</v>
      </c>
      <c r="G56" s="218">
        <f t="shared" si="1"/>
        <v>-20621</v>
      </c>
      <c r="H56" s="211"/>
      <c r="I56" s="204">
        <f t="shared" si="2"/>
        <v>-20621</v>
      </c>
    </row>
    <row r="57" spans="1:9" ht="18" customHeight="1" outlineLevel="2">
      <c r="A57" s="211" t="s">
        <v>917</v>
      </c>
      <c r="B57" s="212" t="s">
        <v>369</v>
      </c>
      <c r="C57" s="217">
        <v>23279.5</v>
      </c>
      <c r="D57" s="217">
        <v>22822.5</v>
      </c>
      <c r="E57" s="217">
        <f t="shared" si="16"/>
        <v>46102</v>
      </c>
      <c r="F57" s="218">
        <v>39991</v>
      </c>
      <c r="G57" s="218">
        <f t="shared" si="1"/>
        <v>6111</v>
      </c>
      <c r="H57" s="211"/>
      <c r="I57" s="204">
        <f t="shared" si="2"/>
        <v>6111</v>
      </c>
    </row>
    <row r="58" spans="1:9" ht="18" customHeight="1" outlineLevel="2">
      <c r="A58" s="211" t="s">
        <v>917</v>
      </c>
      <c r="B58" s="212" t="s">
        <v>368</v>
      </c>
      <c r="C58" s="217">
        <v>1085</v>
      </c>
      <c r="D58" s="217">
        <v>11167.5</v>
      </c>
      <c r="E58" s="217">
        <f t="shared" si="16"/>
        <v>12252.5</v>
      </c>
      <c r="F58" s="218">
        <v>4147</v>
      </c>
      <c r="G58" s="218">
        <f t="shared" si="1"/>
        <v>8105.5</v>
      </c>
      <c r="H58" s="211"/>
      <c r="I58" s="204">
        <f t="shared" si="2"/>
        <v>8105.5</v>
      </c>
    </row>
    <row r="59" spans="1:9" ht="18" customHeight="1" outlineLevel="1">
      <c r="A59" s="220" t="s">
        <v>527</v>
      </c>
      <c r="B59" s="212"/>
      <c r="C59" s="217">
        <f t="shared" ref="C59:I59" si="17">SUBTOTAL(9,C55:C58)</f>
        <v>62616</v>
      </c>
      <c r="D59" s="217">
        <f t="shared" si="17"/>
        <v>67422.5</v>
      </c>
      <c r="E59" s="217">
        <f t="shared" si="17"/>
        <v>130038.5</v>
      </c>
      <c r="F59" s="218">
        <f t="shared" si="17"/>
        <v>132308</v>
      </c>
      <c r="G59" s="218">
        <f t="shared" si="17"/>
        <v>-2269.5</v>
      </c>
      <c r="H59" s="211">
        <f t="shared" si="17"/>
        <v>0</v>
      </c>
      <c r="I59" s="204">
        <f t="shared" si="17"/>
        <v>-2269.5</v>
      </c>
    </row>
    <row r="60" spans="1:9" ht="18" customHeight="1">
      <c r="A60" s="220" t="s">
        <v>492</v>
      </c>
      <c r="B60" s="212"/>
      <c r="C60" s="217">
        <f t="shared" ref="C60:I60" si="18">SUBTOTAL(9,C3:C58)</f>
        <v>1263785</v>
      </c>
      <c r="D60" s="217">
        <f t="shared" si="18"/>
        <v>1531344.67</v>
      </c>
      <c r="E60" s="217">
        <f t="shared" si="18"/>
        <v>2795129.67</v>
      </c>
      <c r="F60" s="218">
        <f t="shared" si="18"/>
        <v>3064152.42</v>
      </c>
      <c r="G60" s="218">
        <f t="shared" si="18"/>
        <v>-269022.75</v>
      </c>
      <c r="H60" s="211">
        <f t="shared" si="18"/>
        <v>703947.6</v>
      </c>
      <c r="I60" s="204">
        <f t="shared" si="18"/>
        <v>434924.85</v>
      </c>
    </row>
  </sheetData>
  <mergeCells count="1">
    <mergeCell ref="A1:I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r:id="rId1"/>
  <headerFooter>
    <oddFooter>第 &amp;P 页，共 &amp;N 页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>
  <dimension ref="A1:I62"/>
  <sheetViews>
    <sheetView topLeftCell="B31" workbookViewId="0">
      <selection sqref="A1:XFD1048576"/>
    </sheetView>
  </sheetViews>
  <sheetFormatPr defaultColWidth="9" defaultRowHeight="13.5"/>
  <cols>
    <col min="1" max="1" width="5.25" style="144" hidden="1" customWidth="1"/>
    <col min="2" max="2" width="10.875" style="144" customWidth="1"/>
    <col min="3" max="3" width="15.625" style="144" customWidth="1"/>
    <col min="4" max="4" width="26.875" style="144" customWidth="1"/>
    <col min="5" max="5" width="8.375" style="144" customWidth="1"/>
    <col min="6" max="6" width="8.625" style="144" customWidth="1"/>
    <col min="7" max="7" width="16.375" style="144" customWidth="1"/>
    <col min="8" max="8" width="17.5" style="144" customWidth="1"/>
    <col min="9" max="9" width="11.375" style="144" customWidth="1"/>
    <col min="10" max="10" width="15.375" style="144" bestFit="1" customWidth="1"/>
    <col min="11" max="16384" width="9" style="144"/>
  </cols>
  <sheetData>
    <row r="1" spans="1:9" ht="18.75">
      <c r="A1" s="509" t="s">
        <v>716</v>
      </c>
      <c r="B1" s="509"/>
      <c r="C1" s="509"/>
      <c r="D1" s="509"/>
      <c r="E1" s="509"/>
      <c r="F1" s="509"/>
      <c r="G1" s="509"/>
      <c r="H1" s="509"/>
      <c r="I1" s="509"/>
    </row>
    <row r="2" spans="1:9" ht="24">
      <c r="A2" s="145" t="s">
        <v>360</v>
      </c>
      <c r="B2" s="146" t="s">
        <v>589</v>
      </c>
      <c r="C2" s="146" t="s">
        <v>717</v>
      </c>
      <c r="D2" s="146" t="s">
        <v>718</v>
      </c>
      <c r="E2" s="146" t="s">
        <v>372</v>
      </c>
      <c r="F2" s="146" t="s">
        <v>367</v>
      </c>
      <c r="G2" s="147" t="s">
        <v>719</v>
      </c>
      <c r="H2" s="147" t="s">
        <v>720</v>
      </c>
      <c r="I2" s="146" t="s">
        <v>21</v>
      </c>
    </row>
    <row r="3" spans="1:9">
      <c r="A3" s="148" t="s">
        <v>721</v>
      </c>
      <c r="B3" s="149" t="s">
        <v>2</v>
      </c>
      <c r="C3" s="149" t="s">
        <v>722</v>
      </c>
      <c r="D3" s="149" t="s">
        <v>466</v>
      </c>
      <c r="E3" s="149">
        <v>824</v>
      </c>
      <c r="F3" s="149">
        <v>731</v>
      </c>
      <c r="G3" s="149">
        <f>E3*175*2</f>
        <v>288400</v>
      </c>
      <c r="H3" s="149">
        <f>F3*215*2</f>
        <v>314330</v>
      </c>
      <c r="I3" s="149">
        <f>G3+H3</f>
        <v>602730</v>
      </c>
    </row>
    <row r="4" spans="1:9">
      <c r="A4" s="148"/>
      <c r="B4" s="150" t="s">
        <v>498</v>
      </c>
      <c r="C4" s="150"/>
      <c r="D4" s="150"/>
      <c r="E4" s="150">
        <f>SUBTOTAL(9,E3:E3)</f>
        <v>824</v>
      </c>
      <c r="F4" s="150">
        <f>SUBTOTAL(9,F3:F3)</f>
        <v>731</v>
      </c>
      <c r="G4" s="150">
        <f>SUBTOTAL(9,G3:G3)</f>
        <v>288400</v>
      </c>
      <c r="H4" s="150">
        <f>SUBTOTAL(9,H3:H3)</f>
        <v>314330</v>
      </c>
      <c r="I4" s="150">
        <f>SUBTOTAL(9,I3:I3)</f>
        <v>602730</v>
      </c>
    </row>
    <row r="5" spans="1:9">
      <c r="A5" s="148" t="s">
        <v>721</v>
      </c>
      <c r="B5" s="149" t="s">
        <v>3</v>
      </c>
      <c r="C5" s="149" t="s">
        <v>372</v>
      </c>
      <c r="D5" s="149" t="s">
        <v>723</v>
      </c>
      <c r="E5" s="149">
        <v>994</v>
      </c>
      <c r="F5" s="149"/>
      <c r="G5" s="149">
        <f t="shared" ref="G5:G60" si="0">E5*175*2</f>
        <v>347900</v>
      </c>
      <c r="H5" s="149">
        <f t="shared" ref="H5:H60" si="1">F5*215*2</f>
        <v>0</v>
      </c>
      <c r="I5" s="149">
        <f t="shared" ref="I5:I60" si="2">G5+H5</f>
        <v>347900</v>
      </c>
    </row>
    <row r="6" spans="1:9">
      <c r="A6" s="148" t="s">
        <v>721</v>
      </c>
      <c r="B6" s="149" t="s">
        <v>3</v>
      </c>
      <c r="C6" s="149" t="s">
        <v>372</v>
      </c>
      <c r="D6" s="149" t="s">
        <v>724</v>
      </c>
      <c r="E6" s="149">
        <v>628</v>
      </c>
      <c r="F6" s="149"/>
      <c r="G6" s="149">
        <f t="shared" si="0"/>
        <v>219800</v>
      </c>
      <c r="H6" s="149">
        <f t="shared" si="1"/>
        <v>0</v>
      </c>
      <c r="I6" s="149">
        <f t="shared" si="2"/>
        <v>219800</v>
      </c>
    </row>
    <row r="7" spans="1:9">
      <c r="A7" s="148"/>
      <c r="B7" s="150" t="s">
        <v>500</v>
      </c>
      <c r="C7" s="150"/>
      <c r="D7" s="150"/>
      <c r="E7" s="150">
        <f>SUBTOTAL(9,E5:E6)</f>
        <v>1622</v>
      </c>
      <c r="F7" s="150">
        <f>SUBTOTAL(9,F5:F6)</f>
        <v>0</v>
      </c>
      <c r="G7" s="150">
        <f>SUBTOTAL(9,G5:G6)</f>
        <v>567700</v>
      </c>
      <c r="H7" s="150">
        <f>SUBTOTAL(9,H5:H6)</f>
        <v>0</v>
      </c>
      <c r="I7" s="150">
        <f>SUBTOTAL(9,I5:I6)</f>
        <v>567700</v>
      </c>
    </row>
    <row r="8" spans="1:9">
      <c r="A8" s="148" t="s">
        <v>721</v>
      </c>
      <c r="B8" s="149" t="s">
        <v>4</v>
      </c>
      <c r="C8" s="149" t="s">
        <v>372</v>
      </c>
      <c r="D8" s="149" t="s">
        <v>725</v>
      </c>
      <c r="E8" s="149">
        <v>785</v>
      </c>
      <c r="F8" s="149"/>
      <c r="G8" s="149">
        <f t="shared" si="0"/>
        <v>274750</v>
      </c>
      <c r="H8" s="149">
        <f t="shared" si="1"/>
        <v>0</v>
      </c>
      <c r="I8" s="149">
        <f t="shared" si="2"/>
        <v>274750</v>
      </c>
    </row>
    <row r="9" spans="1:9">
      <c r="A9" s="148" t="s">
        <v>721</v>
      </c>
      <c r="B9" s="149" t="s">
        <v>4</v>
      </c>
      <c r="C9" s="149" t="s">
        <v>372</v>
      </c>
      <c r="D9" s="149" t="s">
        <v>726</v>
      </c>
      <c r="E9" s="149">
        <v>5697</v>
      </c>
      <c r="F9" s="149"/>
      <c r="G9" s="149">
        <f t="shared" si="0"/>
        <v>1993950</v>
      </c>
      <c r="H9" s="149">
        <f t="shared" si="1"/>
        <v>0</v>
      </c>
      <c r="I9" s="149">
        <f t="shared" si="2"/>
        <v>1993950</v>
      </c>
    </row>
    <row r="10" spans="1:9">
      <c r="A10" s="148" t="s">
        <v>721</v>
      </c>
      <c r="B10" s="149" t="s">
        <v>4</v>
      </c>
      <c r="C10" s="149" t="s">
        <v>372</v>
      </c>
      <c r="D10" s="149" t="s">
        <v>727</v>
      </c>
      <c r="E10" s="149">
        <v>2410</v>
      </c>
      <c r="F10" s="149"/>
      <c r="G10" s="149">
        <f t="shared" si="0"/>
        <v>843500</v>
      </c>
      <c r="H10" s="149">
        <f t="shared" si="1"/>
        <v>0</v>
      </c>
      <c r="I10" s="149">
        <f t="shared" si="2"/>
        <v>843500</v>
      </c>
    </row>
    <row r="11" spans="1:9">
      <c r="A11" s="148" t="s">
        <v>721</v>
      </c>
      <c r="B11" s="149" t="s">
        <v>4</v>
      </c>
      <c r="C11" s="149" t="s">
        <v>372</v>
      </c>
      <c r="D11" s="149" t="s">
        <v>728</v>
      </c>
      <c r="E11" s="149">
        <v>788</v>
      </c>
      <c r="F11" s="149"/>
      <c r="G11" s="149">
        <f t="shared" si="0"/>
        <v>275800</v>
      </c>
      <c r="H11" s="149">
        <f t="shared" si="1"/>
        <v>0</v>
      </c>
      <c r="I11" s="149">
        <f t="shared" si="2"/>
        <v>275800</v>
      </c>
    </row>
    <row r="12" spans="1:9">
      <c r="A12" s="148" t="s">
        <v>721</v>
      </c>
      <c r="B12" s="149" t="s">
        <v>4</v>
      </c>
      <c r="C12" s="149" t="s">
        <v>372</v>
      </c>
      <c r="D12" s="149" t="s">
        <v>729</v>
      </c>
      <c r="E12" s="149">
        <v>2110</v>
      </c>
      <c r="F12" s="149"/>
      <c r="G12" s="149">
        <f t="shared" si="0"/>
        <v>738500</v>
      </c>
      <c r="H12" s="149">
        <f t="shared" si="1"/>
        <v>0</v>
      </c>
      <c r="I12" s="149">
        <f t="shared" si="2"/>
        <v>738500</v>
      </c>
    </row>
    <row r="13" spans="1:9">
      <c r="A13" s="148" t="s">
        <v>721</v>
      </c>
      <c r="B13" s="149" t="s">
        <v>4</v>
      </c>
      <c r="C13" s="149" t="s">
        <v>367</v>
      </c>
      <c r="D13" s="149" t="s">
        <v>730</v>
      </c>
      <c r="E13" s="149"/>
      <c r="F13" s="149">
        <v>1053</v>
      </c>
      <c r="G13" s="149">
        <f t="shared" si="0"/>
        <v>0</v>
      </c>
      <c r="H13" s="149">
        <f t="shared" si="1"/>
        <v>452790</v>
      </c>
      <c r="I13" s="149">
        <f t="shared" si="2"/>
        <v>452790</v>
      </c>
    </row>
    <row r="14" spans="1:9">
      <c r="A14" s="148" t="s">
        <v>721</v>
      </c>
      <c r="B14" s="149" t="s">
        <v>4</v>
      </c>
      <c r="C14" s="149" t="s">
        <v>367</v>
      </c>
      <c r="D14" s="149" t="s">
        <v>731</v>
      </c>
      <c r="E14" s="149"/>
      <c r="F14" s="149">
        <v>3448</v>
      </c>
      <c r="G14" s="149">
        <f t="shared" si="0"/>
        <v>0</v>
      </c>
      <c r="H14" s="149">
        <f t="shared" si="1"/>
        <v>1482640</v>
      </c>
      <c r="I14" s="149">
        <f t="shared" si="2"/>
        <v>1482640</v>
      </c>
    </row>
    <row r="15" spans="1:9">
      <c r="A15" s="148" t="s">
        <v>721</v>
      </c>
      <c r="B15" s="149" t="s">
        <v>4</v>
      </c>
      <c r="C15" s="149" t="s">
        <v>367</v>
      </c>
      <c r="D15" s="149" t="s">
        <v>732</v>
      </c>
      <c r="E15" s="149"/>
      <c r="F15" s="149">
        <v>1280</v>
      </c>
      <c r="G15" s="149">
        <f t="shared" si="0"/>
        <v>0</v>
      </c>
      <c r="H15" s="149">
        <f t="shared" si="1"/>
        <v>550400</v>
      </c>
      <c r="I15" s="149">
        <f t="shared" si="2"/>
        <v>550400</v>
      </c>
    </row>
    <row r="16" spans="1:9">
      <c r="A16" s="148"/>
      <c r="B16" s="149" t="s">
        <v>4</v>
      </c>
      <c r="C16" s="149" t="s">
        <v>733</v>
      </c>
      <c r="D16" s="149" t="s">
        <v>734</v>
      </c>
      <c r="E16" s="149">
        <v>528</v>
      </c>
      <c r="F16" s="149">
        <v>875</v>
      </c>
      <c r="G16" s="149">
        <f t="shared" si="0"/>
        <v>184800</v>
      </c>
      <c r="H16" s="149">
        <f t="shared" si="1"/>
        <v>376250</v>
      </c>
      <c r="I16" s="149">
        <f t="shared" si="2"/>
        <v>561050</v>
      </c>
    </row>
    <row r="17" spans="1:9">
      <c r="A17" s="148" t="s">
        <v>721</v>
      </c>
      <c r="B17" s="149" t="s">
        <v>4</v>
      </c>
      <c r="C17" s="149" t="s">
        <v>367</v>
      </c>
      <c r="D17" s="149" t="s">
        <v>735</v>
      </c>
      <c r="E17" s="149"/>
      <c r="F17" s="149">
        <v>1580</v>
      </c>
      <c r="G17" s="149">
        <f t="shared" si="0"/>
        <v>0</v>
      </c>
      <c r="H17" s="149">
        <f t="shared" si="1"/>
        <v>679400</v>
      </c>
      <c r="I17" s="149">
        <f t="shared" si="2"/>
        <v>679400</v>
      </c>
    </row>
    <row r="18" spans="1:9">
      <c r="A18" s="148"/>
      <c r="B18" s="150" t="s">
        <v>502</v>
      </c>
      <c r="C18" s="150"/>
      <c r="D18" s="150"/>
      <c r="E18" s="150">
        <f>SUBTOTAL(9,E8:E17)</f>
        <v>12318</v>
      </c>
      <c r="F18" s="150">
        <f>SUBTOTAL(9,F8:F17)</f>
        <v>8236</v>
      </c>
      <c r="G18" s="150">
        <f>SUBTOTAL(9,G8:G17)</f>
        <v>4311300</v>
      </c>
      <c r="H18" s="150">
        <f>SUBTOTAL(9,H8:H17)</f>
        <v>3541480</v>
      </c>
      <c r="I18" s="150">
        <f>SUBTOTAL(9,I8:I17)</f>
        <v>7852780</v>
      </c>
    </row>
    <row r="19" spans="1:9">
      <c r="A19" s="148" t="s">
        <v>721</v>
      </c>
      <c r="B19" s="149" t="s">
        <v>5</v>
      </c>
      <c r="C19" s="149" t="s">
        <v>372</v>
      </c>
      <c r="D19" s="149" t="s">
        <v>736</v>
      </c>
      <c r="E19" s="149">
        <v>1614</v>
      </c>
      <c r="F19" s="149"/>
      <c r="G19" s="149">
        <f t="shared" si="0"/>
        <v>564900</v>
      </c>
      <c r="H19" s="149">
        <f t="shared" si="1"/>
        <v>0</v>
      </c>
      <c r="I19" s="149">
        <f t="shared" si="2"/>
        <v>564900</v>
      </c>
    </row>
    <row r="20" spans="1:9">
      <c r="A20" s="148" t="s">
        <v>721</v>
      </c>
      <c r="B20" s="149" t="s">
        <v>5</v>
      </c>
      <c r="C20" s="149" t="s">
        <v>372</v>
      </c>
      <c r="D20" s="149" t="s">
        <v>737</v>
      </c>
      <c r="E20" s="149">
        <v>1170</v>
      </c>
      <c r="F20" s="149"/>
      <c r="G20" s="149">
        <f t="shared" si="0"/>
        <v>409500</v>
      </c>
      <c r="H20" s="149">
        <f t="shared" si="1"/>
        <v>0</v>
      </c>
      <c r="I20" s="149">
        <f t="shared" si="2"/>
        <v>409500</v>
      </c>
    </row>
    <row r="21" spans="1:9">
      <c r="A21" s="148" t="s">
        <v>721</v>
      </c>
      <c r="B21" s="149" t="s">
        <v>5</v>
      </c>
      <c r="C21" s="149" t="s">
        <v>738</v>
      </c>
      <c r="D21" s="149" t="s">
        <v>739</v>
      </c>
      <c r="E21" s="149">
        <v>1415</v>
      </c>
      <c r="F21" s="149"/>
      <c r="G21" s="149">
        <f t="shared" si="0"/>
        <v>495250</v>
      </c>
      <c r="H21" s="149">
        <f t="shared" si="1"/>
        <v>0</v>
      </c>
      <c r="I21" s="149">
        <f t="shared" si="2"/>
        <v>495250</v>
      </c>
    </row>
    <row r="22" spans="1:9">
      <c r="A22" s="148" t="s">
        <v>721</v>
      </c>
      <c r="B22" s="149" t="s">
        <v>5</v>
      </c>
      <c r="C22" s="149" t="s">
        <v>372</v>
      </c>
      <c r="D22" s="149" t="s">
        <v>740</v>
      </c>
      <c r="E22" s="149">
        <v>1035</v>
      </c>
      <c r="F22" s="149"/>
      <c r="G22" s="149">
        <f t="shared" si="0"/>
        <v>362250</v>
      </c>
      <c r="H22" s="149">
        <f t="shared" si="1"/>
        <v>0</v>
      </c>
      <c r="I22" s="149">
        <f t="shared" si="2"/>
        <v>362250</v>
      </c>
    </row>
    <row r="23" spans="1:9">
      <c r="A23" s="148" t="s">
        <v>721</v>
      </c>
      <c r="B23" s="149" t="s">
        <v>5</v>
      </c>
      <c r="C23" s="149" t="s">
        <v>733</v>
      </c>
      <c r="D23" s="151" t="s">
        <v>652</v>
      </c>
      <c r="E23" s="149">
        <v>1096</v>
      </c>
      <c r="F23" s="149"/>
      <c r="G23" s="149">
        <f t="shared" si="0"/>
        <v>383600</v>
      </c>
      <c r="H23" s="149">
        <f t="shared" si="1"/>
        <v>0</v>
      </c>
      <c r="I23" s="149">
        <f t="shared" si="2"/>
        <v>383600</v>
      </c>
    </row>
    <row r="24" spans="1:9">
      <c r="A24" s="148" t="s">
        <v>721</v>
      </c>
      <c r="B24" s="149" t="s">
        <v>5</v>
      </c>
      <c r="C24" s="149" t="s">
        <v>367</v>
      </c>
      <c r="D24" s="149" t="s">
        <v>741</v>
      </c>
      <c r="E24" s="149"/>
      <c r="F24" s="149">
        <v>1022</v>
      </c>
      <c r="G24" s="149">
        <f t="shared" si="0"/>
        <v>0</v>
      </c>
      <c r="H24" s="149">
        <f t="shared" si="1"/>
        <v>439460</v>
      </c>
      <c r="I24" s="149">
        <f t="shared" si="2"/>
        <v>439460</v>
      </c>
    </row>
    <row r="25" spans="1:9">
      <c r="A25" s="148" t="s">
        <v>721</v>
      </c>
      <c r="B25" s="149" t="s">
        <v>5</v>
      </c>
      <c r="C25" s="149" t="s">
        <v>367</v>
      </c>
      <c r="D25" s="149" t="s">
        <v>742</v>
      </c>
      <c r="E25" s="149"/>
      <c r="F25" s="149">
        <v>1090</v>
      </c>
      <c r="G25" s="149">
        <f t="shared" si="0"/>
        <v>0</v>
      </c>
      <c r="H25" s="149">
        <f t="shared" si="1"/>
        <v>468700</v>
      </c>
      <c r="I25" s="149">
        <f t="shared" si="2"/>
        <v>468700</v>
      </c>
    </row>
    <row r="26" spans="1:9">
      <c r="A26" s="148" t="s">
        <v>721</v>
      </c>
      <c r="B26" s="149" t="s">
        <v>5</v>
      </c>
      <c r="C26" s="149" t="s">
        <v>367</v>
      </c>
      <c r="D26" s="151" t="s">
        <v>743</v>
      </c>
      <c r="E26" s="149"/>
      <c r="F26" s="149">
        <v>1155</v>
      </c>
      <c r="G26" s="149">
        <f t="shared" si="0"/>
        <v>0</v>
      </c>
      <c r="H26" s="149">
        <f t="shared" si="1"/>
        <v>496650</v>
      </c>
      <c r="I26" s="149">
        <f t="shared" si="2"/>
        <v>496650</v>
      </c>
    </row>
    <row r="27" spans="1:9">
      <c r="A27" s="148"/>
      <c r="B27" s="149" t="s">
        <v>5</v>
      </c>
      <c r="C27" s="149" t="s">
        <v>733</v>
      </c>
      <c r="D27" s="149" t="s">
        <v>255</v>
      </c>
      <c r="E27" s="149">
        <v>666</v>
      </c>
      <c r="F27" s="149">
        <v>495</v>
      </c>
      <c r="G27" s="149">
        <f t="shared" si="0"/>
        <v>233100</v>
      </c>
      <c r="H27" s="149">
        <f t="shared" si="1"/>
        <v>212850</v>
      </c>
      <c r="I27" s="149">
        <f t="shared" si="2"/>
        <v>445950</v>
      </c>
    </row>
    <row r="28" spans="1:9">
      <c r="A28" s="148"/>
      <c r="B28" s="149" t="s">
        <v>5</v>
      </c>
      <c r="C28" s="149" t="s">
        <v>733</v>
      </c>
      <c r="D28" s="149" t="s">
        <v>744</v>
      </c>
      <c r="E28" s="149"/>
      <c r="F28" s="149">
        <v>410</v>
      </c>
      <c r="G28" s="149">
        <f t="shared" si="0"/>
        <v>0</v>
      </c>
      <c r="H28" s="149">
        <f t="shared" si="1"/>
        <v>176300</v>
      </c>
      <c r="I28" s="149">
        <f t="shared" si="2"/>
        <v>176300</v>
      </c>
    </row>
    <row r="29" spans="1:9">
      <c r="A29" s="148"/>
      <c r="B29" s="150" t="s">
        <v>504</v>
      </c>
      <c r="C29" s="150"/>
      <c r="D29" s="150"/>
      <c r="E29" s="150">
        <f>SUBTOTAL(9,E19:E28)</f>
        <v>6996</v>
      </c>
      <c r="F29" s="150">
        <f>SUBTOTAL(9,F19:F28)</f>
        <v>4172</v>
      </c>
      <c r="G29" s="150">
        <f>SUBTOTAL(9,G19:G28)</f>
        <v>2448600</v>
      </c>
      <c r="H29" s="150">
        <f>SUBTOTAL(9,H19:H28)</f>
        <v>1793960</v>
      </c>
      <c r="I29" s="150">
        <f>SUBTOTAL(9,I19:I28)</f>
        <v>4242560</v>
      </c>
    </row>
    <row r="30" spans="1:9">
      <c r="A30" s="148" t="s">
        <v>721</v>
      </c>
      <c r="B30" s="149" t="s">
        <v>6</v>
      </c>
      <c r="C30" s="149" t="s">
        <v>372</v>
      </c>
      <c r="D30" s="149" t="s">
        <v>745</v>
      </c>
      <c r="E30" s="149">
        <v>688</v>
      </c>
      <c r="F30" s="149"/>
      <c r="G30" s="149">
        <f t="shared" si="0"/>
        <v>240800</v>
      </c>
      <c r="H30" s="149">
        <f t="shared" si="1"/>
        <v>0</v>
      </c>
      <c r="I30" s="149">
        <f t="shared" si="2"/>
        <v>240800</v>
      </c>
    </row>
    <row r="31" spans="1:9">
      <c r="A31" s="148" t="s">
        <v>721</v>
      </c>
      <c r="B31" s="149" t="s">
        <v>6</v>
      </c>
      <c r="C31" s="149" t="s">
        <v>372</v>
      </c>
      <c r="D31" s="149" t="s">
        <v>746</v>
      </c>
      <c r="E31" s="149">
        <v>1708</v>
      </c>
      <c r="F31" s="149"/>
      <c r="G31" s="149">
        <f t="shared" si="0"/>
        <v>597800</v>
      </c>
      <c r="H31" s="149">
        <f t="shared" si="1"/>
        <v>0</v>
      </c>
      <c r="I31" s="149">
        <f t="shared" si="2"/>
        <v>597800</v>
      </c>
    </row>
    <row r="32" spans="1:9">
      <c r="A32" s="148" t="s">
        <v>721</v>
      </c>
      <c r="B32" s="149" t="s">
        <v>6</v>
      </c>
      <c r="C32" s="149" t="s">
        <v>372</v>
      </c>
      <c r="D32" s="149" t="s">
        <v>747</v>
      </c>
      <c r="E32" s="149">
        <v>823</v>
      </c>
      <c r="F32" s="149"/>
      <c r="G32" s="149">
        <f t="shared" si="0"/>
        <v>288050</v>
      </c>
      <c r="H32" s="149">
        <f t="shared" si="1"/>
        <v>0</v>
      </c>
      <c r="I32" s="149">
        <f t="shared" si="2"/>
        <v>288050</v>
      </c>
    </row>
    <row r="33" spans="1:9">
      <c r="A33" s="148" t="s">
        <v>721</v>
      </c>
      <c r="B33" s="149" t="s">
        <v>6</v>
      </c>
      <c r="C33" s="149" t="s">
        <v>733</v>
      </c>
      <c r="D33" s="151" t="s">
        <v>748</v>
      </c>
      <c r="E33" s="149">
        <v>797</v>
      </c>
      <c r="F33" s="149">
        <v>539</v>
      </c>
      <c r="G33" s="149">
        <f t="shared" si="0"/>
        <v>278950</v>
      </c>
      <c r="H33" s="149">
        <f t="shared" si="1"/>
        <v>231770</v>
      </c>
      <c r="I33" s="149">
        <f t="shared" si="2"/>
        <v>510720</v>
      </c>
    </row>
    <row r="34" spans="1:9">
      <c r="A34" s="148" t="s">
        <v>721</v>
      </c>
      <c r="B34" s="149" t="s">
        <v>6</v>
      </c>
      <c r="C34" s="149" t="s">
        <v>367</v>
      </c>
      <c r="D34" s="149" t="s">
        <v>749</v>
      </c>
      <c r="E34" s="149"/>
      <c r="F34" s="149">
        <v>914</v>
      </c>
      <c r="G34" s="149">
        <f t="shared" si="0"/>
        <v>0</v>
      </c>
      <c r="H34" s="149">
        <f t="shared" si="1"/>
        <v>393020</v>
      </c>
      <c r="I34" s="149">
        <f t="shared" si="2"/>
        <v>393020</v>
      </c>
    </row>
    <row r="35" spans="1:9">
      <c r="A35" s="148" t="s">
        <v>721</v>
      </c>
      <c r="B35" s="149" t="s">
        <v>6</v>
      </c>
      <c r="C35" s="149" t="s">
        <v>367</v>
      </c>
      <c r="D35" s="151" t="s">
        <v>750</v>
      </c>
      <c r="E35" s="149"/>
      <c r="F35" s="149">
        <v>786</v>
      </c>
      <c r="G35" s="149">
        <f t="shared" si="0"/>
        <v>0</v>
      </c>
      <c r="H35" s="149">
        <f t="shared" si="1"/>
        <v>337980</v>
      </c>
      <c r="I35" s="149">
        <f t="shared" si="2"/>
        <v>337980</v>
      </c>
    </row>
    <row r="36" spans="1:9">
      <c r="A36" s="148" t="s">
        <v>721</v>
      </c>
      <c r="B36" s="149" t="s">
        <v>6</v>
      </c>
      <c r="C36" s="149" t="s">
        <v>367</v>
      </c>
      <c r="D36" s="149" t="s">
        <v>751</v>
      </c>
      <c r="E36" s="149"/>
      <c r="F36" s="149">
        <v>1138</v>
      </c>
      <c r="G36" s="149">
        <f t="shared" si="0"/>
        <v>0</v>
      </c>
      <c r="H36" s="149">
        <f t="shared" si="1"/>
        <v>489340</v>
      </c>
      <c r="I36" s="149">
        <f t="shared" si="2"/>
        <v>489340</v>
      </c>
    </row>
    <row r="37" spans="1:9">
      <c r="A37" s="148"/>
      <c r="B37" s="150" t="s">
        <v>519</v>
      </c>
      <c r="C37" s="150"/>
      <c r="D37" s="150"/>
      <c r="E37" s="150">
        <f>SUBTOTAL(9,E30:E36)</f>
        <v>4016</v>
      </c>
      <c r="F37" s="150">
        <f>SUBTOTAL(9,F30:F36)</f>
        <v>3377</v>
      </c>
      <c r="G37" s="150">
        <f>SUBTOTAL(9,G30:G36)</f>
        <v>1405600</v>
      </c>
      <c r="H37" s="150">
        <f>SUBTOTAL(9,H30:H36)</f>
        <v>1452110</v>
      </c>
      <c r="I37" s="150">
        <f>SUBTOTAL(9,I30:I36)</f>
        <v>2857710</v>
      </c>
    </row>
    <row r="38" spans="1:9">
      <c r="A38" s="148" t="s">
        <v>721</v>
      </c>
      <c r="B38" s="149" t="s">
        <v>7</v>
      </c>
      <c r="C38" s="149" t="s">
        <v>372</v>
      </c>
      <c r="D38" s="151" t="s">
        <v>752</v>
      </c>
      <c r="E38" s="149">
        <v>1128</v>
      </c>
      <c r="F38" s="149">
        <v>553</v>
      </c>
      <c r="G38" s="149">
        <f t="shared" si="0"/>
        <v>394800</v>
      </c>
      <c r="H38" s="149">
        <f t="shared" si="1"/>
        <v>237790</v>
      </c>
      <c r="I38" s="149">
        <f t="shared" si="2"/>
        <v>632590</v>
      </c>
    </row>
    <row r="39" spans="1:9">
      <c r="A39" s="148" t="s">
        <v>721</v>
      </c>
      <c r="B39" s="149" t="s">
        <v>7</v>
      </c>
      <c r="C39" s="149" t="s">
        <v>372</v>
      </c>
      <c r="D39" s="149" t="s">
        <v>753</v>
      </c>
      <c r="E39" s="149">
        <v>2354</v>
      </c>
      <c r="F39" s="149"/>
      <c r="G39" s="149">
        <f t="shared" si="0"/>
        <v>823900</v>
      </c>
      <c r="H39" s="149">
        <f t="shared" si="1"/>
        <v>0</v>
      </c>
      <c r="I39" s="149">
        <f t="shared" si="2"/>
        <v>823900</v>
      </c>
    </row>
    <row r="40" spans="1:9">
      <c r="A40" s="148" t="s">
        <v>721</v>
      </c>
      <c r="B40" s="149" t="s">
        <v>7</v>
      </c>
      <c r="C40" s="149" t="s">
        <v>722</v>
      </c>
      <c r="D40" s="149" t="s">
        <v>754</v>
      </c>
      <c r="E40" s="149">
        <v>912</v>
      </c>
      <c r="F40" s="149">
        <v>788</v>
      </c>
      <c r="G40" s="149">
        <f t="shared" si="0"/>
        <v>319200</v>
      </c>
      <c r="H40" s="149">
        <f t="shared" si="1"/>
        <v>338840</v>
      </c>
      <c r="I40" s="149">
        <f t="shared" si="2"/>
        <v>658040</v>
      </c>
    </row>
    <row r="41" spans="1:9">
      <c r="A41" s="148" t="s">
        <v>721</v>
      </c>
      <c r="B41" s="149" t="s">
        <v>7</v>
      </c>
      <c r="C41" s="149" t="s">
        <v>367</v>
      </c>
      <c r="D41" s="149" t="s">
        <v>755</v>
      </c>
      <c r="E41" s="149"/>
      <c r="F41" s="149">
        <v>1173</v>
      </c>
      <c r="G41" s="149">
        <f t="shared" si="0"/>
        <v>0</v>
      </c>
      <c r="H41" s="149">
        <f>F41*215*2</f>
        <v>504390</v>
      </c>
      <c r="I41" s="149">
        <f t="shared" si="2"/>
        <v>504390</v>
      </c>
    </row>
    <row r="42" spans="1:9">
      <c r="A42" s="148"/>
      <c r="B42" s="150" t="s">
        <v>521</v>
      </c>
      <c r="C42" s="150"/>
      <c r="D42" s="150"/>
      <c r="E42" s="150">
        <f>SUBTOTAL(9,E38:E41)</f>
        <v>4394</v>
      </c>
      <c r="F42" s="150">
        <f>SUBTOTAL(9,F38:F41)</f>
        <v>2514</v>
      </c>
      <c r="G42" s="150">
        <f>SUBTOTAL(9,G38:G41)</f>
        <v>1537900</v>
      </c>
      <c r="H42" s="150">
        <f>SUBTOTAL(9,H38:H41)</f>
        <v>1081020</v>
      </c>
      <c r="I42" s="150">
        <f>SUBTOTAL(9,I38:I41)</f>
        <v>2618920</v>
      </c>
    </row>
    <row r="43" spans="1:9">
      <c r="A43" s="148" t="s">
        <v>721</v>
      </c>
      <c r="B43" s="149" t="s">
        <v>8</v>
      </c>
      <c r="C43" s="149" t="s">
        <v>722</v>
      </c>
      <c r="D43" s="149" t="s">
        <v>756</v>
      </c>
      <c r="E43" s="149">
        <v>1269</v>
      </c>
      <c r="F43" s="149">
        <v>935</v>
      </c>
      <c r="G43" s="149">
        <f t="shared" si="0"/>
        <v>444150</v>
      </c>
      <c r="H43" s="149">
        <f t="shared" si="1"/>
        <v>402050</v>
      </c>
      <c r="I43" s="149">
        <f t="shared" si="2"/>
        <v>846200</v>
      </c>
    </row>
    <row r="44" spans="1:9">
      <c r="A44" s="148" t="s">
        <v>721</v>
      </c>
      <c r="B44" s="149" t="s">
        <v>8</v>
      </c>
      <c r="C44" s="149" t="s">
        <v>722</v>
      </c>
      <c r="D44" s="149" t="s">
        <v>757</v>
      </c>
      <c r="E44" s="149">
        <v>672</v>
      </c>
      <c r="F44" s="149">
        <v>621</v>
      </c>
      <c r="G44" s="149">
        <f t="shared" si="0"/>
        <v>235200</v>
      </c>
      <c r="H44" s="149">
        <f t="shared" si="1"/>
        <v>267030</v>
      </c>
      <c r="I44" s="149">
        <f t="shared" si="2"/>
        <v>502230</v>
      </c>
    </row>
    <row r="45" spans="1:9">
      <c r="A45" s="148" t="s">
        <v>721</v>
      </c>
      <c r="B45" s="149" t="s">
        <v>8</v>
      </c>
      <c r="C45" s="149" t="s">
        <v>722</v>
      </c>
      <c r="D45" s="149" t="s">
        <v>758</v>
      </c>
      <c r="E45" s="149">
        <v>1103</v>
      </c>
      <c r="F45" s="149">
        <v>959</v>
      </c>
      <c r="G45" s="149">
        <f t="shared" si="0"/>
        <v>386050</v>
      </c>
      <c r="H45" s="149">
        <f t="shared" si="1"/>
        <v>412370</v>
      </c>
      <c r="I45" s="149">
        <f t="shared" si="2"/>
        <v>798420</v>
      </c>
    </row>
    <row r="46" spans="1:9">
      <c r="A46" s="148"/>
      <c r="B46" s="150" t="s">
        <v>523</v>
      </c>
      <c r="C46" s="150"/>
      <c r="D46" s="150"/>
      <c r="E46" s="150">
        <f>SUBTOTAL(9,E43:E45)</f>
        <v>3044</v>
      </c>
      <c r="F46" s="150">
        <f>SUBTOTAL(9,F43:F45)</f>
        <v>2515</v>
      </c>
      <c r="G46" s="150">
        <f>SUBTOTAL(9,G43:G45)</f>
        <v>1065400</v>
      </c>
      <c r="H46" s="150">
        <f>SUBTOTAL(9,H43:H45)</f>
        <v>1081450</v>
      </c>
      <c r="I46" s="150">
        <f>SUBTOTAL(9,I43:I45)</f>
        <v>2146850</v>
      </c>
    </row>
    <row r="47" spans="1:9">
      <c r="A47" s="148" t="s">
        <v>721</v>
      </c>
      <c r="B47" s="149" t="s">
        <v>9</v>
      </c>
      <c r="C47" s="149" t="s">
        <v>372</v>
      </c>
      <c r="D47" s="149" t="s">
        <v>759</v>
      </c>
      <c r="E47" s="149">
        <v>3298</v>
      </c>
      <c r="F47" s="149"/>
      <c r="G47" s="149">
        <f t="shared" si="0"/>
        <v>1154300</v>
      </c>
      <c r="H47" s="149">
        <f t="shared" si="1"/>
        <v>0</v>
      </c>
      <c r="I47" s="149">
        <f t="shared" si="2"/>
        <v>1154300</v>
      </c>
    </row>
    <row r="48" spans="1:9">
      <c r="A48" s="148" t="s">
        <v>721</v>
      </c>
      <c r="B48" s="149" t="s">
        <v>9</v>
      </c>
      <c r="C48" s="149" t="s">
        <v>372</v>
      </c>
      <c r="D48" s="149" t="s">
        <v>297</v>
      </c>
      <c r="E48" s="149">
        <v>819</v>
      </c>
      <c r="F48" s="149"/>
      <c r="G48" s="149">
        <f t="shared" si="0"/>
        <v>286650</v>
      </c>
      <c r="H48" s="149">
        <f t="shared" si="1"/>
        <v>0</v>
      </c>
      <c r="I48" s="149">
        <f t="shared" si="2"/>
        <v>286650</v>
      </c>
    </row>
    <row r="49" spans="1:9">
      <c r="A49" s="148" t="s">
        <v>721</v>
      </c>
      <c r="B49" s="149" t="s">
        <v>9</v>
      </c>
      <c r="C49" s="149" t="s">
        <v>372</v>
      </c>
      <c r="D49" s="149" t="s">
        <v>760</v>
      </c>
      <c r="E49" s="149">
        <v>924</v>
      </c>
      <c r="F49" s="149"/>
      <c r="G49" s="149">
        <f t="shared" si="0"/>
        <v>323400</v>
      </c>
      <c r="H49" s="149">
        <f t="shared" si="1"/>
        <v>0</v>
      </c>
      <c r="I49" s="149">
        <f t="shared" si="2"/>
        <v>323400</v>
      </c>
    </row>
    <row r="50" spans="1:9">
      <c r="A50" s="148" t="s">
        <v>721</v>
      </c>
      <c r="B50" s="149" t="s">
        <v>9</v>
      </c>
      <c r="C50" s="149" t="s">
        <v>372</v>
      </c>
      <c r="D50" s="149" t="s">
        <v>761</v>
      </c>
      <c r="E50" s="149">
        <v>1002</v>
      </c>
      <c r="F50" s="149"/>
      <c r="G50" s="149">
        <f t="shared" si="0"/>
        <v>350700</v>
      </c>
      <c r="H50" s="149">
        <f t="shared" si="1"/>
        <v>0</v>
      </c>
      <c r="I50" s="149">
        <f t="shared" si="2"/>
        <v>350700</v>
      </c>
    </row>
    <row r="51" spans="1:9">
      <c r="A51" s="148" t="s">
        <v>721</v>
      </c>
      <c r="B51" s="149" t="s">
        <v>9</v>
      </c>
      <c r="C51" s="149" t="s">
        <v>722</v>
      </c>
      <c r="D51" s="149" t="s">
        <v>762</v>
      </c>
      <c r="E51" s="149">
        <v>1003</v>
      </c>
      <c r="F51" s="149">
        <v>779</v>
      </c>
      <c r="G51" s="149">
        <f t="shared" si="0"/>
        <v>351050</v>
      </c>
      <c r="H51" s="149">
        <f>F51*215*2</f>
        <v>334970</v>
      </c>
      <c r="I51" s="149">
        <f t="shared" si="2"/>
        <v>686020</v>
      </c>
    </row>
    <row r="52" spans="1:9">
      <c r="A52" s="148" t="s">
        <v>721</v>
      </c>
      <c r="B52" s="149" t="s">
        <v>9</v>
      </c>
      <c r="C52" s="149" t="s">
        <v>367</v>
      </c>
      <c r="D52" s="149" t="s">
        <v>763</v>
      </c>
      <c r="E52" s="149"/>
      <c r="F52" s="149">
        <v>908</v>
      </c>
      <c r="G52" s="149">
        <f t="shared" si="0"/>
        <v>0</v>
      </c>
      <c r="H52" s="149">
        <f t="shared" si="1"/>
        <v>390440</v>
      </c>
      <c r="I52" s="149">
        <f t="shared" si="2"/>
        <v>390440</v>
      </c>
    </row>
    <row r="53" spans="1:9">
      <c r="A53" s="148" t="s">
        <v>721</v>
      </c>
      <c r="B53" s="149" t="s">
        <v>9</v>
      </c>
      <c r="C53" s="149" t="s">
        <v>367</v>
      </c>
      <c r="D53" s="149" t="s">
        <v>764</v>
      </c>
      <c r="E53" s="149"/>
      <c r="F53" s="149">
        <v>1158</v>
      </c>
      <c r="G53" s="149">
        <f t="shared" si="0"/>
        <v>0</v>
      </c>
      <c r="H53" s="149">
        <f t="shared" si="1"/>
        <v>497940</v>
      </c>
      <c r="I53" s="149">
        <f t="shared" si="2"/>
        <v>497940</v>
      </c>
    </row>
    <row r="54" spans="1:9">
      <c r="A54" s="148" t="s">
        <v>721</v>
      </c>
      <c r="B54" s="149" t="s">
        <v>9</v>
      </c>
      <c r="C54" s="149" t="s">
        <v>367</v>
      </c>
      <c r="D54" s="149" t="s">
        <v>765</v>
      </c>
      <c r="E54" s="149"/>
      <c r="F54" s="149">
        <v>1289</v>
      </c>
      <c r="G54" s="149">
        <f t="shared" si="0"/>
        <v>0</v>
      </c>
      <c r="H54" s="149">
        <f t="shared" si="1"/>
        <v>554270</v>
      </c>
      <c r="I54" s="149">
        <f t="shared" si="2"/>
        <v>554270</v>
      </c>
    </row>
    <row r="55" spans="1:9">
      <c r="A55" s="148"/>
      <c r="B55" s="150" t="s">
        <v>525</v>
      </c>
      <c r="C55" s="150"/>
      <c r="D55" s="150"/>
      <c r="E55" s="150">
        <f>SUBTOTAL(9,E47:E54)</f>
        <v>7046</v>
      </c>
      <c r="F55" s="150">
        <f>SUBTOTAL(9,F47:F54)</f>
        <v>4134</v>
      </c>
      <c r="G55" s="150">
        <f>SUBTOTAL(9,G47:G54)</f>
        <v>2466100</v>
      </c>
      <c r="H55" s="150">
        <f>SUBTOTAL(9,H47:H54)</f>
        <v>1777620</v>
      </c>
      <c r="I55" s="150">
        <f>SUBTOTAL(9,I47:I54)</f>
        <v>4243720</v>
      </c>
    </row>
    <row r="56" spans="1:9">
      <c r="A56" s="148" t="s">
        <v>721</v>
      </c>
      <c r="B56" s="149" t="s">
        <v>10</v>
      </c>
      <c r="C56" s="149" t="s">
        <v>372</v>
      </c>
      <c r="D56" s="149" t="s">
        <v>766</v>
      </c>
      <c r="E56" s="149">
        <v>1116</v>
      </c>
      <c r="F56" s="149"/>
      <c r="G56" s="149">
        <f t="shared" si="0"/>
        <v>390600</v>
      </c>
      <c r="H56" s="149">
        <f t="shared" si="1"/>
        <v>0</v>
      </c>
      <c r="I56" s="149">
        <f t="shared" si="2"/>
        <v>390600</v>
      </c>
    </row>
    <row r="57" spans="1:9">
      <c r="A57" s="148" t="s">
        <v>721</v>
      </c>
      <c r="B57" s="149" t="s">
        <v>10</v>
      </c>
      <c r="C57" s="149" t="s">
        <v>372</v>
      </c>
      <c r="D57" s="149" t="s">
        <v>767</v>
      </c>
      <c r="E57" s="149">
        <v>1075</v>
      </c>
      <c r="F57" s="149"/>
      <c r="G57" s="149">
        <f t="shared" si="0"/>
        <v>376250</v>
      </c>
      <c r="H57" s="149">
        <f t="shared" si="1"/>
        <v>0</v>
      </c>
      <c r="I57" s="149">
        <f t="shared" si="2"/>
        <v>376250</v>
      </c>
    </row>
    <row r="58" spans="1:9">
      <c r="A58" s="148" t="s">
        <v>721</v>
      </c>
      <c r="B58" s="149" t="s">
        <v>10</v>
      </c>
      <c r="C58" s="149" t="s">
        <v>722</v>
      </c>
      <c r="D58" s="149" t="s">
        <v>768</v>
      </c>
      <c r="E58" s="149">
        <v>735</v>
      </c>
      <c r="F58" s="149">
        <v>527</v>
      </c>
      <c r="G58" s="149">
        <f t="shared" si="0"/>
        <v>257250</v>
      </c>
      <c r="H58" s="149">
        <f t="shared" si="1"/>
        <v>226610</v>
      </c>
      <c r="I58" s="149">
        <f t="shared" si="2"/>
        <v>483860</v>
      </c>
    </row>
    <row r="59" spans="1:9">
      <c r="A59" s="148" t="s">
        <v>721</v>
      </c>
      <c r="B59" s="149" t="s">
        <v>10</v>
      </c>
      <c r="C59" s="149" t="s">
        <v>367</v>
      </c>
      <c r="D59" s="149" t="s">
        <v>769</v>
      </c>
      <c r="E59" s="149"/>
      <c r="F59" s="149">
        <v>738</v>
      </c>
      <c r="G59" s="149">
        <f t="shared" si="0"/>
        <v>0</v>
      </c>
      <c r="H59" s="149">
        <f t="shared" si="1"/>
        <v>317340</v>
      </c>
      <c r="I59" s="149">
        <f t="shared" si="2"/>
        <v>317340</v>
      </c>
    </row>
    <row r="60" spans="1:9">
      <c r="A60" s="148" t="s">
        <v>721</v>
      </c>
      <c r="B60" s="149" t="s">
        <v>10</v>
      </c>
      <c r="C60" s="149" t="s">
        <v>367</v>
      </c>
      <c r="D60" s="149" t="s">
        <v>770</v>
      </c>
      <c r="E60" s="149"/>
      <c r="F60" s="149">
        <v>666</v>
      </c>
      <c r="G60" s="149">
        <f t="shared" si="0"/>
        <v>0</v>
      </c>
      <c r="H60" s="149">
        <f t="shared" si="1"/>
        <v>286380</v>
      </c>
      <c r="I60" s="149">
        <f t="shared" si="2"/>
        <v>286380</v>
      </c>
    </row>
    <row r="61" spans="1:9">
      <c r="B61" s="150" t="s">
        <v>527</v>
      </c>
      <c r="C61" s="150"/>
      <c r="D61" s="150"/>
      <c r="E61" s="150">
        <f>SUBTOTAL(9,E56:E60)</f>
        <v>2926</v>
      </c>
      <c r="F61" s="150">
        <f>SUBTOTAL(9,F56:F60)</f>
        <v>1931</v>
      </c>
      <c r="G61" s="150">
        <f>SUBTOTAL(9,G56:G60)</f>
        <v>1024100</v>
      </c>
      <c r="H61" s="150">
        <f>SUBTOTAL(9,H56:H60)</f>
        <v>830330</v>
      </c>
      <c r="I61" s="150">
        <f>SUBTOTAL(9,I56:I60)</f>
        <v>1854430</v>
      </c>
    </row>
    <row r="62" spans="1:9">
      <c r="B62" s="150" t="s">
        <v>492</v>
      </c>
      <c r="C62" s="150"/>
      <c r="D62" s="150"/>
      <c r="E62" s="150">
        <f>SUBTOTAL(9,E3:E60)</f>
        <v>43186</v>
      </c>
      <c r="F62" s="150">
        <f>SUBTOTAL(9,F3:F60)</f>
        <v>27610</v>
      </c>
      <c r="G62" s="150">
        <f>SUBTOTAL(9,G3:G60)</f>
        <v>15115100</v>
      </c>
      <c r="H62" s="150">
        <f>SUBTOTAL(9,H3:H60)</f>
        <v>11872300</v>
      </c>
      <c r="I62" s="150">
        <f>SUBTOTAL(9,I3:I60)</f>
        <v>26987400</v>
      </c>
    </row>
  </sheetData>
  <mergeCells count="1">
    <mergeCell ref="A1:I1"/>
  </mergeCells>
  <phoneticPr fontId="1" type="noConversion"/>
  <hyperlinks>
    <hyperlink ref="D12" r:id="rId1"/>
  </hyperlinks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2"/>
  <headerFooter>
    <oddFooter>第 &amp;P 页，共 &amp;N 页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>
  <dimension ref="A1:L73"/>
  <sheetViews>
    <sheetView workbookViewId="0">
      <selection activeCell="A5" sqref="A5:XFD72"/>
    </sheetView>
  </sheetViews>
  <sheetFormatPr defaultColWidth="9" defaultRowHeight="13.5"/>
  <cols>
    <col min="1" max="1" width="4.625" style="182" customWidth="1"/>
    <col min="2" max="2" width="20.375" style="170" customWidth="1"/>
    <col min="3" max="3" width="8.625" style="170" customWidth="1"/>
    <col min="4" max="12" width="10.625" style="170" customWidth="1"/>
    <col min="13" max="16384" width="9" style="170"/>
  </cols>
  <sheetData>
    <row r="1" spans="1:12" ht="28.5" customHeight="1">
      <c r="A1" s="510" t="s">
        <v>926</v>
      </c>
      <c r="B1" s="510"/>
      <c r="C1" s="510"/>
      <c r="D1" s="510"/>
      <c r="E1" s="510"/>
      <c r="F1" s="510"/>
      <c r="G1" s="510"/>
      <c r="H1" s="510"/>
      <c r="I1" s="510"/>
      <c r="J1" s="510"/>
      <c r="K1" s="510"/>
      <c r="L1" s="510"/>
    </row>
    <row r="2" spans="1:12" ht="13.5" customHeight="1">
      <c r="A2" s="511" t="s">
        <v>12</v>
      </c>
      <c r="B2" s="511" t="s">
        <v>772</v>
      </c>
      <c r="C2" s="511" t="s">
        <v>591</v>
      </c>
      <c r="D2" s="513" t="s">
        <v>822</v>
      </c>
      <c r="E2" s="513"/>
      <c r="F2" s="513"/>
      <c r="G2" s="513"/>
      <c r="H2" s="513"/>
      <c r="I2" s="513"/>
      <c r="J2" s="513"/>
      <c r="K2" s="513"/>
      <c r="L2" s="514" t="s">
        <v>823</v>
      </c>
    </row>
    <row r="3" spans="1:12" ht="13.5" customHeight="1">
      <c r="A3" s="511"/>
      <c r="B3" s="511"/>
      <c r="C3" s="511"/>
      <c r="D3" s="171" t="s">
        <v>824</v>
      </c>
      <c r="E3" s="171" t="s">
        <v>825</v>
      </c>
      <c r="F3" s="171" t="s">
        <v>826</v>
      </c>
      <c r="G3" s="171" t="s">
        <v>827</v>
      </c>
      <c r="H3" s="171" t="s">
        <v>828</v>
      </c>
      <c r="I3" s="171" t="s">
        <v>829</v>
      </c>
      <c r="J3" s="171" t="s">
        <v>830</v>
      </c>
      <c r="K3" s="172" t="s">
        <v>608</v>
      </c>
      <c r="L3" s="515"/>
    </row>
    <row r="4" spans="1:12">
      <c r="A4" s="512"/>
      <c r="B4" s="512"/>
      <c r="C4" s="512"/>
      <c r="D4" s="171" t="s">
        <v>831</v>
      </c>
      <c r="E4" s="171" t="s">
        <v>831</v>
      </c>
      <c r="F4" s="171" t="s">
        <v>831</v>
      </c>
      <c r="G4" s="171" t="s">
        <v>831</v>
      </c>
      <c r="H4" s="171" t="s">
        <v>831</v>
      </c>
      <c r="I4" s="171" t="s">
        <v>831</v>
      </c>
      <c r="J4" s="171" t="s">
        <v>831</v>
      </c>
      <c r="K4" s="171" t="s">
        <v>831</v>
      </c>
      <c r="L4" s="516" t="s">
        <v>831</v>
      </c>
    </row>
    <row r="5" spans="1:12" ht="18" customHeight="1">
      <c r="A5" s="173">
        <v>1</v>
      </c>
      <c r="B5" s="156" t="s">
        <v>775</v>
      </c>
      <c r="C5" s="156" t="s">
        <v>370</v>
      </c>
      <c r="D5" s="174"/>
      <c r="E5" s="175">
        <v>18318</v>
      </c>
      <c r="F5" s="174"/>
      <c r="G5" s="174"/>
      <c r="H5" s="175">
        <v>18004.5</v>
      </c>
      <c r="I5" s="174"/>
      <c r="J5" s="176">
        <v>1545</v>
      </c>
      <c r="K5" s="177">
        <f>D5+E5+F5+G5+H5+I5+J5</f>
        <v>37867.5</v>
      </c>
      <c r="L5" s="177">
        <f>K5*2</f>
        <v>75735</v>
      </c>
    </row>
    <row r="6" spans="1:12" ht="18" customHeight="1">
      <c r="A6" s="173"/>
      <c r="B6" s="156" t="s">
        <v>776</v>
      </c>
      <c r="C6" s="156" t="s">
        <v>370</v>
      </c>
      <c r="D6" s="174"/>
      <c r="E6" s="175">
        <v>10467</v>
      </c>
      <c r="F6" s="174"/>
      <c r="G6" s="174"/>
      <c r="H6" s="175">
        <v>7240</v>
      </c>
      <c r="I6" s="174"/>
      <c r="J6" s="178"/>
      <c r="K6" s="177">
        <f t="shared" ref="K6:K69" si="0">D6+E6+F6+G6+H6+I6+J6</f>
        <v>17707</v>
      </c>
      <c r="L6" s="177">
        <f t="shared" ref="L6:L69" si="1">K6*2</f>
        <v>35414</v>
      </c>
    </row>
    <row r="7" spans="1:12" ht="18" customHeight="1">
      <c r="A7" s="159"/>
      <c r="B7" s="160" t="s">
        <v>682</v>
      </c>
      <c r="C7" s="161"/>
      <c r="D7" s="179">
        <f t="shared" ref="D7:L7" si="2">SUM(D5:D6)</f>
        <v>0</v>
      </c>
      <c r="E7" s="179">
        <f t="shared" si="2"/>
        <v>28785</v>
      </c>
      <c r="F7" s="179">
        <f t="shared" si="2"/>
        <v>0</v>
      </c>
      <c r="G7" s="179">
        <f t="shared" si="2"/>
        <v>0</v>
      </c>
      <c r="H7" s="179">
        <f t="shared" si="2"/>
        <v>25244.5</v>
      </c>
      <c r="I7" s="179">
        <f t="shared" si="2"/>
        <v>0</v>
      </c>
      <c r="J7" s="179">
        <f t="shared" si="2"/>
        <v>1545</v>
      </c>
      <c r="K7" s="179">
        <f t="shared" si="2"/>
        <v>55574.5</v>
      </c>
      <c r="L7" s="179">
        <f t="shared" si="2"/>
        <v>111149</v>
      </c>
    </row>
    <row r="8" spans="1:12" ht="18" customHeight="1">
      <c r="A8" s="173">
        <v>1</v>
      </c>
      <c r="B8" s="156" t="s">
        <v>777</v>
      </c>
      <c r="C8" s="156" t="s">
        <v>372</v>
      </c>
      <c r="D8" s="175"/>
      <c r="E8" s="175">
        <v>14055</v>
      </c>
      <c r="F8" s="175"/>
      <c r="G8" s="175"/>
      <c r="H8" s="175"/>
      <c r="I8" s="175"/>
      <c r="J8" s="176"/>
      <c r="K8" s="177">
        <f t="shared" si="0"/>
        <v>14055</v>
      </c>
      <c r="L8" s="177">
        <f t="shared" si="1"/>
        <v>28110</v>
      </c>
    </row>
    <row r="9" spans="1:12" ht="18" customHeight="1">
      <c r="A9" s="173">
        <v>2</v>
      </c>
      <c r="B9" s="156" t="s">
        <v>677</v>
      </c>
      <c r="C9" s="156" t="s">
        <v>372</v>
      </c>
      <c r="D9" s="175"/>
      <c r="E9" s="175">
        <v>2050</v>
      </c>
      <c r="F9" s="175"/>
      <c r="G9" s="175"/>
      <c r="H9" s="175"/>
      <c r="I9" s="175"/>
      <c r="J9" s="176"/>
      <c r="K9" s="177">
        <f t="shared" si="0"/>
        <v>2050</v>
      </c>
      <c r="L9" s="177">
        <f t="shared" si="1"/>
        <v>4100</v>
      </c>
    </row>
    <row r="10" spans="1:12" ht="18" customHeight="1">
      <c r="A10" s="159"/>
      <c r="B10" s="160" t="s">
        <v>678</v>
      </c>
      <c r="C10" s="161"/>
      <c r="D10" s="179">
        <f t="shared" ref="D10:L10" si="3">SUM(D8:D9)</f>
        <v>0</v>
      </c>
      <c r="E10" s="179">
        <f t="shared" si="3"/>
        <v>16105</v>
      </c>
      <c r="F10" s="179">
        <f t="shared" si="3"/>
        <v>0</v>
      </c>
      <c r="G10" s="179">
        <f t="shared" si="3"/>
        <v>0</v>
      </c>
      <c r="H10" s="179">
        <f t="shared" si="3"/>
        <v>0</v>
      </c>
      <c r="I10" s="179">
        <f t="shared" si="3"/>
        <v>0</v>
      </c>
      <c r="J10" s="179">
        <f t="shared" si="3"/>
        <v>0</v>
      </c>
      <c r="K10" s="179">
        <f t="shared" si="3"/>
        <v>16105</v>
      </c>
      <c r="L10" s="179">
        <f t="shared" si="3"/>
        <v>32210</v>
      </c>
    </row>
    <row r="11" spans="1:12" ht="18" customHeight="1">
      <c r="A11" s="173">
        <v>1</v>
      </c>
      <c r="B11" s="156" t="s">
        <v>778</v>
      </c>
      <c r="C11" s="156" t="s">
        <v>372</v>
      </c>
      <c r="D11" s="175">
        <v>1525</v>
      </c>
      <c r="E11" s="175">
        <v>8435</v>
      </c>
      <c r="F11" s="175"/>
      <c r="G11" s="175"/>
      <c r="H11" s="175"/>
      <c r="I11" s="175"/>
      <c r="J11" s="176"/>
      <c r="K11" s="177">
        <f t="shared" si="0"/>
        <v>9960</v>
      </c>
      <c r="L11" s="177">
        <f t="shared" si="1"/>
        <v>19920</v>
      </c>
    </row>
    <row r="12" spans="1:12" ht="18" customHeight="1">
      <c r="A12" s="173">
        <v>2</v>
      </c>
      <c r="B12" s="156" t="s">
        <v>779</v>
      </c>
      <c r="C12" s="156" t="s">
        <v>372</v>
      </c>
      <c r="D12" s="175">
        <v>1545</v>
      </c>
      <c r="E12" s="175">
        <v>8575</v>
      </c>
      <c r="F12" s="175"/>
      <c r="G12" s="175"/>
      <c r="H12" s="175">
        <v>1545</v>
      </c>
      <c r="I12" s="175"/>
      <c r="J12" s="176"/>
      <c r="K12" s="177">
        <f t="shared" si="0"/>
        <v>11665</v>
      </c>
      <c r="L12" s="177">
        <f t="shared" si="1"/>
        <v>23330</v>
      </c>
    </row>
    <row r="13" spans="1:12" ht="18" customHeight="1">
      <c r="A13" s="173">
        <v>3</v>
      </c>
      <c r="B13" s="156" t="s">
        <v>780</v>
      </c>
      <c r="C13" s="156" t="s">
        <v>372</v>
      </c>
      <c r="D13" s="175">
        <v>1820</v>
      </c>
      <c r="E13" s="175">
        <v>1820</v>
      </c>
      <c r="F13" s="174"/>
      <c r="G13" s="174"/>
      <c r="H13" s="174"/>
      <c r="I13" s="174"/>
      <c r="J13" s="176">
        <v>5306</v>
      </c>
      <c r="K13" s="177">
        <f t="shared" si="0"/>
        <v>8946</v>
      </c>
      <c r="L13" s="177">
        <f t="shared" si="1"/>
        <v>17892</v>
      </c>
    </row>
    <row r="14" spans="1:12" ht="18" customHeight="1">
      <c r="A14" s="173">
        <v>4</v>
      </c>
      <c r="B14" s="156" t="s">
        <v>781</v>
      </c>
      <c r="C14" s="156" t="s">
        <v>372</v>
      </c>
      <c r="D14" s="175"/>
      <c r="E14" s="175">
        <v>3250</v>
      </c>
      <c r="F14" s="175">
        <v>2518</v>
      </c>
      <c r="G14" s="175"/>
      <c r="H14" s="175">
        <v>4143</v>
      </c>
      <c r="I14" s="175">
        <v>1625</v>
      </c>
      <c r="J14" s="176">
        <v>1625</v>
      </c>
      <c r="K14" s="177">
        <f t="shared" si="0"/>
        <v>13161</v>
      </c>
      <c r="L14" s="177">
        <f t="shared" si="1"/>
        <v>26322</v>
      </c>
    </row>
    <row r="15" spans="1:12" ht="18" customHeight="1">
      <c r="A15" s="173">
        <v>5</v>
      </c>
      <c r="B15" s="156" t="s">
        <v>782</v>
      </c>
      <c r="C15" s="156" t="s">
        <v>372</v>
      </c>
      <c r="D15" s="175"/>
      <c r="E15" s="175">
        <v>14880</v>
      </c>
      <c r="F15" s="175"/>
      <c r="G15" s="175"/>
      <c r="H15" s="175">
        <v>3080</v>
      </c>
      <c r="I15" s="175"/>
      <c r="J15" s="176"/>
      <c r="K15" s="177">
        <f t="shared" si="0"/>
        <v>17960</v>
      </c>
      <c r="L15" s="177">
        <f t="shared" si="1"/>
        <v>35920</v>
      </c>
    </row>
    <row r="16" spans="1:12" ht="18" customHeight="1">
      <c r="A16" s="173">
        <v>6</v>
      </c>
      <c r="B16" s="156" t="s">
        <v>783</v>
      </c>
      <c r="C16" s="163" t="s">
        <v>367</v>
      </c>
      <c r="D16" s="175"/>
      <c r="E16" s="175">
        <v>22653</v>
      </c>
      <c r="F16" s="175"/>
      <c r="G16" s="175"/>
      <c r="H16" s="175">
        <v>10601</v>
      </c>
      <c r="I16" s="175"/>
      <c r="J16" s="176">
        <v>3013</v>
      </c>
      <c r="K16" s="177">
        <f t="shared" si="0"/>
        <v>36267</v>
      </c>
      <c r="L16" s="177">
        <f t="shared" si="1"/>
        <v>72534</v>
      </c>
    </row>
    <row r="17" spans="1:12" ht="18" customHeight="1">
      <c r="A17" s="173">
        <v>7</v>
      </c>
      <c r="B17" s="156" t="s">
        <v>784</v>
      </c>
      <c r="C17" s="163" t="s">
        <v>367</v>
      </c>
      <c r="D17" s="175"/>
      <c r="E17" s="175">
        <v>24100</v>
      </c>
      <c r="F17" s="175"/>
      <c r="G17" s="175">
        <v>13285</v>
      </c>
      <c r="H17" s="175">
        <v>7415</v>
      </c>
      <c r="I17" s="175"/>
      <c r="J17" s="176"/>
      <c r="K17" s="177">
        <f t="shared" si="0"/>
        <v>44800</v>
      </c>
      <c r="L17" s="177">
        <f t="shared" si="1"/>
        <v>89600</v>
      </c>
    </row>
    <row r="18" spans="1:12" ht="18" customHeight="1">
      <c r="A18" s="173">
        <v>8</v>
      </c>
      <c r="B18" s="156" t="s">
        <v>785</v>
      </c>
      <c r="C18" s="163" t="s">
        <v>367</v>
      </c>
      <c r="D18" s="175"/>
      <c r="E18" s="175">
        <v>17845</v>
      </c>
      <c r="F18" s="175">
        <v>1525</v>
      </c>
      <c r="G18" s="175"/>
      <c r="H18" s="175"/>
      <c r="I18" s="175"/>
      <c r="J18" s="176"/>
      <c r="K18" s="177">
        <f t="shared" si="0"/>
        <v>19370</v>
      </c>
      <c r="L18" s="177">
        <f t="shared" si="1"/>
        <v>38740</v>
      </c>
    </row>
    <row r="19" spans="1:12" ht="18" customHeight="1">
      <c r="A19" s="173">
        <v>9</v>
      </c>
      <c r="B19" s="156" t="s">
        <v>786</v>
      </c>
      <c r="C19" s="163" t="s">
        <v>367</v>
      </c>
      <c r="D19" s="175"/>
      <c r="E19" s="175">
        <v>20760</v>
      </c>
      <c r="F19" s="175"/>
      <c r="G19" s="175"/>
      <c r="H19" s="175">
        <v>14580</v>
      </c>
      <c r="I19" s="175"/>
      <c r="J19" s="176"/>
      <c r="K19" s="177">
        <f t="shared" si="0"/>
        <v>35340</v>
      </c>
      <c r="L19" s="177">
        <f t="shared" si="1"/>
        <v>70680</v>
      </c>
    </row>
    <row r="20" spans="1:12" ht="18" customHeight="1">
      <c r="A20" s="173">
        <v>10</v>
      </c>
      <c r="B20" s="156" t="s">
        <v>734</v>
      </c>
      <c r="C20" s="156" t="s">
        <v>370</v>
      </c>
      <c r="D20" s="175"/>
      <c r="E20" s="175"/>
      <c r="F20" s="175"/>
      <c r="G20" s="175"/>
      <c r="H20" s="175">
        <v>3370</v>
      </c>
      <c r="I20" s="175"/>
      <c r="J20" s="175"/>
      <c r="K20" s="177">
        <f t="shared" si="0"/>
        <v>3370</v>
      </c>
      <c r="L20" s="177">
        <f t="shared" si="1"/>
        <v>6740</v>
      </c>
    </row>
    <row r="21" spans="1:12" ht="18" customHeight="1">
      <c r="A21" s="159"/>
      <c r="B21" s="160" t="s">
        <v>672</v>
      </c>
      <c r="C21" s="161"/>
      <c r="D21" s="179">
        <f t="shared" ref="D21:L21" si="4">SUM(D11:D20)</f>
        <v>4890</v>
      </c>
      <c r="E21" s="179">
        <f t="shared" si="4"/>
        <v>122318</v>
      </c>
      <c r="F21" s="179">
        <f t="shared" si="4"/>
        <v>4043</v>
      </c>
      <c r="G21" s="179">
        <f t="shared" si="4"/>
        <v>13285</v>
      </c>
      <c r="H21" s="179">
        <f t="shared" si="4"/>
        <v>44734</v>
      </c>
      <c r="I21" s="179">
        <f t="shared" si="4"/>
        <v>1625</v>
      </c>
      <c r="J21" s="179">
        <f t="shared" si="4"/>
        <v>9944</v>
      </c>
      <c r="K21" s="179">
        <f t="shared" si="4"/>
        <v>200839</v>
      </c>
      <c r="L21" s="179">
        <f t="shared" si="4"/>
        <v>401678</v>
      </c>
    </row>
    <row r="22" spans="1:12" ht="18" customHeight="1">
      <c r="A22" s="173">
        <v>1</v>
      </c>
      <c r="B22" s="156" t="s">
        <v>259</v>
      </c>
      <c r="C22" s="156" t="s">
        <v>372</v>
      </c>
      <c r="D22" s="175">
        <v>4165</v>
      </c>
      <c r="E22" s="175">
        <v>51700</v>
      </c>
      <c r="F22" s="175"/>
      <c r="G22" s="175"/>
      <c r="H22" s="175">
        <v>6500</v>
      </c>
      <c r="I22" s="175">
        <v>1625</v>
      </c>
      <c r="J22" s="176">
        <v>3250</v>
      </c>
      <c r="K22" s="177">
        <f t="shared" si="0"/>
        <v>67240</v>
      </c>
      <c r="L22" s="177">
        <f t="shared" si="1"/>
        <v>134480</v>
      </c>
    </row>
    <row r="23" spans="1:12" ht="18" customHeight="1">
      <c r="A23" s="173">
        <v>2</v>
      </c>
      <c r="B23" s="156" t="s">
        <v>789</v>
      </c>
      <c r="C23" s="156" t="s">
        <v>372</v>
      </c>
      <c r="D23" s="175">
        <v>3890</v>
      </c>
      <c r="E23" s="175">
        <v>43170</v>
      </c>
      <c r="F23" s="175"/>
      <c r="G23" s="175"/>
      <c r="H23" s="175">
        <v>2410</v>
      </c>
      <c r="I23" s="175">
        <v>1480</v>
      </c>
      <c r="J23" s="176">
        <v>1480</v>
      </c>
      <c r="K23" s="177">
        <f t="shared" si="0"/>
        <v>52430</v>
      </c>
      <c r="L23" s="177">
        <f t="shared" si="1"/>
        <v>104860</v>
      </c>
    </row>
    <row r="24" spans="1:12" ht="18" customHeight="1">
      <c r="A24" s="173">
        <v>3</v>
      </c>
      <c r="B24" s="156" t="s">
        <v>790</v>
      </c>
      <c r="C24" s="156" t="s">
        <v>372</v>
      </c>
      <c r="D24" s="175">
        <v>6835</v>
      </c>
      <c r="E24" s="175">
        <v>49110</v>
      </c>
      <c r="F24" s="175"/>
      <c r="G24" s="175"/>
      <c r="H24" s="175">
        <v>5855</v>
      </c>
      <c r="I24" s="175"/>
      <c r="J24" s="176">
        <v>4230</v>
      </c>
      <c r="K24" s="177">
        <f t="shared" si="0"/>
        <v>66030</v>
      </c>
      <c r="L24" s="177">
        <f t="shared" si="1"/>
        <v>132060</v>
      </c>
    </row>
    <row r="25" spans="1:12" ht="18" customHeight="1">
      <c r="A25" s="173">
        <v>4</v>
      </c>
      <c r="B25" s="156" t="s">
        <v>791</v>
      </c>
      <c r="C25" s="156" t="s">
        <v>372</v>
      </c>
      <c r="D25" s="175">
        <v>3860</v>
      </c>
      <c r="E25" s="175">
        <v>17700</v>
      </c>
      <c r="F25" s="175"/>
      <c r="G25" s="175"/>
      <c r="H25" s="175">
        <v>4660</v>
      </c>
      <c r="I25" s="175"/>
      <c r="J25" s="176">
        <v>1530</v>
      </c>
      <c r="K25" s="177">
        <f t="shared" si="0"/>
        <v>27750</v>
      </c>
      <c r="L25" s="177">
        <f t="shared" si="1"/>
        <v>55500</v>
      </c>
    </row>
    <row r="26" spans="1:12" ht="18" customHeight="1">
      <c r="A26" s="173">
        <v>5</v>
      </c>
      <c r="B26" s="156" t="s">
        <v>652</v>
      </c>
      <c r="C26" s="156" t="s">
        <v>372</v>
      </c>
      <c r="D26" s="175">
        <v>6040</v>
      </c>
      <c r="E26" s="175">
        <v>31406</v>
      </c>
      <c r="F26" s="175"/>
      <c r="G26" s="175"/>
      <c r="H26" s="175">
        <v>1570</v>
      </c>
      <c r="I26" s="175"/>
      <c r="J26" s="176">
        <v>4586</v>
      </c>
      <c r="K26" s="177">
        <f t="shared" si="0"/>
        <v>43602</v>
      </c>
      <c r="L26" s="177">
        <f t="shared" si="1"/>
        <v>87204</v>
      </c>
    </row>
    <row r="27" spans="1:12" ht="18" customHeight="1">
      <c r="A27" s="173">
        <v>6</v>
      </c>
      <c r="B27" s="156" t="s">
        <v>793</v>
      </c>
      <c r="C27" s="163" t="s">
        <v>367</v>
      </c>
      <c r="D27" s="175">
        <v>7515</v>
      </c>
      <c r="E27" s="175">
        <v>112115</v>
      </c>
      <c r="F27" s="174"/>
      <c r="G27" s="174"/>
      <c r="H27" s="175">
        <v>2945</v>
      </c>
      <c r="I27" s="174"/>
      <c r="J27" s="175">
        <v>2945</v>
      </c>
      <c r="K27" s="177">
        <f t="shared" si="0"/>
        <v>125520</v>
      </c>
      <c r="L27" s="177">
        <f t="shared" si="1"/>
        <v>251040</v>
      </c>
    </row>
    <row r="28" spans="1:12" ht="18" customHeight="1">
      <c r="A28" s="173">
        <v>7</v>
      </c>
      <c r="B28" s="156" t="s">
        <v>794</v>
      </c>
      <c r="C28" s="163" t="s">
        <v>367</v>
      </c>
      <c r="D28" s="175">
        <v>3440</v>
      </c>
      <c r="E28" s="175">
        <v>89555</v>
      </c>
      <c r="F28" s="175"/>
      <c r="G28" s="175">
        <v>1915</v>
      </c>
      <c r="H28" s="175">
        <v>5855</v>
      </c>
      <c r="I28" s="175">
        <v>1525</v>
      </c>
      <c r="J28" s="176">
        <v>2770</v>
      </c>
      <c r="K28" s="177">
        <f t="shared" si="0"/>
        <v>105060</v>
      </c>
      <c r="L28" s="177">
        <f t="shared" si="1"/>
        <v>210120</v>
      </c>
    </row>
    <row r="29" spans="1:12" ht="18" customHeight="1">
      <c r="A29" s="173">
        <v>8</v>
      </c>
      <c r="B29" s="156" t="s">
        <v>795</v>
      </c>
      <c r="C29" s="163" t="s">
        <v>367</v>
      </c>
      <c r="D29" s="175">
        <v>12195</v>
      </c>
      <c r="E29" s="175">
        <v>34555</v>
      </c>
      <c r="F29" s="175"/>
      <c r="G29" s="175"/>
      <c r="H29" s="175"/>
      <c r="I29" s="175">
        <v>1525</v>
      </c>
      <c r="J29" s="176"/>
      <c r="K29" s="177">
        <f t="shared" si="0"/>
        <v>48275</v>
      </c>
      <c r="L29" s="177">
        <f t="shared" si="1"/>
        <v>96550</v>
      </c>
    </row>
    <row r="30" spans="1:12" ht="18" customHeight="1">
      <c r="A30" s="173"/>
      <c r="B30" s="165" t="s">
        <v>797</v>
      </c>
      <c r="C30" s="156" t="s">
        <v>370</v>
      </c>
      <c r="D30" s="175"/>
      <c r="E30" s="175">
        <v>3150</v>
      </c>
      <c r="F30" s="175"/>
      <c r="G30" s="175"/>
      <c r="H30" s="175"/>
      <c r="I30" s="175"/>
      <c r="J30" s="175"/>
      <c r="K30" s="177">
        <f t="shared" si="0"/>
        <v>3150</v>
      </c>
      <c r="L30" s="177">
        <f t="shared" si="1"/>
        <v>6300</v>
      </c>
    </row>
    <row r="31" spans="1:12" ht="18" customHeight="1">
      <c r="A31" s="173">
        <v>9</v>
      </c>
      <c r="B31" s="165" t="s">
        <v>832</v>
      </c>
      <c r="C31" s="156" t="s">
        <v>370</v>
      </c>
      <c r="D31" s="175">
        <v>2450</v>
      </c>
      <c r="E31" s="175">
        <v>20390</v>
      </c>
      <c r="F31" s="175"/>
      <c r="G31" s="175"/>
      <c r="H31" s="175">
        <v>2450</v>
      </c>
      <c r="I31" s="175"/>
      <c r="J31" s="175">
        <v>2450</v>
      </c>
      <c r="K31" s="177">
        <f t="shared" si="0"/>
        <v>27740</v>
      </c>
      <c r="L31" s="177">
        <f t="shared" si="1"/>
        <v>55480</v>
      </c>
    </row>
    <row r="32" spans="1:12" ht="18" customHeight="1">
      <c r="A32" s="159"/>
      <c r="B32" s="160" t="s">
        <v>658</v>
      </c>
      <c r="C32" s="161"/>
      <c r="D32" s="179">
        <f t="shared" ref="D32:L32" si="5">SUM(D22:D31)</f>
        <v>50390</v>
      </c>
      <c r="E32" s="179">
        <f t="shared" si="5"/>
        <v>452851</v>
      </c>
      <c r="F32" s="179">
        <f t="shared" si="5"/>
        <v>0</v>
      </c>
      <c r="G32" s="179">
        <f t="shared" si="5"/>
        <v>1915</v>
      </c>
      <c r="H32" s="179">
        <f t="shared" si="5"/>
        <v>32245</v>
      </c>
      <c r="I32" s="179">
        <f t="shared" si="5"/>
        <v>6155</v>
      </c>
      <c r="J32" s="179">
        <f t="shared" si="5"/>
        <v>23241</v>
      </c>
      <c r="K32" s="179">
        <f t="shared" si="5"/>
        <v>566797</v>
      </c>
      <c r="L32" s="179">
        <f t="shared" si="5"/>
        <v>1133594</v>
      </c>
    </row>
    <row r="33" spans="1:12" ht="18" customHeight="1">
      <c r="A33" s="173">
        <v>1</v>
      </c>
      <c r="B33" s="156" t="s">
        <v>799</v>
      </c>
      <c r="C33" s="156" t="s">
        <v>372</v>
      </c>
      <c r="D33" s="175"/>
      <c r="E33" s="175">
        <v>11270</v>
      </c>
      <c r="F33" s="175"/>
      <c r="G33" s="175"/>
      <c r="H33" s="175"/>
      <c r="I33" s="175"/>
      <c r="J33" s="176">
        <v>1525</v>
      </c>
      <c r="K33" s="177">
        <f t="shared" si="0"/>
        <v>12795</v>
      </c>
      <c r="L33" s="177">
        <f t="shared" si="1"/>
        <v>25590</v>
      </c>
    </row>
    <row r="34" spans="1:12" ht="18" customHeight="1">
      <c r="A34" s="173">
        <v>2</v>
      </c>
      <c r="B34" s="156" t="s">
        <v>800</v>
      </c>
      <c r="C34" s="156" t="s">
        <v>372</v>
      </c>
      <c r="D34" s="175">
        <v>7785</v>
      </c>
      <c r="E34" s="175">
        <v>18140</v>
      </c>
      <c r="F34" s="175"/>
      <c r="G34" s="175"/>
      <c r="H34" s="175"/>
      <c r="I34" s="175"/>
      <c r="J34" s="176">
        <v>2910</v>
      </c>
      <c r="K34" s="177">
        <f t="shared" si="0"/>
        <v>28835</v>
      </c>
      <c r="L34" s="177">
        <f t="shared" si="1"/>
        <v>57670</v>
      </c>
    </row>
    <row r="35" spans="1:12" ht="18" customHeight="1">
      <c r="A35" s="173">
        <v>3</v>
      </c>
      <c r="B35" s="156" t="s">
        <v>801</v>
      </c>
      <c r="C35" s="156" t="s">
        <v>372</v>
      </c>
      <c r="D35" s="175">
        <v>10799</v>
      </c>
      <c r="E35" s="175">
        <v>22114</v>
      </c>
      <c r="F35" s="175"/>
      <c r="G35" s="175"/>
      <c r="H35" s="175">
        <v>3110</v>
      </c>
      <c r="I35" s="175"/>
      <c r="J35" s="176">
        <v>4295</v>
      </c>
      <c r="K35" s="177">
        <f t="shared" si="0"/>
        <v>40318</v>
      </c>
      <c r="L35" s="177">
        <f t="shared" si="1"/>
        <v>80636</v>
      </c>
    </row>
    <row r="36" spans="1:12" ht="18" customHeight="1">
      <c r="A36" s="173">
        <v>4</v>
      </c>
      <c r="B36" s="156" t="s">
        <v>802</v>
      </c>
      <c r="C36" s="156" t="s">
        <v>372</v>
      </c>
      <c r="D36" s="174"/>
      <c r="E36" s="175">
        <v>11065</v>
      </c>
      <c r="F36" s="174"/>
      <c r="G36" s="174"/>
      <c r="H36" s="174"/>
      <c r="I36" s="174"/>
      <c r="J36" s="178"/>
      <c r="K36" s="177">
        <f t="shared" si="0"/>
        <v>11065</v>
      </c>
      <c r="L36" s="177">
        <f t="shared" si="1"/>
        <v>22130</v>
      </c>
    </row>
    <row r="37" spans="1:12" ht="18" customHeight="1">
      <c r="A37" s="173">
        <v>5</v>
      </c>
      <c r="B37" s="156" t="s">
        <v>803</v>
      </c>
      <c r="C37" s="163" t="s">
        <v>367</v>
      </c>
      <c r="D37" s="175">
        <v>1550</v>
      </c>
      <c r="E37" s="175">
        <v>9661</v>
      </c>
      <c r="F37" s="175"/>
      <c r="G37" s="175"/>
      <c r="H37" s="175">
        <v>5056</v>
      </c>
      <c r="I37" s="175"/>
      <c r="J37" s="176"/>
      <c r="K37" s="177">
        <f t="shared" si="0"/>
        <v>16267</v>
      </c>
      <c r="L37" s="177">
        <f t="shared" si="1"/>
        <v>32534</v>
      </c>
    </row>
    <row r="38" spans="1:12" ht="18" customHeight="1">
      <c r="A38" s="173">
        <v>6</v>
      </c>
      <c r="B38" s="156" t="s">
        <v>804</v>
      </c>
      <c r="C38" s="163" t="s">
        <v>367</v>
      </c>
      <c r="D38" s="175">
        <v>9420</v>
      </c>
      <c r="E38" s="175">
        <v>18840</v>
      </c>
      <c r="F38" s="175"/>
      <c r="G38" s="175"/>
      <c r="H38" s="175">
        <v>3135</v>
      </c>
      <c r="I38" s="175"/>
      <c r="J38" s="176"/>
      <c r="K38" s="177">
        <f t="shared" si="0"/>
        <v>31395</v>
      </c>
      <c r="L38" s="177">
        <f t="shared" si="1"/>
        <v>62790</v>
      </c>
    </row>
    <row r="39" spans="1:12" ht="18" customHeight="1">
      <c r="A39" s="173">
        <v>7</v>
      </c>
      <c r="B39" s="156" t="s">
        <v>805</v>
      </c>
      <c r="C39" s="163" t="s">
        <v>367</v>
      </c>
      <c r="D39" s="175">
        <v>4575</v>
      </c>
      <c r="E39" s="175">
        <v>3050</v>
      </c>
      <c r="F39" s="175"/>
      <c r="G39" s="175"/>
      <c r="H39" s="175"/>
      <c r="I39" s="175"/>
      <c r="J39" s="176">
        <v>1525</v>
      </c>
      <c r="K39" s="177">
        <f t="shared" si="0"/>
        <v>9150</v>
      </c>
      <c r="L39" s="177">
        <f t="shared" si="1"/>
        <v>18300</v>
      </c>
    </row>
    <row r="40" spans="1:12" ht="18" customHeight="1">
      <c r="A40" s="173">
        <v>8</v>
      </c>
      <c r="B40" s="156" t="s">
        <v>751</v>
      </c>
      <c r="C40" s="163" t="s">
        <v>367</v>
      </c>
      <c r="D40" s="175">
        <v>10290</v>
      </c>
      <c r="E40" s="175">
        <v>31240</v>
      </c>
      <c r="F40" s="175"/>
      <c r="G40" s="175"/>
      <c r="H40" s="175">
        <v>9150</v>
      </c>
      <c r="I40" s="175"/>
      <c r="J40" s="176"/>
      <c r="K40" s="177">
        <f t="shared" si="0"/>
        <v>50680</v>
      </c>
      <c r="L40" s="177">
        <f t="shared" si="1"/>
        <v>101360</v>
      </c>
    </row>
    <row r="41" spans="1:12" ht="18" customHeight="1">
      <c r="A41" s="159"/>
      <c r="B41" s="160" t="s">
        <v>640</v>
      </c>
      <c r="C41" s="161"/>
      <c r="D41" s="179">
        <f t="shared" ref="D41:L41" si="6">SUM(D33:D40)</f>
        <v>44419</v>
      </c>
      <c r="E41" s="179">
        <f t="shared" si="6"/>
        <v>125380</v>
      </c>
      <c r="F41" s="179">
        <f t="shared" si="6"/>
        <v>0</v>
      </c>
      <c r="G41" s="179">
        <f t="shared" si="6"/>
        <v>0</v>
      </c>
      <c r="H41" s="179">
        <f t="shared" si="6"/>
        <v>20451</v>
      </c>
      <c r="I41" s="179">
        <f t="shared" si="6"/>
        <v>0</v>
      </c>
      <c r="J41" s="179">
        <f t="shared" si="6"/>
        <v>10255</v>
      </c>
      <c r="K41" s="179">
        <f t="shared" si="6"/>
        <v>200505</v>
      </c>
      <c r="L41" s="179">
        <f t="shared" si="6"/>
        <v>401010</v>
      </c>
    </row>
    <row r="42" spans="1:12" ht="18" customHeight="1">
      <c r="A42" s="173">
        <v>1</v>
      </c>
      <c r="B42" s="156" t="s">
        <v>806</v>
      </c>
      <c r="C42" s="156" t="s">
        <v>372</v>
      </c>
      <c r="D42" s="175">
        <v>4865</v>
      </c>
      <c r="E42" s="175">
        <v>23515</v>
      </c>
      <c r="F42" s="175"/>
      <c r="G42" s="175"/>
      <c r="H42" s="175"/>
      <c r="I42" s="175"/>
      <c r="J42" s="176"/>
      <c r="K42" s="177">
        <f t="shared" si="0"/>
        <v>28380</v>
      </c>
      <c r="L42" s="177">
        <f t="shared" si="1"/>
        <v>56760</v>
      </c>
    </row>
    <row r="43" spans="1:12" ht="18" customHeight="1">
      <c r="A43" s="173">
        <v>2</v>
      </c>
      <c r="B43" s="166" t="s">
        <v>807</v>
      </c>
      <c r="C43" s="156" t="s">
        <v>370</v>
      </c>
      <c r="D43" s="175"/>
      <c r="E43" s="175">
        <v>7525</v>
      </c>
      <c r="F43" s="175"/>
      <c r="G43" s="175"/>
      <c r="H43" s="175">
        <v>3365</v>
      </c>
      <c r="I43" s="175"/>
      <c r="J43" s="176"/>
      <c r="K43" s="177">
        <f t="shared" si="0"/>
        <v>10890</v>
      </c>
      <c r="L43" s="177">
        <f t="shared" si="1"/>
        <v>21780</v>
      </c>
    </row>
    <row r="44" spans="1:12" ht="18" customHeight="1">
      <c r="A44" s="173"/>
      <c r="B44" s="166" t="s">
        <v>808</v>
      </c>
      <c r="C44" s="156" t="s">
        <v>370</v>
      </c>
      <c r="D44" s="175">
        <v>5800</v>
      </c>
      <c r="E44" s="175">
        <v>18260</v>
      </c>
      <c r="F44" s="175"/>
      <c r="G44" s="175"/>
      <c r="H44" s="175"/>
      <c r="I44" s="175"/>
      <c r="J44" s="176">
        <v>2080</v>
      </c>
      <c r="K44" s="177">
        <f t="shared" si="0"/>
        <v>26140</v>
      </c>
      <c r="L44" s="177">
        <f t="shared" si="1"/>
        <v>52280</v>
      </c>
    </row>
    <row r="45" spans="1:12" ht="18" customHeight="1">
      <c r="A45" s="173">
        <v>3</v>
      </c>
      <c r="B45" s="156" t="s">
        <v>809</v>
      </c>
      <c r="C45" s="156" t="s">
        <v>370</v>
      </c>
      <c r="D45" s="175">
        <v>16280</v>
      </c>
      <c r="E45" s="175">
        <v>29390</v>
      </c>
      <c r="F45" s="175"/>
      <c r="G45" s="175"/>
      <c r="H45" s="175"/>
      <c r="I45" s="175"/>
      <c r="J45" s="176"/>
      <c r="K45" s="177">
        <f t="shared" si="0"/>
        <v>45670</v>
      </c>
      <c r="L45" s="177">
        <f t="shared" si="1"/>
        <v>91340</v>
      </c>
    </row>
    <row r="46" spans="1:12" ht="18" customHeight="1">
      <c r="A46" s="173"/>
      <c r="B46" s="156" t="s">
        <v>810</v>
      </c>
      <c r="C46" s="156" t="s">
        <v>370</v>
      </c>
      <c r="D46" s="175">
        <v>4370</v>
      </c>
      <c r="E46" s="175">
        <v>11525</v>
      </c>
      <c r="F46" s="175"/>
      <c r="G46" s="175"/>
      <c r="H46" s="175">
        <v>1585</v>
      </c>
      <c r="I46" s="175">
        <v>1585</v>
      </c>
      <c r="J46" s="176"/>
      <c r="K46" s="177">
        <f t="shared" si="0"/>
        <v>19065</v>
      </c>
      <c r="L46" s="177">
        <f t="shared" si="1"/>
        <v>38130</v>
      </c>
    </row>
    <row r="47" spans="1:12" ht="18" customHeight="1">
      <c r="A47" s="173">
        <v>4</v>
      </c>
      <c r="B47" s="156" t="s">
        <v>625</v>
      </c>
      <c r="C47" s="163" t="s">
        <v>367</v>
      </c>
      <c r="D47" s="175">
        <v>13700</v>
      </c>
      <c r="E47" s="175">
        <v>39569</v>
      </c>
      <c r="F47" s="175"/>
      <c r="G47" s="175"/>
      <c r="H47" s="175">
        <v>8623</v>
      </c>
      <c r="I47" s="175"/>
      <c r="J47" s="176"/>
      <c r="K47" s="177">
        <f t="shared" si="0"/>
        <v>61892</v>
      </c>
      <c r="L47" s="177">
        <f t="shared" si="1"/>
        <v>123784</v>
      </c>
    </row>
    <row r="48" spans="1:12" ht="18" customHeight="1">
      <c r="A48" s="159"/>
      <c r="B48" s="160" t="s">
        <v>628</v>
      </c>
      <c r="C48" s="161"/>
      <c r="D48" s="179">
        <f t="shared" ref="D48:J48" si="7">SUM(D42:D47)</f>
        <v>45015</v>
      </c>
      <c r="E48" s="179">
        <f t="shared" si="7"/>
        <v>129784</v>
      </c>
      <c r="F48" s="179">
        <f t="shared" si="7"/>
        <v>0</v>
      </c>
      <c r="G48" s="179">
        <f t="shared" si="7"/>
        <v>0</v>
      </c>
      <c r="H48" s="179">
        <f t="shared" si="7"/>
        <v>13573</v>
      </c>
      <c r="I48" s="179">
        <f t="shared" si="7"/>
        <v>1585</v>
      </c>
      <c r="J48" s="179">
        <f t="shared" si="7"/>
        <v>2080</v>
      </c>
      <c r="K48" s="179">
        <f>SUM(K42:K47)</f>
        <v>192037</v>
      </c>
      <c r="L48" s="179">
        <f>SUM(L42:L47)</f>
        <v>384074</v>
      </c>
    </row>
    <row r="49" spans="1:12" ht="18" customHeight="1">
      <c r="A49" s="173">
        <v>1</v>
      </c>
      <c r="B49" s="156" t="s">
        <v>811</v>
      </c>
      <c r="C49" s="156" t="s">
        <v>370</v>
      </c>
      <c r="D49" s="175">
        <v>10330</v>
      </c>
      <c r="E49" s="175">
        <v>11750</v>
      </c>
      <c r="F49" s="175"/>
      <c r="G49" s="175"/>
      <c r="H49" s="175">
        <v>2960</v>
      </c>
      <c r="I49" s="175">
        <v>1480</v>
      </c>
      <c r="J49" s="176"/>
      <c r="K49" s="177">
        <f t="shared" si="0"/>
        <v>26520</v>
      </c>
      <c r="L49" s="177">
        <f t="shared" si="1"/>
        <v>53040</v>
      </c>
    </row>
    <row r="50" spans="1:12" ht="18" customHeight="1">
      <c r="A50" s="173"/>
      <c r="B50" s="156" t="s">
        <v>812</v>
      </c>
      <c r="C50" s="156" t="s">
        <v>370</v>
      </c>
      <c r="D50" s="175">
        <v>2930</v>
      </c>
      <c r="E50" s="175">
        <v>16190</v>
      </c>
      <c r="F50" s="175"/>
      <c r="G50" s="175"/>
      <c r="H50" s="175"/>
      <c r="I50" s="175">
        <v>1480</v>
      </c>
      <c r="J50" s="176"/>
      <c r="K50" s="177">
        <f t="shared" si="0"/>
        <v>20600</v>
      </c>
      <c r="L50" s="177">
        <f t="shared" si="1"/>
        <v>41200</v>
      </c>
    </row>
    <row r="51" spans="1:12" ht="18" customHeight="1">
      <c r="A51" s="173">
        <v>2</v>
      </c>
      <c r="B51" s="156" t="s">
        <v>813</v>
      </c>
      <c r="C51" s="156" t="s">
        <v>370</v>
      </c>
      <c r="D51" s="175">
        <v>6310</v>
      </c>
      <c r="E51" s="175">
        <v>16505</v>
      </c>
      <c r="F51" s="175"/>
      <c r="G51" s="175"/>
      <c r="H51" s="175"/>
      <c r="I51" s="175"/>
      <c r="J51" s="176"/>
      <c r="K51" s="177">
        <f t="shared" si="0"/>
        <v>22815</v>
      </c>
      <c r="L51" s="177">
        <f t="shared" si="1"/>
        <v>45630</v>
      </c>
    </row>
    <row r="52" spans="1:12" ht="18" customHeight="1">
      <c r="A52" s="173"/>
      <c r="B52" s="156" t="s">
        <v>814</v>
      </c>
      <c r="C52" s="156" t="s">
        <v>370</v>
      </c>
      <c r="D52" s="175">
        <v>4510</v>
      </c>
      <c r="E52" s="175">
        <v>14790</v>
      </c>
      <c r="F52" s="175"/>
      <c r="G52" s="175"/>
      <c r="H52" s="175"/>
      <c r="I52" s="175"/>
      <c r="J52" s="176"/>
      <c r="K52" s="177">
        <f t="shared" si="0"/>
        <v>19300</v>
      </c>
      <c r="L52" s="177">
        <f t="shared" si="1"/>
        <v>38600</v>
      </c>
    </row>
    <row r="53" spans="1:12" ht="18" customHeight="1">
      <c r="A53" s="173">
        <v>3</v>
      </c>
      <c r="B53" s="156" t="s">
        <v>815</v>
      </c>
      <c r="C53" s="156" t="s">
        <v>370</v>
      </c>
      <c r="D53" s="175">
        <v>7195</v>
      </c>
      <c r="E53" s="175">
        <v>13935</v>
      </c>
      <c r="F53" s="175"/>
      <c r="G53" s="175"/>
      <c r="H53" s="175">
        <v>5665</v>
      </c>
      <c r="I53" s="175"/>
      <c r="J53" s="176"/>
      <c r="K53" s="177">
        <f t="shared" si="0"/>
        <v>26795</v>
      </c>
      <c r="L53" s="177">
        <f t="shared" si="1"/>
        <v>53590</v>
      </c>
    </row>
    <row r="54" spans="1:12" ht="18" customHeight="1">
      <c r="A54" s="173"/>
      <c r="B54" s="156" t="s">
        <v>816</v>
      </c>
      <c r="C54" s="156" t="s">
        <v>370</v>
      </c>
      <c r="D54" s="175">
        <v>4050</v>
      </c>
      <c r="E54" s="175">
        <v>12405</v>
      </c>
      <c r="F54" s="175"/>
      <c r="G54" s="175"/>
      <c r="H54" s="175">
        <v>4050</v>
      </c>
      <c r="I54" s="175"/>
      <c r="J54" s="176">
        <v>2615</v>
      </c>
      <c r="K54" s="177">
        <f t="shared" si="0"/>
        <v>23120</v>
      </c>
      <c r="L54" s="177">
        <f t="shared" si="1"/>
        <v>46240</v>
      </c>
    </row>
    <row r="55" spans="1:12" ht="18" customHeight="1">
      <c r="A55" s="159"/>
      <c r="B55" s="160" t="s">
        <v>617</v>
      </c>
      <c r="C55" s="161"/>
      <c r="D55" s="179">
        <f t="shared" ref="D55:L55" si="8">SUM(D49:D54)</f>
        <v>35325</v>
      </c>
      <c r="E55" s="179">
        <f t="shared" si="8"/>
        <v>85575</v>
      </c>
      <c r="F55" s="179">
        <f t="shared" si="8"/>
        <v>0</v>
      </c>
      <c r="G55" s="179">
        <f t="shared" si="8"/>
        <v>0</v>
      </c>
      <c r="H55" s="179">
        <f t="shared" si="8"/>
        <v>12675</v>
      </c>
      <c r="I55" s="179">
        <f t="shared" si="8"/>
        <v>2960</v>
      </c>
      <c r="J55" s="179">
        <f t="shared" si="8"/>
        <v>2615</v>
      </c>
      <c r="K55" s="179">
        <f t="shared" si="8"/>
        <v>139150</v>
      </c>
      <c r="L55" s="179">
        <f t="shared" si="8"/>
        <v>278300</v>
      </c>
    </row>
    <row r="56" spans="1:12" ht="18" customHeight="1">
      <c r="A56" s="173">
        <v>1</v>
      </c>
      <c r="B56" s="156" t="s">
        <v>817</v>
      </c>
      <c r="C56" s="156" t="s">
        <v>370</v>
      </c>
      <c r="D56" s="157"/>
      <c r="E56" s="157">
        <v>13625</v>
      </c>
      <c r="F56" s="175"/>
      <c r="G56" s="175"/>
      <c r="H56" s="175">
        <v>3620</v>
      </c>
      <c r="I56" s="175"/>
      <c r="J56" s="176"/>
      <c r="K56" s="177">
        <f t="shared" si="0"/>
        <v>17245</v>
      </c>
      <c r="L56" s="177">
        <f t="shared" si="1"/>
        <v>34490</v>
      </c>
    </row>
    <row r="57" spans="1:12" ht="18" customHeight="1">
      <c r="A57" s="173"/>
      <c r="B57" s="156" t="s">
        <v>818</v>
      </c>
      <c r="C57" s="156" t="s">
        <v>370</v>
      </c>
      <c r="D57" s="175">
        <v>4575</v>
      </c>
      <c r="E57" s="175">
        <v>8195</v>
      </c>
      <c r="F57" s="175"/>
      <c r="G57" s="175"/>
      <c r="H57" s="175"/>
      <c r="I57" s="175"/>
      <c r="J57" s="176"/>
      <c r="K57" s="177">
        <f t="shared" si="0"/>
        <v>12770</v>
      </c>
      <c r="L57" s="177">
        <f t="shared" si="1"/>
        <v>25540</v>
      </c>
    </row>
    <row r="58" spans="1:12" ht="18" customHeight="1">
      <c r="A58" s="173">
        <v>2</v>
      </c>
      <c r="B58" s="156" t="s">
        <v>295</v>
      </c>
      <c r="C58" s="156" t="s">
        <v>372</v>
      </c>
      <c r="D58" s="175">
        <v>15540</v>
      </c>
      <c r="E58" s="175">
        <v>3440</v>
      </c>
      <c r="F58" s="175"/>
      <c r="G58" s="175"/>
      <c r="H58" s="175"/>
      <c r="I58" s="175"/>
      <c r="J58" s="176"/>
      <c r="K58" s="177">
        <f t="shared" si="0"/>
        <v>18980</v>
      </c>
      <c r="L58" s="177">
        <f t="shared" si="1"/>
        <v>37960</v>
      </c>
    </row>
    <row r="59" spans="1:12" ht="18" customHeight="1">
      <c r="A59" s="173">
        <v>3</v>
      </c>
      <c r="B59" s="156" t="s">
        <v>294</v>
      </c>
      <c r="C59" s="156" t="s">
        <v>372</v>
      </c>
      <c r="D59" s="175"/>
      <c r="E59" s="175">
        <v>7705</v>
      </c>
      <c r="F59" s="175"/>
      <c r="G59" s="175"/>
      <c r="H59" s="175"/>
      <c r="I59" s="175"/>
      <c r="J59" s="176"/>
      <c r="K59" s="177">
        <f t="shared" si="0"/>
        <v>7705</v>
      </c>
      <c r="L59" s="177">
        <f t="shared" si="1"/>
        <v>15410</v>
      </c>
    </row>
    <row r="60" spans="1:12" ht="18" customHeight="1">
      <c r="A60" s="173">
        <v>4</v>
      </c>
      <c r="B60" s="156" t="s">
        <v>296</v>
      </c>
      <c r="C60" s="156" t="s">
        <v>372</v>
      </c>
      <c r="D60" s="175"/>
      <c r="E60" s="175">
        <v>18270</v>
      </c>
      <c r="F60" s="175"/>
      <c r="G60" s="175"/>
      <c r="H60" s="175">
        <v>3780</v>
      </c>
      <c r="I60" s="175"/>
      <c r="J60" s="176"/>
      <c r="K60" s="177">
        <f t="shared" si="0"/>
        <v>22050</v>
      </c>
      <c r="L60" s="177">
        <f t="shared" si="1"/>
        <v>44100</v>
      </c>
    </row>
    <row r="61" spans="1:12" ht="18" customHeight="1">
      <c r="A61" s="173">
        <v>5</v>
      </c>
      <c r="B61" s="156" t="s">
        <v>297</v>
      </c>
      <c r="C61" s="156" t="s">
        <v>372</v>
      </c>
      <c r="D61" s="175">
        <v>3245</v>
      </c>
      <c r="E61" s="175"/>
      <c r="F61" s="175"/>
      <c r="G61" s="175"/>
      <c r="H61" s="175">
        <v>3245</v>
      </c>
      <c r="I61" s="175"/>
      <c r="J61" s="176"/>
      <c r="K61" s="177">
        <f t="shared" si="0"/>
        <v>6490</v>
      </c>
      <c r="L61" s="177">
        <f t="shared" si="1"/>
        <v>12980</v>
      </c>
    </row>
    <row r="62" spans="1:12" ht="18" customHeight="1">
      <c r="A62" s="173">
        <v>6</v>
      </c>
      <c r="B62" s="156" t="s">
        <v>292</v>
      </c>
      <c r="C62" s="163" t="s">
        <v>367</v>
      </c>
      <c r="D62" s="175">
        <v>1555</v>
      </c>
      <c r="E62" s="175">
        <v>7775</v>
      </c>
      <c r="F62" s="175"/>
      <c r="G62" s="175"/>
      <c r="H62" s="175"/>
      <c r="I62" s="175"/>
      <c r="J62" s="176"/>
      <c r="K62" s="177">
        <f t="shared" si="0"/>
        <v>9330</v>
      </c>
      <c r="L62" s="177">
        <f t="shared" si="1"/>
        <v>18660</v>
      </c>
    </row>
    <row r="63" spans="1:12" ht="18" customHeight="1">
      <c r="A63" s="173">
        <v>7</v>
      </c>
      <c r="B63" s="156" t="s">
        <v>293</v>
      </c>
      <c r="C63" s="163" t="s">
        <v>367</v>
      </c>
      <c r="D63" s="175">
        <v>5905</v>
      </c>
      <c r="E63" s="175">
        <v>6100</v>
      </c>
      <c r="F63" s="175"/>
      <c r="G63" s="175"/>
      <c r="H63" s="175">
        <v>6135</v>
      </c>
      <c r="I63" s="175"/>
      <c r="J63" s="176"/>
      <c r="K63" s="177">
        <f t="shared" si="0"/>
        <v>18140</v>
      </c>
      <c r="L63" s="177">
        <f t="shared" si="1"/>
        <v>36280</v>
      </c>
    </row>
    <row r="64" spans="1:12" ht="18" customHeight="1">
      <c r="A64" s="173">
        <v>8</v>
      </c>
      <c r="B64" s="156" t="s">
        <v>691</v>
      </c>
      <c r="C64" s="163" t="s">
        <v>367</v>
      </c>
      <c r="D64" s="175"/>
      <c r="E64" s="175">
        <v>10200</v>
      </c>
      <c r="F64" s="175"/>
      <c r="G64" s="175"/>
      <c r="H64" s="175"/>
      <c r="I64" s="175"/>
      <c r="J64" s="176"/>
      <c r="K64" s="177">
        <f t="shared" si="0"/>
        <v>10200</v>
      </c>
      <c r="L64" s="177">
        <f t="shared" si="1"/>
        <v>20400</v>
      </c>
    </row>
    <row r="65" spans="1:12" ht="18" customHeight="1">
      <c r="A65" s="159"/>
      <c r="B65" s="160" t="s">
        <v>694</v>
      </c>
      <c r="C65" s="161"/>
      <c r="D65" s="179">
        <f t="shared" ref="D65:L65" si="9">SUM(D56:D64)</f>
        <v>30820</v>
      </c>
      <c r="E65" s="179">
        <f t="shared" si="9"/>
        <v>75310</v>
      </c>
      <c r="F65" s="179">
        <f t="shared" si="9"/>
        <v>0</v>
      </c>
      <c r="G65" s="179">
        <f t="shared" si="9"/>
        <v>0</v>
      </c>
      <c r="H65" s="179">
        <f t="shared" si="9"/>
        <v>16780</v>
      </c>
      <c r="I65" s="179">
        <f t="shared" si="9"/>
        <v>0</v>
      </c>
      <c r="J65" s="179">
        <f t="shared" si="9"/>
        <v>0</v>
      </c>
      <c r="K65" s="179">
        <f t="shared" si="9"/>
        <v>122910</v>
      </c>
      <c r="L65" s="179">
        <f t="shared" si="9"/>
        <v>245820</v>
      </c>
    </row>
    <row r="66" spans="1:12" ht="18" customHeight="1">
      <c r="A66" s="173">
        <v>1</v>
      </c>
      <c r="B66" s="156" t="s">
        <v>311</v>
      </c>
      <c r="C66" s="156" t="s">
        <v>372</v>
      </c>
      <c r="D66" s="175">
        <v>1605</v>
      </c>
      <c r="E66" s="175">
        <v>13485</v>
      </c>
      <c r="F66" s="174"/>
      <c r="G66" s="174"/>
      <c r="H66" s="174"/>
      <c r="I66" s="174"/>
      <c r="J66" s="178"/>
      <c r="K66" s="177">
        <f t="shared" si="0"/>
        <v>15090</v>
      </c>
      <c r="L66" s="177">
        <f t="shared" si="1"/>
        <v>30180</v>
      </c>
    </row>
    <row r="67" spans="1:12" ht="18" customHeight="1">
      <c r="A67" s="173">
        <v>2</v>
      </c>
      <c r="B67" s="156" t="s">
        <v>819</v>
      </c>
      <c r="C67" s="156" t="s">
        <v>372</v>
      </c>
      <c r="D67" s="175">
        <v>1555</v>
      </c>
      <c r="E67" s="175">
        <v>8024</v>
      </c>
      <c r="F67" s="175"/>
      <c r="G67" s="175"/>
      <c r="H67" s="175"/>
      <c r="I67" s="175"/>
      <c r="J67" s="176"/>
      <c r="K67" s="177">
        <f t="shared" si="0"/>
        <v>9579</v>
      </c>
      <c r="L67" s="177">
        <f t="shared" si="1"/>
        <v>19158</v>
      </c>
    </row>
    <row r="68" spans="1:12" ht="18" customHeight="1">
      <c r="A68" s="173">
        <v>3</v>
      </c>
      <c r="B68" s="168" t="s">
        <v>820</v>
      </c>
      <c r="C68" s="156" t="s">
        <v>370</v>
      </c>
      <c r="D68" s="175">
        <v>1625</v>
      </c>
      <c r="E68" s="175">
        <v>2545</v>
      </c>
      <c r="F68" s="175"/>
      <c r="G68" s="175"/>
      <c r="H68" s="175"/>
      <c r="I68" s="175"/>
      <c r="J68" s="176"/>
      <c r="K68" s="177">
        <f t="shared" si="0"/>
        <v>4170</v>
      </c>
      <c r="L68" s="177">
        <f t="shared" si="1"/>
        <v>8340</v>
      </c>
    </row>
    <row r="69" spans="1:12" ht="18" customHeight="1">
      <c r="A69" s="173">
        <v>4</v>
      </c>
      <c r="B69" s="156" t="s">
        <v>308</v>
      </c>
      <c r="C69" s="163" t="s">
        <v>367</v>
      </c>
      <c r="D69" s="175">
        <v>4000</v>
      </c>
      <c r="E69" s="175">
        <v>16000</v>
      </c>
      <c r="F69" s="175"/>
      <c r="G69" s="175"/>
      <c r="H69" s="175"/>
      <c r="I69" s="175"/>
      <c r="J69" s="176"/>
      <c r="K69" s="177">
        <f t="shared" si="0"/>
        <v>20000</v>
      </c>
      <c r="L69" s="177">
        <f t="shared" si="1"/>
        <v>40000</v>
      </c>
    </row>
    <row r="70" spans="1:12" ht="18" customHeight="1">
      <c r="A70" s="173">
        <v>5</v>
      </c>
      <c r="B70" s="156" t="s">
        <v>307</v>
      </c>
      <c r="C70" s="163" t="s">
        <v>367</v>
      </c>
      <c r="D70" s="175">
        <v>6825</v>
      </c>
      <c r="E70" s="175">
        <v>4175</v>
      </c>
      <c r="F70" s="175"/>
      <c r="G70" s="175"/>
      <c r="H70" s="175">
        <v>7225</v>
      </c>
      <c r="I70" s="175">
        <v>1525</v>
      </c>
      <c r="J70" s="176"/>
      <c r="K70" s="177">
        <f>D70+E70+F70+G70+H70+I70+J70</f>
        <v>19750</v>
      </c>
      <c r="L70" s="177">
        <f>K70*2</f>
        <v>39500</v>
      </c>
    </row>
    <row r="71" spans="1:12" ht="18" customHeight="1">
      <c r="A71" s="159"/>
      <c r="B71" s="160" t="s">
        <v>613</v>
      </c>
      <c r="C71" s="161"/>
      <c r="D71" s="180">
        <f t="shared" ref="D71:L71" si="10">SUM(D66:D70)</f>
        <v>15610</v>
      </c>
      <c r="E71" s="180">
        <f t="shared" si="10"/>
        <v>44229</v>
      </c>
      <c r="F71" s="180">
        <f t="shared" si="10"/>
        <v>0</v>
      </c>
      <c r="G71" s="180">
        <f t="shared" si="10"/>
        <v>0</v>
      </c>
      <c r="H71" s="180">
        <f t="shared" si="10"/>
        <v>7225</v>
      </c>
      <c r="I71" s="180">
        <f t="shared" si="10"/>
        <v>1525</v>
      </c>
      <c r="J71" s="180">
        <f t="shared" si="10"/>
        <v>0</v>
      </c>
      <c r="K71" s="180">
        <f t="shared" si="10"/>
        <v>68589</v>
      </c>
      <c r="L71" s="180">
        <f t="shared" si="10"/>
        <v>137178</v>
      </c>
    </row>
    <row r="72" spans="1:12" ht="18" customHeight="1">
      <c r="A72" s="159"/>
      <c r="B72" s="161" t="s">
        <v>492</v>
      </c>
      <c r="C72" s="161"/>
      <c r="D72" s="179">
        <f t="shared" ref="D72:L72" si="11">SUM(D71,D65,D55,D48,D41,D32,D21,D10,D7)</f>
        <v>226469</v>
      </c>
      <c r="E72" s="179">
        <f t="shared" si="11"/>
        <v>1080337</v>
      </c>
      <c r="F72" s="179">
        <f t="shared" si="11"/>
        <v>4043</v>
      </c>
      <c r="G72" s="179">
        <f t="shared" si="11"/>
        <v>15200</v>
      </c>
      <c r="H72" s="179">
        <f t="shared" si="11"/>
        <v>172927.5</v>
      </c>
      <c r="I72" s="179">
        <f t="shared" si="11"/>
        <v>13850</v>
      </c>
      <c r="J72" s="179">
        <f t="shared" si="11"/>
        <v>49680</v>
      </c>
      <c r="K72" s="179">
        <f t="shared" si="11"/>
        <v>1562506.5</v>
      </c>
      <c r="L72" s="179">
        <f t="shared" si="11"/>
        <v>3125013</v>
      </c>
    </row>
    <row r="73" spans="1:12">
      <c r="A73" s="181"/>
      <c r="B73" s="181"/>
      <c r="C73" s="181"/>
    </row>
  </sheetData>
  <mergeCells count="6">
    <mergeCell ref="A1:L1"/>
    <mergeCell ref="A2:A4"/>
    <mergeCell ref="B2:B4"/>
    <mergeCell ref="C2:C4"/>
    <mergeCell ref="D2:K2"/>
    <mergeCell ref="L2:L4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  <headerFooter>
    <oddFooter>第 &amp;P 页，共 &amp;N 页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>
  <dimension ref="A1:F73"/>
  <sheetViews>
    <sheetView topLeftCell="A10" workbookViewId="0">
      <selection activeCell="A2" sqref="A2:XFD73"/>
    </sheetView>
  </sheetViews>
  <sheetFormatPr defaultColWidth="9" defaultRowHeight="13.5"/>
  <cols>
    <col min="1" max="1" width="12.25" style="152" customWidth="1"/>
    <col min="2" max="2" width="28.125" style="152" customWidth="1"/>
    <col min="3" max="3" width="11.75" style="152" customWidth="1"/>
    <col min="4" max="4" width="19.375" style="152" customWidth="1"/>
    <col min="5" max="5" width="20.375" style="152" customWidth="1"/>
    <col min="6" max="16384" width="9" style="152"/>
  </cols>
  <sheetData>
    <row r="1" spans="1:5" ht="18.75">
      <c r="A1" s="517" t="s">
        <v>771</v>
      </c>
      <c r="B1" s="517"/>
      <c r="C1" s="517"/>
      <c r="D1" s="517"/>
      <c r="E1" s="518"/>
    </row>
    <row r="2" spans="1:5" ht="18" customHeight="1">
      <c r="A2" s="153" t="s">
        <v>12</v>
      </c>
      <c r="B2" s="153" t="s">
        <v>772</v>
      </c>
      <c r="C2" s="153" t="s">
        <v>773</v>
      </c>
      <c r="D2" s="154" t="s">
        <v>774</v>
      </c>
      <c r="E2" s="153" t="s">
        <v>21</v>
      </c>
    </row>
    <row r="3" spans="1:5" ht="18" customHeight="1">
      <c r="A3" s="155">
        <v>1</v>
      </c>
      <c r="B3" s="156" t="s">
        <v>775</v>
      </c>
      <c r="C3" s="156" t="s">
        <v>370</v>
      </c>
      <c r="D3" s="157">
        <v>42750</v>
      </c>
      <c r="E3" s="158">
        <f>D3*2</f>
        <v>85500</v>
      </c>
    </row>
    <row r="4" spans="1:5" ht="18" customHeight="1">
      <c r="A4" s="155"/>
      <c r="B4" s="156" t="s">
        <v>776</v>
      </c>
      <c r="C4" s="156" t="s">
        <v>370</v>
      </c>
      <c r="D4" s="157">
        <v>59850</v>
      </c>
      <c r="E4" s="158">
        <f t="shared" ref="E4:E67" si="0">D4*2</f>
        <v>119700</v>
      </c>
    </row>
    <row r="5" spans="1:5" ht="18" customHeight="1">
      <c r="A5" s="159"/>
      <c r="B5" s="160" t="s">
        <v>682</v>
      </c>
      <c r="C5" s="161"/>
      <c r="D5" s="162">
        <f>SUM(D3:D4)</f>
        <v>102600</v>
      </c>
      <c r="E5" s="162">
        <f>SUM(E3:E4)</f>
        <v>205200</v>
      </c>
    </row>
    <row r="6" spans="1:5" ht="18" customHeight="1">
      <c r="A6" s="155">
        <v>1</v>
      </c>
      <c r="B6" s="156" t="s">
        <v>777</v>
      </c>
      <c r="C6" s="156" t="s">
        <v>372</v>
      </c>
      <c r="D6" s="157">
        <v>173850</v>
      </c>
      <c r="E6" s="158">
        <f t="shared" si="0"/>
        <v>347700</v>
      </c>
    </row>
    <row r="7" spans="1:5" ht="18" customHeight="1">
      <c r="A7" s="155">
        <v>2</v>
      </c>
      <c r="B7" s="156" t="s">
        <v>677</v>
      </c>
      <c r="C7" s="156" t="s">
        <v>372</v>
      </c>
      <c r="D7" s="157">
        <v>54150</v>
      </c>
      <c r="E7" s="158">
        <f t="shared" si="0"/>
        <v>108300</v>
      </c>
    </row>
    <row r="8" spans="1:5" ht="18" customHeight="1">
      <c r="A8" s="159"/>
      <c r="B8" s="160" t="s">
        <v>678</v>
      </c>
      <c r="C8" s="161"/>
      <c r="D8" s="162">
        <f>SUM(D6:D7)</f>
        <v>228000</v>
      </c>
      <c r="E8" s="162">
        <f>SUM(E6:E7)</f>
        <v>456000</v>
      </c>
    </row>
    <row r="9" spans="1:5" ht="18" customHeight="1">
      <c r="A9" s="155">
        <v>1</v>
      </c>
      <c r="B9" s="156" t="s">
        <v>778</v>
      </c>
      <c r="C9" s="156" t="s">
        <v>372</v>
      </c>
      <c r="D9" s="157">
        <v>52575</v>
      </c>
      <c r="E9" s="158">
        <f t="shared" si="0"/>
        <v>105150</v>
      </c>
    </row>
    <row r="10" spans="1:5" ht="18" customHeight="1">
      <c r="A10" s="155">
        <v>2</v>
      </c>
      <c r="B10" s="156" t="s">
        <v>779</v>
      </c>
      <c r="C10" s="156" t="s">
        <v>372</v>
      </c>
      <c r="D10" s="157">
        <v>64125</v>
      </c>
      <c r="E10" s="158">
        <f t="shared" si="0"/>
        <v>128250</v>
      </c>
    </row>
    <row r="11" spans="1:5" ht="18" customHeight="1">
      <c r="A11" s="155">
        <v>3</v>
      </c>
      <c r="B11" s="156" t="s">
        <v>780</v>
      </c>
      <c r="C11" s="156" t="s">
        <v>372</v>
      </c>
      <c r="D11" s="157">
        <v>188100</v>
      </c>
      <c r="E11" s="158">
        <f t="shared" si="0"/>
        <v>376200</v>
      </c>
    </row>
    <row r="12" spans="1:5" ht="18" customHeight="1">
      <c r="A12" s="155">
        <v>4</v>
      </c>
      <c r="B12" s="156" t="s">
        <v>781</v>
      </c>
      <c r="C12" s="156" t="s">
        <v>372</v>
      </c>
      <c r="D12" s="157">
        <v>314925</v>
      </c>
      <c r="E12" s="158">
        <f t="shared" si="0"/>
        <v>629850</v>
      </c>
    </row>
    <row r="13" spans="1:5" ht="18" customHeight="1">
      <c r="A13" s="155">
        <v>5</v>
      </c>
      <c r="B13" s="156" t="s">
        <v>782</v>
      </c>
      <c r="C13" s="156" t="s">
        <v>372</v>
      </c>
      <c r="D13" s="157">
        <v>119700</v>
      </c>
      <c r="E13" s="158">
        <f t="shared" si="0"/>
        <v>239400</v>
      </c>
    </row>
    <row r="14" spans="1:5" ht="18" customHeight="1">
      <c r="A14" s="155">
        <v>6</v>
      </c>
      <c r="B14" s="156" t="s">
        <v>783</v>
      </c>
      <c r="C14" s="163" t="s">
        <v>367</v>
      </c>
      <c r="D14" s="164">
        <v>206625</v>
      </c>
      <c r="E14" s="158">
        <f t="shared" si="0"/>
        <v>413250</v>
      </c>
    </row>
    <row r="15" spans="1:5" ht="18" customHeight="1">
      <c r="A15" s="155">
        <v>7</v>
      </c>
      <c r="B15" s="156" t="s">
        <v>784</v>
      </c>
      <c r="C15" s="163" t="s">
        <v>367</v>
      </c>
      <c r="D15" s="157">
        <v>47025</v>
      </c>
      <c r="E15" s="158">
        <f t="shared" si="0"/>
        <v>94050</v>
      </c>
    </row>
    <row r="16" spans="1:5" ht="18" customHeight="1">
      <c r="A16" s="155">
        <v>8</v>
      </c>
      <c r="B16" s="156" t="s">
        <v>785</v>
      </c>
      <c r="C16" s="163" t="s">
        <v>367</v>
      </c>
      <c r="D16" s="157">
        <v>72675</v>
      </c>
      <c r="E16" s="158">
        <f t="shared" si="0"/>
        <v>145350</v>
      </c>
    </row>
    <row r="17" spans="1:5" ht="18" customHeight="1">
      <c r="A17" s="155">
        <v>9</v>
      </c>
      <c r="B17" s="156" t="s">
        <v>786</v>
      </c>
      <c r="C17" s="163" t="s">
        <v>367</v>
      </c>
      <c r="D17" s="157">
        <v>44175</v>
      </c>
      <c r="E17" s="158">
        <f t="shared" si="0"/>
        <v>88350</v>
      </c>
    </row>
    <row r="18" spans="1:5" ht="18" customHeight="1">
      <c r="A18" s="155">
        <v>10</v>
      </c>
      <c r="B18" s="156" t="s">
        <v>787</v>
      </c>
      <c r="C18" s="156" t="s">
        <v>370</v>
      </c>
      <c r="D18" s="157">
        <v>81700</v>
      </c>
      <c r="E18" s="158">
        <f t="shared" si="0"/>
        <v>163400</v>
      </c>
    </row>
    <row r="19" spans="1:5" ht="18" customHeight="1">
      <c r="A19" s="155">
        <v>10</v>
      </c>
      <c r="B19" s="156" t="s">
        <v>788</v>
      </c>
      <c r="C19" s="156" t="s">
        <v>370</v>
      </c>
      <c r="D19" s="157">
        <v>61560</v>
      </c>
      <c r="E19" s="158">
        <f t="shared" si="0"/>
        <v>123120</v>
      </c>
    </row>
    <row r="20" spans="1:5" ht="18" customHeight="1">
      <c r="A20" s="159"/>
      <c r="B20" s="160" t="s">
        <v>672</v>
      </c>
      <c r="C20" s="161"/>
      <c r="D20" s="162">
        <f>SUM(D9:D19)</f>
        <v>1253185</v>
      </c>
      <c r="E20" s="162">
        <f>SUM(E9:E19)</f>
        <v>2506370</v>
      </c>
    </row>
    <row r="21" spans="1:5" ht="18" customHeight="1">
      <c r="A21" s="155">
        <v>1</v>
      </c>
      <c r="B21" s="156" t="s">
        <v>259</v>
      </c>
      <c r="C21" s="156" t="s">
        <v>372</v>
      </c>
      <c r="D21" s="157">
        <v>473100</v>
      </c>
      <c r="E21" s="158">
        <f t="shared" si="0"/>
        <v>946200</v>
      </c>
    </row>
    <row r="22" spans="1:5" ht="18" customHeight="1">
      <c r="A22" s="155">
        <v>2</v>
      </c>
      <c r="B22" s="156" t="s">
        <v>789</v>
      </c>
      <c r="C22" s="156" t="s">
        <v>372</v>
      </c>
      <c r="D22" s="157">
        <v>478660</v>
      </c>
      <c r="E22" s="158">
        <f t="shared" si="0"/>
        <v>957320</v>
      </c>
    </row>
    <row r="23" spans="1:5" ht="18" customHeight="1">
      <c r="A23" s="155">
        <v>3</v>
      </c>
      <c r="B23" s="156" t="s">
        <v>790</v>
      </c>
      <c r="C23" s="156" t="s">
        <v>372</v>
      </c>
      <c r="D23" s="157">
        <v>114000</v>
      </c>
      <c r="E23" s="158">
        <f t="shared" si="0"/>
        <v>228000</v>
      </c>
    </row>
    <row r="24" spans="1:5" ht="18" customHeight="1">
      <c r="A24" s="155">
        <v>4</v>
      </c>
      <c r="B24" s="156" t="s">
        <v>791</v>
      </c>
      <c r="C24" s="156" t="s">
        <v>372</v>
      </c>
      <c r="D24" s="157">
        <v>187530</v>
      </c>
      <c r="E24" s="158">
        <f t="shared" si="0"/>
        <v>375060</v>
      </c>
    </row>
    <row r="25" spans="1:5" ht="18" customHeight="1">
      <c r="A25" s="155">
        <v>5</v>
      </c>
      <c r="B25" s="156" t="s">
        <v>792</v>
      </c>
      <c r="C25" s="156" t="s">
        <v>372</v>
      </c>
      <c r="D25" s="157">
        <v>171525</v>
      </c>
      <c r="E25" s="158">
        <f t="shared" si="0"/>
        <v>343050</v>
      </c>
    </row>
    <row r="26" spans="1:5" ht="18" customHeight="1">
      <c r="A26" s="155">
        <v>6</v>
      </c>
      <c r="B26" s="156" t="s">
        <v>793</v>
      </c>
      <c r="C26" s="163" t="s">
        <v>367</v>
      </c>
      <c r="D26" s="157">
        <v>327750</v>
      </c>
      <c r="E26" s="158">
        <f t="shared" si="0"/>
        <v>655500</v>
      </c>
    </row>
    <row r="27" spans="1:5" ht="18" customHeight="1">
      <c r="A27" s="155">
        <v>7</v>
      </c>
      <c r="B27" s="156" t="s">
        <v>794</v>
      </c>
      <c r="C27" s="163" t="s">
        <v>367</v>
      </c>
      <c r="D27" s="157">
        <v>111075</v>
      </c>
      <c r="E27" s="158">
        <f t="shared" si="0"/>
        <v>222150</v>
      </c>
    </row>
    <row r="28" spans="1:5" ht="18" customHeight="1">
      <c r="A28" s="155">
        <v>8</v>
      </c>
      <c r="B28" s="156" t="s">
        <v>795</v>
      </c>
      <c r="C28" s="163" t="s">
        <v>367</v>
      </c>
      <c r="D28" s="157">
        <v>263625</v>
      </c>
      <c r="E28" s="158">
        <f t="shared" si="0"/>
        <v>527250</v>
      </c>
    </row>
    <row r="29" spans="1:5" ht="18" customHeight="1">
      <c r="A29" s="155">
        <v>9</v>
      </c>
      <c r="B29" s="165" t="s">
        <v>796</v>
      </c>
      <c r="C29" s="156" t="s">
        <v>370</v>
      </c>
      <c r="D29" s="157">
        <v>222300</v>
      </c>
      <c r="E29" s="158">
        <f t="shared" si="0"/>
        <v>444600</v>
      </c>
    </row>
    <row r="30" spans="1:5" ht="18" customHeight="1">
      <c r="A30" s="155"/>
      <c r="B30" s="165" t="s">
        <v>797</v>
      </c>
      <c r="C30" s="156" t="s">
        <v>370</v>
      </c>
      <c r="D30" s="157">
        <v>288610</v>
      </c>
      <c r="E30" s="158">
        <f t="shared" si="0"/>
        <v>577220</v>
      </c>
    </row>
    <row r="31" spans="1:5" ht="18" customHeight="1">
      <c r="A31" s="155">
        <v>10</v>
      </c>
      <c r="B31" s="165" t="s">
        <v>798</v>
      </c>
      <c r="C31" s="156" t="s">
        <v>370</v>
      </c>
      <c r="D31" s="157">
        <v>91200</v>
      </c>
      <c r="E31" s="158">
        <f t="shared" si="0"/>
        <v>182400</v>
      </c>
    </row>
    <row r="32" spans="1:5" ht="18" customHeight="1">
      <c r="A32" s="159"/>
      <c r="B32" s="160" t="s">
        <v>658</v>
      </c>
      <c r="C32" s="161"/>
      <c r="D32" s="162">
        <f>SUM(D21:D31)</f>
        <v>2729375</v>
      </c>
      <c r="E32" s="162">
        <f>SUM(E21:E31)</f>
        <v>5458750</v>
      </c>
    </row>
    <row r="33" spans="1:5" ht="18" customHeight="1">
      <c r="A33" s="155">
        <v>1</v>
      </c>
      <c r="B33" s="156" t="s">
        <v>799</v>
      </c>
      <c r="C33" s="156" t="s">
        <v>372</v>
      </c>
      <c r="D33" s="157">
        <v>37050</v>
      </c>
      <c r="E33" s="158">
        <f t="shared" si="0"/>
        <v>74100</v>
      </c>
    </row>
    <row r="34" spans="1:5" ht="18" customHeight="1">
      <c r="A34" s="155">
        <v>2</v>
      </c>
      <c r="B34" s="156" t="s">
        <v>800</v>
      </c>
      <c r="C34" s="156" t="s">
        <v>372</v>
      </c>
      <c r="D34" s="157">
        <v>146775</v>
      </c>
      <c r="E34" s="158">
        <f t="shared" si="0"/>
        <v>293550</v>
      </c>
    </row>
    <row r="35" spans="1:5" ht="18" customHeight="1">
      <c r="A35" s="155">
        <v>3</v>
      </c>
      <c r="B35" s="156" t="s">
        <v>801</v>
      </c>
      <c r="C35" s="156" t="s">
        <v>372</v>
      </c>
      <c r="D35" s="157">
        <v>256500</v>
      </c>
      <c r="E35" s="158">
        <f t="shared" si="0"/>
        <v>513000</v>
      </c>
    </row>
    <row r="36" spans="1:5" ht="18" customHeight="1">
      <c r="A36" s="155">
        <v>4</v>
      </c>
      <c r="B36" s="156" t="s">
        <v>802</v>
      </c>
      <c r="C36" s="156" t="s">
        <v>372</v>
      </c>
      <c r="D36" s="157">
        <v>48450</v>
      </c>
      <c r="E36" s="158">
        <f t="shared" si="0"/>
        <v>96900</v>
      </c>
    </row>
    <row r="37" spans="1:5" ht="18" customHeight="1">
      <c r="A37" s="155">
        <v>5</v>
      </c>
      <c r="B37" s="156" t="s">
        <v>803</v>
      </c>
      <c r="C37" s="163" t="s">
        <v>367</v>
      </c>
      <c r="D37" s="157">
        <v>17100</v>
      </c>
      <c r="E37" s="158">
        <f t="shared" si="0"/>
        <v>34200</v>
      </c>
    </row>
    <row r="38" spans="1:5" ht="18" customHeight="1">
      <c r="A38" s="155">
        <v>6</v>
      </c>
      <c r="B38" s="156" t="s">
        <v>804</v>
      </c>
      <c r="C38" s="163" t="s">
        <v>367</v>
      </c>
      <c r="D38" s="157">
        <v>29925</v>
      </c>
      <c r="E38" s="158">
        <f t="shared" si="0"/>
        <v>59850</v>
      </c>
    </row>
    <row r="39" spans="1:5" ht="18" customHeight="1">
      <c r="A39" s="155">
        <v>7</v>
      </c>
      <c r="B39" s="156" t="s">
        <v>805</v>
      </c>
      <c r="C39" s="163" t="s">
        <v>367</v>
      </c>
      <c r="D39" s="157">
        <v>121125</v>
      </c>
      <c r="E39" s="158">
        <f t="shared" si="0"/>
        <v>242250</v>
      </c>
    </row>
    <row r="40" spans="1:5" ht="18" customHeight="1">
      <c r="A40" s="155">
        <v>8</v>
      </c>
      <c r="B40" s="156" t="s">
        <v>751</v>
      </c>
      <c r="C40" s="163" t="s">
        <v>367</v>
      </c>
      <c r="D40" s="157">
        <v>109725</v>
      </c>
      <c r="E40" s="158">
        <f t="shared" si="0"/>
        <v>219450</v>
      </c>
    </row>
    <row r="41" spans="1:5" ht="18" customHeight="1">
      <c r="A41" s="159"/>
      <c r="B41" s="160" t="s">
        <v>640</v>
      </c>
      <c r="C41" s="161"/>
      <c r="D41" s="162">
        <f>SUM(D33:D40)</f>
        <v>766650</v>
      </c>
      <c r="E41" s="162">
        <f>SUM(E33:E40)</f>
        <v>1533300</v>
      </c>
    </row>
    <row r="42" spans="1:5" ht="18" customHeight="1">
      <c r="A42" s="155">
        <v>1</v>
      </c>
      <c r="B42" s="156" t="s">
        <v>806</v>
      </c>
      <c r="C42" s="156" t="s">
        <v>372</v>
      </c>
      <c r="D42" s="157">
        <v>192375</v>
      </c>
      <c r="E42" s="158">
        <f t="shared" si="0"/>
        <v>384750</v>
      </c>
    </row>
    <row r="43" spans="1:5" ht="18" customHeight="1">
      <c r="A43" s="155">
        <v>2</v>
      </c>
      <c r="B43" s="166" t="s">
        <v>807</v>
      </c>
      <c r="C43" s="156" t="s">
        <v>370</v>
      </c>
      <c r="D43" s="157">
        <v>78375</v>
      </c>
      <c r="E43" s="158">
        <f t="shared" si="0"/>
        <v>156750</v>
      </c>
    </row>
    <row r="44" spans="1:5" ht="18" customHeight="1">
      <c r="A44" s="155"/>
      <c r="B44" s="166" t="s">
        <v>808</v>
      </c>
      <c r="C44" s="156" t="s">
        <v>370</v>
      </c>
      <c r="D44" s="157">
        <v>199500</v>
      </c>
      <c r="E44" s="158">
        <f t="shared" si="0"/>
        <v>399000</v>
      </c>
    </row>
    <row r="45" spans="1:5" ht="18" customHeight="1">
      <c r="A45" s="155">
        <v>3</v>
      </c>
      <c r="B45" s="156" t="s">
        <v>809</v>
      </c>
      <c r="C45" s="156" t="s">
        <v>370</v>
      </c>
      <c r="D45" s="157">
        <v>65550</v>
      </c>
      <c r="E45" s="158">
        <f t="shared" si="0"/>
        <v>131100</v>
      </c>
    </row>
    <row r="46" spans="1:5" ht="18" customHeight="1">
      <c r="A46" s="155"/>
      <c r="B46" s="156" t="s">
        <v>810</v>
      </c>
      <c r="C46" s="156" t="s">
        <v>370</v>
      </c>
      <c r="D46" s="157">
        <v>159525</v>
      </c>
      <c r="E46" s="158">
        <f t="shared" si="0"/>
        <v>319050</v>
      </c>
    </row>
    <row r="47" spans="1:5" ht="18" customHeight="1">
      <c r="A47" s="155">
        <v>4</v>
      </c>
      <c r="B47" s="156" t="s">
        <v>625</v>
      </c>
      <c r="C47" s="163" t="s">
        <v>367</v>
      </c>
      <c r="D47" s="157">
        <v>106875</v>
      </c>
      <c r="E47" s="158">
        <f t="shared" si="0"/>
        <v>213750</v>
      </c>
    </row>
    <row r="48" spans="1:5" ht="18" customHeight="1">
      <c r="A48" s="159"/>
      <c r="B48" s="160" t="s">
        <v>628</v>
      </c>
      <c r="C48" s="161"/>
      <c r="D48" s="162">
        <f>SUM(D42:D47)</f>
        <v>802200</v>
      </c>
      <c r="E48" s="162">
        <f>SUM(E42:E47)</f>
        <v>1604400</v>
      </c>
    </row>
    <row r="49" spans="1:6" ht="18" customHeight="1">
      <c r="A49" s="155">
        <v>1</v>
      </c>
      <c r="B49" s="156" t="s">
        <v>811</v>
      </c>
      <c r="C49" s="156" t="s">
        <v>370</v>
      </c>
      <c r="D49" s="157">
        <v>107730</v>
      </c>
      <c r="E49" s="158">
        <f t="shared" si="0"/>
        <v>215460</v>
      </c>
    </row>
    <row r="50" spans="1:6" ht="18" customHeight="1">
      <c r="A50" s="155"/>
      <c r="B50" s="156" t="s">
        <v>812</v>
      </c>
      <c r="C50" s="156" t="s">
        <v>370</v>
      </c>
      <c r="D50" s="157">
        <v>154280</v>
      </c>
      <c r="E50" s="158">
        <f t="shared" si="0"/>
        <v>308560</v>
      </c>
    </row>
    <row r="51" spans="1:6" ht="18" customHeight="1">
      <c r="A51" s="155">
        <v>2</v>
      </c>
      <c r="B51" s="156" t="s">
        <v>813</v>
      </c>
      <c r="C51" s="156" t="s">
        <v>370</v>
      </c>
      <c r="D51" s="157">
        <v>158175</v>
      </c>
      <c r="E51" s="158">
        <f t="shared" si="0"/>
        <v>316350</v>
      </c>
    </row>
    <row r="52" spans="1:6" ht="18" customHeight="1">
      <c r="A52" s="155"/>
      <c r="B52" s="156" t="s">
        <v>814</v>
      </c>
      <c r="C52" s="156" t="s">
        <v>370</v>
      </c>
      <c r="D52" s="157">
        <v>245100</v>
      </c>
      <c r="E52" s="158">
        <f t="shared" si="0"/>
        <v>490200</v>
      </c>
    </row>
    <row r="53" spans="1:6" ht="18" customHeight="1">
      <c r="A53" s="155">
        <v>3</v>
      </c>
      <c r="B53" s="156" t="s">
        <v>815</v>
      </c>
      <c r="C53" s="156" t="s">
        <v>370</v>
      </c>
      <c r="D53" s="157">
        <v>223440</v>
      </c>
      <c r="E53" s="158">
        <f t="shared" si="0"/>
        <v>446880</v>
      </c>
    </row>
    <row r="54" spans="1:6" ht="18" customHeight="1">
      <c r="A54" s="155"/>
      <c r="B54" s="156" t="s">
        <v>816</v>
      </c>
      <c r="C54" s="156" t="s">
        <v>370</v>
      </c>
      <c r="D54" s="157">
        <v>265525</v>
      </c>
      <c r="E54" s="158">
        <f t="shared" si="0"/>
        <v>531050</v>
      </c>
    </row>
    <row r="55" spans="1:6" ht="18" customHeight="1">
      <c r="A55" s="159"/>
      <c r="B55" s="160" t="s">
        <v>617</v>
      </c>
      <c r="C55" s="161"/>
      <c r="D55" s="162">
        <f>SUM(D49:D54)</f>
        <v>1154250</v>
      </c>
      <c r="E55" s="162">
        <f>SUM(E49:E54)</f>
        <v>2308500</v>
      </c>
    </row>
    <row r="56" spans="1:6" ht="18" customHeight="1">
      <c r="A56" s="155">
        <v>1</v>
      </c>
      <c r="B56" s="156" t="s">
        <v>817</v>
      </c>
      <c r="C56" s="156" t="s">
        <v>370</v>
      </c>
      <c r="D56" s="157">
        <v>53010</v>
      </c>
      <c r="E56" s="158">
        <f t="shared" si="0"/>
        <v>106020</v>
      </c>
    </row>
    <row r="57" spans="1:6" ht="18" customHeight="1">
      <c r="A57" s="155"/>
      <c r="B57" s="156" t="s">
        <v>818</v>
      </c>
      <c r="C57" s="156" t="s">
        <v>370</v>
      </c>
      <c r="D57" s="157">
        <v>99180</v>
      </c>
      <c r="E57" s="158">
        <f t="shared" si="0"/>
        <v>198360</v>
      </c>
    </row>
    <row r="58" spans="1:6" ht="18" customHeight="1">
      <c r="A58" s="155">
        <v>2</v>
      </c>
      <c r="B58" s="156" t="s">
        <v>295</v>
      </c>
      <c r="C58" s="156" t="s">
        <v>372</v>
      </c>
      <c r="D58" s="157">
        <v>127680</v>
      </c>
      <c r="E58" s="158">
        <f t="shared" si="0"/>
        <v>255360</v>
      </c>
    </row>
    <row r="59" spans="1:6" ht="18" customHeight="1">
      <c r="A59" s="155">
        <v>3</v>
      </c>
      <c r="B59" s="156" t="s">
        <v>294</v>
      </c>
      <c r="C59" s="156" t="s">
        <v>372</v>
      </c>
      <c r="D59" s="157">
        <v>101025</v>
      </c>
      <c r="E59" s="158">
        <f t="shared" si="0"/>
        <v>202050</v>
      </c>
    </row>
    <row r="60" spans="1:6" ht="18" customHeight="1">
      <c r="A60" s="155">
        <v>4</v>
      </c>
      <c r="B60" s="156" t="s">
        <v>296</v>
      </c>
      <c r="C60" s="156" t="s">
        <v>372</v>
      </c>
      <c r="D60" s="157">
        <f>324900+1710</f>
        <v>326610</v>
      </c>
      <c r="E60" s="158">
        <f t="shared" si="0"/>
        <v>653220</v>
      </c>
    </row>
    <row r="61" spans="1:6" ht="18" customHeight="1">
      <c r="A61" s="155">
        <v>5</v>
      </c>
      <c r="B61" s="156" t="s">
        <v>297</v>
      </c>
      <c r="C61" s="156" t="s">
        <v>372</v>
      </c>
      <c r="D61" s="157">
        <v>65550</v>
      </c>
      <c r="E61" s="158">
        <f t="shared" si="0"/>
        <v>131100</v>
      </c>
    </row>
    <row r="62" spans="1:6" ht="18" customHeight="1">
      <c r="A62" s="155">
        <v>6</v>
      </c>
      <c r="B62" s="156" t="s">
        <v>292</v>
      </c>
      <c r="C62" s="163" t="s">
        <v>367</v>
      </c>
      <c r="D62" s="157">
        <v>132525</v>
      </c>
      <c r="E62" s="158">
        <f t="shared" si="0"/>
        <v>265050</v>
      </c>
      <c r="F62" s="167"/>
    </row>
    <row r="63" spans="1:6" ht="18" customHeight="1">
      <c r="A63" s="155">
        <v>7</v>
      </c>
      <c r="B63" s="156" t="s">
        <v>293</v>
      </c>
      <c r="C63" s="163" t="s">
        <v>367</v>
      </c>
      <c r="D63" s="157">
        <v>94050</v>
      </c>
      <c r="E63" s="158">
        <f t="shared" si="0"/>
        <v>188100</v>
      </c>
    </row>
    <row r="64" spans="1:6" ht="18" customHeight="1">
      <c r="A64" s="155">
        <v>8</v>
      </c>
      <c r="B64" s="156" t="s">
        <v>691</v>
      </c>
      <c r="C64" s="163" t="s">
        <v>367</v>
      </c>
      <c r="D64" s="157">
        <v>117990</v>
      </c>
      <c r="E64" s="158">
        <f t="shared" si="0"/>
        <v>235980</v>
      </c>
    </row>
    <row r="65" spans="1:5" ht="18" customHeight="1">
      <c r="A65" s="159"/>
      <c r="B65" s="160" t="s">
        <v>694</v>
      </c>
      <c r="C65" s="161"/>
      <c r="D65" s="162">
        <f>SUM(D56:D64)</f>
        <v>1117620</v>
      </c>
      <c r="E65" s="162">
        <f>SUM(E56:E64)</f>
        <v>2235240</v>
      </c>
    </row>
    <row r="66" spans="1:5" ht="18" customHeight="1">
      <c r="A66" s="155">
        <v>1</v>
      </c>
      <c r="B66" s="156" t="s">
        <v>311</v>
      </c>
      <c r="C66" s="156" t="s">
        <v>372</v>
      </c>
      <c r="D66" s="157">
        <v>48450</v>
      </c>
      <c r="E66" s="158">
        <f t="shared" si="0"/>
        <v>96900</v>
      </c>
    </row>
    <row r="67" spans="1:5" ht="18" customHeight="1">
      <c r="A67" s="155">
        <v>2</v>
      </c>
      <c r="B67" s="156" t="s">
        <v>819</v>
      </c>
      <c r="C67" s="156" t="s">
        <v>372</v>
      </c>
      <c r="D67" s="157">
        <v>48450</v>
      </c>
      <c r="E67" s="158">
        <f t="shared" si="0"/>
        <v>96900</v>
      </c>
    </row>
    <row r="68" spans="1:5" ht="18" customHeight="1">
      <c r="A68" s="155">
        <v>3</v>
      </c>
      <c r="B68" s="168" t="s">
        <v>820</v>
      </c>
      <c r="C68" s="156" t="s">
        <v>370</v>
      </c>
      <c r="D68" s="157">
        <v>7125</v>
      </c>
      <c r="E68" s="158">
        <f>D68*2</f>
        <v>14250</v>
      </c>
    </row>
    <row r="69" spans="1:5" ht="18" customHeight="1">
      <c r="A69" s="155"/>
      <c r="B69" s="169" t="s">
        <v>821</v>
      </c>
      <c r="C69" s="156" t="s">
        <v>370</v>
      </c>
      <c r="D69" s="157">
        <v>12825</v>
      </c>
      <c r="E69" s="158">
        <f>D69*2</f>
        <v>25650</v>
      </c>
    </row>
    <row r="70" spans="1:5" ht="18" customHeight="1">
      <c r="A70" s="155">
        <v>4</v>
      </c>
      <c r="B70" s="156" t="s">
        <v>308</v>
      </c>
      <c r="C70" s="163" t="s">
        <v>367</v>
      </c>
      <c r="D70" s="157">
        <v>22800</v>
      </c>
      <c r="E70" s="158">
        <f>D70*2</f>
        <v>45600</v>
      </c>
    </row>
    <row r="71" spans="1:5" ht="18" customHeight="1">
      <c r="A71" s="155">
        <v>5</v>
      </c>
      <c r="B71" s="156" t="s">
        <v>307</v>
      </c>
      <c r="C71" s="163" t="s">
        <v>367</v>
      </c>
      <c r="D71" s="157">
        <v>28500</v>
      </c>
      <c r="E71" s="158">
        <f>D71*2</f>
        <v>57000</v>
      </c>
    </row>
    <row r="72" spans="1:5" ht="18" customHeight="1">
      <c r="A72" s="159"/>
      <c r="B72" s="160" t="s">
        <v>613</v>
      </c>
      <c r="C72" s="161"/>
      <c r="D72" s="162">
        <f>SUM(D66:D71)</f>
        <v>168150</v>
      </c>
      <c r="E72" s="162">
        <f>SUM(E66:E71)</f>
        <v>336300</v>
      </c>
    </row>
    <row r="73" spans="1:5" ht="18" customHeight="1">
      <c r="A73" s="159"/>
      <c r="B73" s="161" t="s">
        <v>492</v>
      </c>
      <c r="C73" s="161"/>
      <c r="D73" s="162">
        <f>SUM(D72,D65,D55,D48,D41,D32,D20,D8,D5)</f>
        <v>8322030</v>
      </c>
      <c r="E73" s="162">
        <f>SUM(E72,E65,E55,E48,E41,E32,E20,E8,E5)</f>
        <v>16644060</v>
      </c>
    </row>
  </sheetData>
  <mergeCells count="1">
    <mergeCell ref="A1:E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  <headerFooter>
    <oddFooter>第 &amp;P 页，共 &amp;N 页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>
  <dimension ref="A1:N55"/>
  <sheetViews>
    <sheetView workbookViewId="0">
      <selection sqref="A1:XFD1048576"/>
    </sheetView>
  </sheetViews>
  <sheetFormatPr defaultColWidth="7" defaultRowHeight="13.5"/>
  <cols>
    <col min="1" max="1" width="27.25" customWidth="1"/>
    <col min="2" max="2" width="13.125" hidden="1" customWidth="1"/>
    <col min="3" max="3" width="6" hidden="1" customWidth="1"/>
    <col min="4" max="7" width="10.625" customWidth="1"/>
    <col min="8" max="9" width="10.625" hidden="1" customWidth="1"/>
    <col min="10" max="11" width="10.625" customWidth="1"/>
    <col min="12" max="12" width="10.625" style="196" customWidth="1"/>
    <col min="13" max="13" width="8.5" customWidth="1"/>
    <col min="14" max="14" width="10.625" customWidth="1"/>
  </cols>
  <sheetData>
    <row r="1" spans="1:14" ht="24.95" customHeight="1">
      <c r="A1" s="510" t="s">
        <v>833</v>
      </c>
      <c r="B1" s="510"/>
      <c r="C1" s="510"/>
      <c r="D1" s="510"/>
      <c r="E1" s="510"/>
      <c r="F1" s="510"/>
      <c r="G1" s="510"/>
      <c r="H1" s="510"/>
      <c r="I1" s="510"/>
      <c r="J1" s="510"/>
      <c r="K1" s="510"/>
      <c r="L1" s="510"/>
      <c r="M1" s="510"/>
      <c r="N1" s="510"/>
    </row>
    <row r="2" spans="1:14" ht="23.25" customHeight="1">
      <c r="A2" s="511" t="s">
        <v>12</v>
      </c>
      <c r="B2" s="511" t="s">
        <v>772</v>
      </c>
      <c r="C2" s="511" t="s">
        <v>834</v>
      </c>
      <c r="D2" s="513" t="s">
        <v>835</v>
      </c>
      <c r="E2" s="513"/>
      <c r="F2" s="513"/>
      <c r="G2" s="513"/>
      <c r="H2" s="513"/>
      <c r="I2" s="513"/>
      <c r="J2" s="513"/>
      <c r="K2" s="513"/>
      <c r="L2" s="513"/>
      <c r="M2" s="513"/>
      <c r="N2" s="519" t="s">
        <v>836</v>
      </c>
    </row>
    <row r="3" spans="1:14" ht="15.75" customHeight="1">
      <c r="A3" s="511"/>
      <c r="B3" s="511"/>
      <c r="C3" s="511"/>
      <c r="D3" s="183" t="s">
        <v>837</v>
      </c>
      <c r="E3" s="183" t="s">
        <v>838</v>
      </c>
      <c r="F3" s="183" t="s">
        <v>839</v>
      </c>
      <c r="G3" s="183" t="s">
        <v>840</v>
      </c>
      <c r="H3" s="183" t="s">
        <v>841</v>
      </c>
      <c r="I3" s="183" t="s">
        <v>842</v>
      </c>
      <c r="J3" s="183" t="s">
        <v>843</v>
      </c>
      <c r="K3" s="183" t="s">
        <v>844</v>
      </c>
      <c r="L3" s="183" t="s">
        <v>845</v>
      </c>
      <c r="M3" s="172" t="s">
        <v>21</v>
      </c>
      <c r="N3" s="519"/>
    </row>
    <row r="4" spans="1:14" s="82" customFormat="1" ht="20.100000000000001" customHeight="1">
      <c r="A4" s="512"/>
      <c r="B4" s="512"/>
      <c r="C4" s="512"/>
      <c r="D4" s="171" t="s">
        <v>831</v>
      </c>
      <c r="E4" s="171" t="s">
        <v>831</v>
      </c>
      <c r="F4" s="171" t="s">
        <v>831</v>
      </c>
      <c r="G4" s="171" t="s">
        <v>831</v>
      </c>
      <c r="H4" s="171" t="s">
        <v>831</v>
      </c>
      <c r="I4" s="171" t="s">
        <v>831</v>
      </c>
      <c r="J4" s="171" t="s">
        <v>831</v>
      </c>
      <c r="K4" s="171" t="s">
        <v>831</v>
      </c>
      <c r="L4" s="171" t="s">
        <v>831</v>
      </c>
      <c r="M4" s="171" t="s">
        <v>831</v>
      </c>
      <c r="N4" s="519" t="s">
        <v>831</v>
      </c>
    </row>
    <row r="5" spans="1:14" s="82" customFormat="1" ht="20.100000000000001" customHeight="1">
      <c r="A5" s="184" t="s">
        <v>846</v>
      </c>
      <c r="B5" s="185" t="s">
        <v>847</v>
      </c>
      <c r="C5" s="185" t="s">
        <v>375</v>
      </c>
      <c r="D5" s="186">
        <v>1056</v>
      </c>
      <c r="E5" s="186">
        <v>480</v>
      </c>
      <c r="F5" s="186">
        <v>35</v>
      </c>
      <c r="G5" s="186">
        <v>0</v>
      </c>
      <c r="H5" s="186">
        <v>0</v>
      </c>
      <c r="I5" s="186">
        <v>0</v>
      </c>
      <c r="J5" s="186">
        <v>100</v>
      </c>
      <c r="K5" s="186">
        <v>300</v>
      </c>
      <c r="L5" s="186">
        <v>0</v>
      </c>
      <c r="M5" s="142">
        <f>SUM(D5:L5)</f>
        <v>1971</v>
      </c>
      <c r="N5" s="143">
        <f>M5*2</f>
        <v>3942</v>
      </c>
    </row>
    <row r="6" spans="1:14" s="82" customFormat="1" ht="20.100000000000001" customHeight="1">
      <c r="A6" s="187" t="s">
        <v>848</v>
      </c>
      <c r="B6" s="185" t="s">
        <v>847</v>
      </c>
      <c r="C6" s="185" t="s">
        <v>375</v>
      </c>
      <c r="D6" s="186">
        <v>1920</v>
      </c>
      <c r="E6" s="186">
        <v>960</v>
      </c>
      <c r="F6" s="186">
        <v>70</v>
      </c>
      <c r="G6" s="186">
        <v>0</v>
      </c>
      <c r="H6" s="186">
        <v>0</v>
      </c>
      <c r="I6" s="186">
        <v>0</v>
      </c>
      <c r="J6" s="186">
        <v>200</v>
      </c>
      <c r="K6" s="186">
        <v>600</v>
      </c>
      <c r="L6" s="186">
        <v>0</v>
      </c>
      <c r="M6" s="142">
        <f>SUM(D6:L6)</f>
        <v>3750</v>
      </c>
      <c r="N6" s="143">
        <f t="shared" ref="N6:N53" si="0">M6*2</f>
        <v>7500</v>
      </c>
    </row>
    <row r="7" spans="1:14" s="82" customFormat="1" ht="20.100000000000001" customHeight="1">
      <c r="A7" s="188" t="s">
        <v>849</v>
      </c>
      <c r="B7" s="189"/>
      <c r="C7" s="189"/>
      <c r="D7" s="190">
        <f t="shared" ref="D7:N7" si="1">SUM(D5:D6)</f>
        <v>2976</v>
      </c>
      <c r="E7" s="190">
        <f t="shared" si="1"/>
        <v>1440</v>
      </c>
      <c r="F7" s="190">
        <f t="shared" si="1"/>
        <v>105</v>
      </c>
      <c r="G7" s="190">
        <f t="shared" si="1"/>
        <v>0</v>
      </c>
      <c r="H7" s="190">
        <f t="shared" si="1"/>
        <v>0</v>
      </c>
      <c r="I7" s="190">
        <f t="shared" si="1"/>
        <v>0</v>
      </c>
      <c r="J7" s="190">
        <f t="shared" si="1"/>
        <v>300</v>
      </c>
      <c r="K7" s="190">
        <f t="shared" si="1"/>
        <v>900</v>
      </c>
      <c r="L7" s="190">
        <f t="shared" si="1"/>
        <v>0</v>
      </c>
      <c r="M7" s="190">
        <f t="shared" si="1"/>
        <v>5721</v>
      </c>
      <c r="N7" s="190">
        <f t="shared" si="1"/>
        <v>11442</v>
      </c>
    </row>
    <row r="8" spans="1:14" s="82" customFormat="1" ht="20.100000000000001" customHeight="1">
      <c r="A8" s="191" t="s">
        <v>850</v>
      </c>
      <c r="B8" s="185" t="s">
        <v>851</v>
      </c>
      <c r="C8" s="185" t="s">
        <v>375</v>
      </c>
      <c r="D8" s="186">
        <v>4224</v>
      </c>
      <c r="E8" s="186">
        <v>1536</v>
      </c>
      <c r="F8" s="186">
        <v>140</v>
      </c>
      <c r="G8" s="186">
        <v>0</v>
      </c>
      <c r="H8" s="186">
        <v>0</v>
      </c>
      <c r="I8" s="186">
        <v>0</v>
      </c>
      <c r="J8" s="186">
        <v>400</v>
      </c>
      <c r="K8" s="186">
        <v>400</v>
      </c>
      <c r="L8" s="186">
        <v>0</v>
      </c>
      <c r="M8" s="142">
        <f>SUM(D8:L8)</f>
        <v>6700</v>
      </c>
      <c r="N8" s="143">
        <f t="shared" si="0"/>
        <v>13400</v>
      </c>
    </row>
    <row r="9" spans="1:14" s="82" customFormat="1" ht="20.100000000000001" customHeight="1">
      <c r="A9" s="191" t="s">
        <v>852</v>
      </c>
      <c r="B9" s="185" t="s">
        <v>851</v>
      </c>
      <c r="C9" s="185" t="s">
        <v>375</v>
      </c>
      <c r="D9" s="186">
        <v>3840</v>
      </c>
      <c r="E9" s="186">
        <v>2304</v>
      </c>
      <c r="F9" s="186">
        <v>140</v>
      </c>
      <c r="G9" s="186">
        <v>0</v>
      </c>
      <c r="H9" s="186">
        <v>0</v>
      </c>
      <c r="I9" s="186">
        <v>0</v>
      </c>
      <c r="J9" s="186">
        <v>400</v>
      </c>
      <c r="K9" s="186">
        <v>400</v>
      </c>
      <c r="L9" s="186">
        <v>0</v>
      </c>
      <c r="M9" s="142">
        <f>SUM(D9:L9)</f>
        <v>7084</v>
      </c>
      <c r="N9" s="143">
        <f t="shared" si="0"/>
        <v>14168</v>
      </c>
    </row>
    <row r="10" spans="1:14" s="82" customFormat="1" ht="20.100000000000001" customHeight="1">
      <c r="A10" s="188" t="s">
        <v>853</v>
      </c>
      <c r="B10" s="189"/>
      <c r="C10" s="189"/>
      <c r="D10" s="190">
        <f t="shared" ref="D10:N10" si="2">SUM(D8:D9)</f>
        <v>8064</v>
      </c>
      <c r="E10" s="190">
        <f t="shared" si="2"/>
        <v>3840</v>
      </c>
      <c r="F10" s="190">
        <f t="shared" si="2"/>
        <v>280</v>
      </c>
      <c r="G10" s="190">
        <f t="shared" si="2"/>
        <v>0</v>
      </c>
      <c r="H10" s="190">
        <f t="shared" si="2"/>
        <v>0</v>
      </c>
      <c r="I10" s="190">
        <f t="shared" si="2"/>
        <v>0</v>
      </c>
      <c r="J10" s="190">
        <f t="shared" si="2"/>
        <v>800</v>
      </c>
      <c r="K10" s="190">
        <f t="shared" si="2"/>
        <v>800</v>
      </c>
      <c r="L10" s="190">
        <f t="shared" si="2"/>
        <v>0</v>
      </c>
      <c r="M10" s="190">
        <f t="shared" si="2"/>
        <v>13784</v>
      </c>
      <c r="N10" s="190">
        <f t="shared" si="2"/>
        <v>27568</v>
      </c>
    </row>
    <row r="11" spans="1:14" s="82" customFormat="1" ht="20.100000000000001" customHeight="1">
      <c r="A11" s="191" t="s">
        <v>455</v>
      </c>
      <c r="B11" s="185" t="s">
        <v>854</v>
      </c>
      <c r="C11" s="185" t="s">
        <v>375</v>
      </c>
      <c r="D11" s="186">
        <v>5280</v>
      </c>
      <c r="E11" s="186">
        <v>1440</v>
      </c>
      <c r="F11" s="186">
        <v>175</v>
      </c>
      <c r="G11" s="186">
        <v>0</v>
      </c>
      <c r="H11" s="186">
        <v>0</v>
      </c>
      <c r="I11" s="186">
        <v>0</v>
      </c>
      <c r="J11" s="186">
        <v>500</v>
      </c>
      <c r="K11" s="186">
        <v>750</v>
      </c>
      <c r="L11" s="186">
        <v>0</v>
      </c>
      <c r="M11" s="142">
        <f t="shared" ref="M11:M16" si="3">SUM(D11:L11)</f>
        <v>8145</v>
      </c>
      <c r="N11" s="143">
        <f t="shared" si="0"/>
        <v>16290</v>
      </c>
    </row>
    <row r="12" spans="1:14" s="82" customFormat="1" ht="20.100000000000001" customHeight="1">
      <c r="A12" s="191" t="s">
        <v>456</v>
      </c>
      <c r="B12" s="185" t="s">
        <v>854</v>
      </c>
      <c r="C12" s="185" t="s">
        <v>375</v>
      </c>
      <c r="D12" s="186">
        <v>4032</v>
      </c>
      <c r="E12" s="186">
        <v>1152</v>
      </c>
      <c r="F12" s="186">
        <v>105</v>
      </c>
      <c r="G12" s="186">
        <v>0</v>
      </c>
      <c r="H12" s="186">
        <v>0</v>
      </c>
      <c r="I12" s="186">
        <v>0</v>
      </c>
      <c r="J12" s="186">
        <v>300</v>
      </c>
      <c r="K12" s="186">
        <v>900</v>
      </c>
      <c r="L12" s="186">
        <v>0</v>
      </c>
      <c r="M12" s="142">
        <f t="shared" si="3"/>
        <v>6489</v>
      </c>
      <c r="N12" s="143">
        <f t="shared" si="0"/>
        <v>12978</v>
      </c>
    </row>
    <row r="13" spans="1:14" s="82" customFormat="1" ht="20.100000000000001" customHeight="1">
      <c r="A13" s="191" t="s">
        <v>457</v>
      </c>
      <c r="B13" s="185" t="s">
        <v>854</v>
      </c>
      <c r="C13" s="185" t="s">
        <v>375</v>
      </c>
      <c r="D13" s="186">
        <v>960</v>
      </c>
      <c r="E13" s="186">
        <v>576</v>
      </c>
      <c r="F13" s="186">
        <v>35</v>
      </c>
      <c r="G13" s="186">
        <v>0</v>
      </c>
      <c r="H13" s="186">
        <v>0</v>
      </c>
      <c r="I13" s="186">
        <v>0</v>
      </c>
      <c r="J13" s="186">
        <v>100</v>
      </c>
      <c r="K13" s="186">
        <v>100</v>
      </c>
      <c r="L13" s="186">
        <v>0</v>
      </c>
      <c r="M13" s="142">
        <f t="shared" si="3"/>
        <v>1771</v>
      </c>
      <c r="N13" s="143">
        <f t="shared" si="0"/>
        <v>3542</v>
      </c>
    </row>
    <row r="14" spans="1:14" s="82" customFormat="1" ht="20.100000000000001" customHeight="1">
      <c r="A14" s="192" t="s">
        <v>855</v>
      </c>
      <c r="B14" s="185" t="s">
        <v>854</v>
      </c>
      <c r="C14" s="185" t="s">
        <v>375</v>
      </c>
      <c r="D14" s="186">
        <v>6912</v>
      </c>
      <c r="E14" s="186">
        <v>3456</v>
      </c>
      <c r="F14" s="186">
        <v>210</v>
      </c>
      <c r="G14" s="186">
        <v>0</v>
      </c>
      <c r="H14" s="186">
        <v>0</v>
      </c>
      <c r="I14" s="186">
        <v>0</v>
      </c>
      <c r="J14" s="186">
        <v>600</v>
      </c>
      <c r="K14" s="186">
        <v>1800</v>
      </c>
      <c r="L14" s="186">
        <v>0</v>
      </c>
      <c r="M14" s="142">
        <f t="shared" si="3"/>
        <v>12978</v>
      </c>
      <c r="N14" s="143">
        <f t="shared" si="0"/>
        <v>25956</v>
      </c>
    </row>
    <row r="15" spans="1:14" s="82" customFormat="1" ht="20.100000000000001" customHeight="1">
      <c r="A15" s="191" t="s">
        <v>856</v>
      </c>
      <c r="B15" s="185" t="s">
        <v>854</v>
      </c>
      <c r="C15" s="185" t="s">
        <v>375</v>
      </c>
      <c r="D15" s="186">
        <v>4032</v>
      </c>
      <c r="E15" s="186">
        <v>1152</v>
      </c>
      <c r="F15" s="186">
        <v>105</v>
      </c>
      <c r="G15" s="186">
        <v>0</v>
      </c>
      <c r="H15" s="186">
        <v>0</v>
      </c>
      <c r="I15" s="186">
        <v>0</v>
      </c>
      <c r="J15" s="186">
        <v>300</v>
      </c>
      <c r="K15" s="186">
        <v>900</v>
      </c>
      <c r="L15" s="186">
        <v>0</v>
      </c>
      <c r="M15" s="142">
        <f t="shared" si="3"/>
        <v>6489</v>
      </c>
      <c r="N15" s="143">
        <f t="shared" si="0"/>
        <v>12978</v>
      </c>
    </row>
    <row r="16" spans="1:14" s="82" customFormat="1" ht="20.100000000000001" customHeight="1">
      <c r="A16" s="191" t="s">
        <v>857</v>
      </c>
      <c r="B16" s="185" t="s">
        <v>854</v>
      </c>
      <c r="C16" s="185" t="s">
        <v>375</v>
      </c>
      <c r="D16" s="186">
        <v>3168</v>
      </c>
      <c r="E16" s="186">
        <v>1152</v>
      </c>
      <c r="F16" s="186">
        <v>105</v>
      </c>
      <c r="G16" s="186">
        <v>0</v>
      </c>
      <c r="H16" s="186">
        <v>0</v>
      </c>
      <c r="I16" s="186">
        <v>0</v>
      </c>
      <c r="J16" s="186">
        <v>300</v>
      </c>
      <c r="K16" s="186">
        <v>360</v>
      </c>
      <c r="L16" s="186">
        <v>0</v>
      </c>
      <c r="M16" s="142">
        <f t="shared" si="3"/>
        <v>5085</v>
      </c>
      <c r="N16" s="143">
        <f t="shared" si="0"/>
        <v>10170</v>
      </c>
    </row>
    <row r="17" spans="1:14" s="82" customFormat="1" ht="20.100000000000001" customHeight="1">
      <c r="A17" s="188" t="s">
        <v>858</v>
      </c>
      <c r="B17" s="189"/>
      <c r="C17" s="189"/>
      <c r="D17" s="190">
        <f>SUM(D11:D16)</f>
        <v>24384</v>
      </c>
      <c r="E17" s="190">
        <f t="shared" ref="E17:N17" si="4">SUM(E11:E16)</f>
        <v>8928</v>
      </c>
      <c r="F17" s="190">
        <f t="shared" si="4"/>
        <v>735</v>
      </c>
      <c r="G17" s="190">
        <f t="shared" si="4"/>
        <v>0</v>
      </c>
      <c r="H17" s="190">
        <f t="shared" si="4"/>
        <v>0</v>
      </c>
      <c r="I17" s="190">
        <f t="shared" si="4"/>
        <v>0</v>
      </c>
      <c r="J17" s="190">
        <f t="shared" si="4"/>
        <v>2100</v>
      </c>
      <c r="K17" s="190">
        <f t="shared" si="4"/>
        <v>4810</v>
      </c>
      <c r="L17" s="190">
        <f t="shared" si="4"/>
        <v>0</v>
      </c>
      <c r="M17" s="190">
        <f t="shared" si="4"/>
        <v>40957</v>
      </c>
      <c r="N17" s="190">
        <f t="shared" si="4"/>
        <v>81914</v>
      </c>
    </row>
    <row r="18" spans="1:14" s="82" customFormat="1" ht="20.100000000000001" customHeight="1">
      <c r="A18" s="191" t="s">
        <v>434</v>
      </c>
      <c r="B18" s="185" t="s">
        <v>859</v>
      </c>
      <c r="C18" s="185" t="s">
        <v>375</v>
      </c>
      <c r="D18" s="186">
        <v>5290</v>
      </c>
      <c r="E18" s="186">
        <v>3456</v>
      </c>
      <c r="F18" s="186">
        <v>210</v>
      </c>
      <c r="G18" s="186">
        <v>0</v>
      </c>
      <c r="H18" s="186">
        <v>0</v>
      </c>
      <c r="I18" s="186">
        <v>0</v>
      </c>
      <c r="J18" s="186">
        <v>600</v>
      </c>
      <c r="K18" s="186">
        <v>600</v>
      </c>
      <c r="L18" s="186">
        <v>1470</v>
      </c>
      <c r="M18" s="142">
        <f t="shared" ref="M18:M53" si="5">SUM(D18:L18)</f>
        <v>11626</v>
      </c>
      <c r="N18" s="143">
        <f t="shared" si="0"/>
        <v>23252</v>
      </c>
    </row>
    <row r="19" spans="1:14" s="82" customFormat="1" ht="20.100000000000001" customHeight="1">
      <c r="A19" s="184" t="s">
        <v>860</v>
      </c>
      <c r="B19" s="185" t="s">
        <v>859</v>
      </c>
      <c r="C19" s="185" t="s">
        <v>375</v>
      </c>
      <c r="D19" s="186">
        <v>2304</v>
      </c>
      <c r="E19" s="186">
        <v>1728</v>
      </c>
      <c r="F19" s="186">
        <v>105</v>
      </c>
      <c r="G19" s="186">
        <v>0</v>
      </c>
      <c r="H19" s="186">
        <v>0</v>
      </c>
      <c r="I19" s="186">
        <v>0</v>
      </c>
      <c r="J19" s="186">
        <v>300</v>
      </c>
      <c r="K19" s="186">
        <v>300</v>
      </c>
      <c r="L19" s="186">
        <v>0</v>
      </c>
      <c r="M19" s="142">
        <f t="shared" si="5"/>
        <v>4737</v>
      </c>
      <c r="N19" s="143">
        <f t="shared" si="0"/>
        <v>9474</v>
      </c>
    </row>
    <row r="20" spans="1:14" s="82" customFormat="1" ht="20.100000000000001" customHeight="1">
      <c r="A20" s="191" t="s">
        <v>437</v>
      </c>
      <c r="B20" s="185" t="s">
        <v>859</v>
      </c>
      <c r="C20" s="185" t="s">
        <v>375</v>
      </c>
      <c r="D20" s="186">
        <v>1476</v>
      </c>
      <c r="E20" s="186">
        <v>820</v>
      </c>
      <c r="F20" s="186">
        <v>70</v>
      </c>
      <c r="G20" s="186">
        <v>0</v>
      </c>
      <c r="H20" s="186">
        <v>0</v>
      </c>
      <c r="I20" s="186">
        <v>0</v>
      </c>
      <c r="J20" s="186">
        <v>200</v>
      </c>
      <c r="K20" s="186">
        <v>200</v>
      </c>
      <c r="L20" s="186">
        <v>0</v>
      </c>
      <c r="M20" s="142">
        <f t="shared" si="5"/>
        <v>2766</v>
      </c>
      <c r="N20" s="143">
        <f t="shared" si="0"/>
        <v>5532</v>
      </c>
    </row>
    <row r="21" spans="1:14" s="82" customFormat="1" ht="20.100000000000001" customHeight="1">
      <c r="A21" s="191" t="s">
        <v>439</v>
      </c>
      <c r="B21" s="193" t="s">
        <v>859</v>
      </c>
      <c r="C21" s="185" t="s">
        <v>375</v>
      </c>
      <c r="D21" s="186">
        <v>5376</v>
      </c>
      <c r="E21" s="186">
        <v>4032</v>
      </c>
      <c r="F21" s="186">
        <v>245</v>
      </c>
      <c r="G21" s="186">
        <v>0</v>
      </c>
      <c r="H21" s="186">
        <v>0</v>
      </c>
      <c r="I21" s="186">
        <v>0</v>
      </c>
      <c r="J21" s="186">
        <v>700</v>
      </c>
      <c r="K21" s="186">
        <v>1050</v>
      </c>
      <c r="L21" s="186">
        <v>0</v>
      </c>
      <c r="M21" s="142">
        <f t="shared" si="5"/>
        <v>11403</v>
      </c>
      <c r="N21" s="143">
        <f t="shared" si="0"/>
        <v>22806</v>
      </c>
    </row>
    <row r="22" spans="1:14" s="82" customFormat="1" ht="20.100000000000001" customHeight="1">
      <c r="A22" s="191" t="s">
        <v>438</v>
      </c>
      <c r="B22" s="185" t="s">
        <v>859</v>
      </c>
      <c r="C22" s="185" t="s">
        <v>375</v>
      </c>
      <c r="D22" s="186">
        <v>7680</v>
      </c>
      <c r="E22" s="186">
        <v>5760</v>
      </c>
      <c r="F22" s="186">
        <v>350</v>
      </c>
      <c r="G22" s="186">
        <v>0</v>
      </c>
      <c r="H22" s="186">
        <v>0</v>
      </c>
      <c r="I22" s="186">
        <v>0</v>
      </c>
      <c r="J22" s="186">
        <v>1000</v>
      </c>
      <c r="K22" s="186">
        <v>1000</v>
      </c>
      <c r="L22" s="186">
        <v>0</v>
      </c>
      <c r="M22" s="142">
        <f t="shared" si="5"/>
        <v>15790</v>
      </c>
      <c r="N22" s="143">
        <f t="shared" si="0"/>
        <v>31580</v>
      </c>
    </row>
    <row r="23" spans="1:14" s="82" customFormat="1" ht="20.100000000000001" customHeight="1">
      <c r="A23" s="191" t="s">
        <v>435</v>
      </c>
      <c r="B23" s="185" t="s">
        <v>859</v>
      </c>
      <c r="C23" s="185" t="s">
        <v>375</v>
      </c>
      <c r="D23" s="186">
        <v>2304</v>
      </c>
      <c r="E23" s="186">
        <v>1728</v>
      </c>
      <c r="F23" s="186">
        <v>105</v>
      </c>
      <c r="G23" s="186">
        <v>0</v>
      </c>
      <c r="H23" s="186">
        <v>0</v>
      </c>
      <c r="I23" s="186">
        <v>0</v>
      </c>
      <c r="J23" s="186">
        <v>300</v>
      </c>
      <c r="K23" s="186">
        <v>300</v>
      </c>
      <c r="L23" s="186">
        <v>0</v>
      </c>
      <c r="M23" s="142">
        <f t="shared" si="5"/>
        <v>4737</v>
      </c>
      <c r="N23" s="143">
        <f t="shared" si="0"/>
        <v>9474</v>
      </c>
    </row>
    <row r="24" spans="1:14" s="82" customFormat="1" ht="20.100000000000001" customHeight="1">
      <c r="A24" s="191" t="s">
        <v>861</v>
      </c>
      <c r="B24" s="185" t="s">
        <v>859</v>
      </c>
      <c r="C24" s="185" t="s">
        <v>375</v>
      </c>
      <c r="D24" s="186">
        <v>3072</v>
      </c>
      <c r="E24" s="186">
        <v>2304</v>
      </c>
      <c r="F24" s="186">
        <v>140</v>
      </c>
      <c r="G24" s="186">
        <v>0</v>
      </c>
      <c r="H24" s="186">
        <v>0</v>
      </c>
      <c r="I24" s="186">
        <v>0</v>
      </c>
      <c r="J24" s="186">
        <v>400</v>
      </c>
      <c r="K24" s="186">
        <v>600</v>
      </c>
      <c r="L24" s="186">
        <v>0</v>
      </c>
      <c r="M24" s="142">
        <f t="shared" si="5"/>
        <v>6516</v>
      </c>
      <c r="N24" s="143">
        <f t="shared" si="0"/>
        <v>13032</v>
      </c>
    </row>
    <row r="25" spans="1:14" s="82" customFormat="1" ht="20.100000000000001" customHeight="1">
      <c r="A25" s="191" t="s">
        <v>862</v>
      </c>
      <c r="B25" s="185" t="s">
        <v>859</v>
      </c>
      <c r="C25" s="185" t="s">
        <v>375</v>
      </c>
      <c r="D25" s="186">
        <v>3840</v>
      </c>
      <c r="E25" s="186">
        <v>2880</v>
      </c>
      <c r="F25" s="186">
        <v>175</v>
      </c>
      <c r="G25" s="186">
        <v>0</v>
      </c>
      <c r="H25" s="186">
        <v>0</v>
      </c>
      <c r="I25" s="186">
        <v>0</v>
      </c>
      <c r="J25" s="186">
        <v>500</v>
      </c>
      <c r="K25" s="186">
        <v>500</v>
      </c>
      <c r="L25" s="186">
        <v>0</v>
      </c>
      <c r="M25" s="142">
        <f t="shared" si="5"/>
        <v>7895</v>
      </c>
      <c r="N25" s="143">
        <f t="shared" si="0"/>
        <v>15790</v>
      </c>
    </row>
    <row r="26" spans="1:14" s="82" customFormat="1" ht="20.100000000000001" customHeight="1">
      <c r="A26" s="188" t="s">
        <v>863</v>
      </c>
      <c r="B26" s="189"/>
      <c r="C26" s="189"/>
      <c r="D26" s="190">
        <f>SUM(D18:D25)</f>
        <v>31342</v>
      </c>
      <c r="E26" s="190">
        <f t="shared" ref="E26:N26" si="6">SUM(E18:E25)</f>
        <v>22708</v>
      </c>
      <c r="F26" s="190">
        <f t="shared" si="6"/>
        <v>1400</v>
      </c>
      <c r="G26" s="190">
        <f t="shared" si="6"/>
        <v>0</v>
      </c>
      <c r="H26" s="190">
        <f t="shared" si="6"/>
        <v>0</v>
      </c>
      <c r="I26" s="190">
        <f t="shared" si="6"/>
        <v>0</v>
      </c>
      <c r="J26" s="190">
        <f t="shared" si="6"/>
        <v>4000</v>
      </c>
      <c r="K26" s="190">
        <f t="shared" si="6"/>
        <v>4550</v>
      </c>
      <c r="L26" s="190">
        <f t="shared" si="6"/>
        <v>1470</v>
      </c>
      <c r="M26" s="190">
        <f t="shared" si="6"/>
        <v>65470</v>
      </c>
      <c r="N26" s="190">
        <f t="shared" si="6"/>
        <v>130940</v>
      </c>
    </row>
    <row r="27" spans="1:14" s="82" customFormat="1" ht="20.100000000000001" customHeight="1">
      <c r="A27" s="191" t="s">
        <v>415</v>
      </c>
      <c r="B27" s="185" t="s">
        <v>864</v>
      </c>
      <c r="C27" s="185" t="s">
        <v>375</v>
      </c>
      <c r="D27" s="186">
        <v>4992</v>
      </c>
      <c r="E27" s="186">
        <v>1862.4</v>
      </c>
      <c r="F27" s="186">
        <v>140</v>
      </c>
      <c r="G27" s="186">
        <v>0</v>
      </c>
      <c r="H27" s="186">
        <v>0</v>
      </c>
      <c r="I27" s="186">
        <v>0</v>
      </c>
      <c r="J27" s="186">
        <v>400</v>
      </c>
      <c r="K27" s="186">
        <v>720</v>
      </c>
      <c r="L27" s="186">
        <v>0</v>
      </c>
      <c r="M27" s="142">
        <f t="shared" si="5"/>
        <v>8114.4</v>
      </c>
      <c r="N27" s="143">
        <f t="shared" si="0"/>
        <v>16228.8</v>
      </c>
    </row>
    <row r="28" spans="1:14" s="82" customFormat="1" ht="20.100000000000001" customHeight="1">
      <c r="A28" s="191" t="s">
        <v>413</v>
      </c>
      <c r="B28" s="185" t="s">
        <v>864</v>
      </c>
      <c r="C28" s="185" t="s">
        <v>375</v>
      </c>
      <c r="D28" s="186">
        <v>2592</v>
      </c>
      <c r="E28" s="186">
        <v>1440</v>
      </c>
      <c r="F28" s="186">
        <v>105</v>
      </c>
      <c r="G28" s="186">
        <v>0</v>
      </c>
      <c r="H28" s="186">
        <v>0</v>
      </c>
      <c r="I28" s="186">
        <v>0</v>
      </c>
      <c r="J28" s="186">
        <v>300</v>
      </c>
      <c r="K28" s="186">
        <v>600</v>
      </c>
      <c r="L28" s="186">
        <v>0</v>
      </c>
      <c r="M28" s="142">
        <f t="shared" si="5"/>
        <v>5037</v>
      </c>
      <c r="N28" s="143">
        <f t="shared" si="0"/>
        <v>10074</v>
      </c>
    </row>
    <row r="29" spans="1:14" s="82" customFormat="1" ht="20.100000000000001" customHeight="1">
      <c r="A29" s="191" t="s">
        <v>414</v>
      </c>
      <c r="B29" s="185" t="s">
        <v>864</v>
      </c>
      <c r="C29" s="185" t="s">
        <v>375</v>
      </c>
      <c r="D29" s="186">
        <v>383</v>
      </c>
      <c r="E29" s="186">
        <v>1152</v>
      </c>
      <c r="F29" s="186">
        <v>105</v>
      </c>
      <c r="G29" s="186">
        <v>0</v>
      </c>
      <c r="H29" s="186">
        <v>0</v>
      </c>
      <c r="I29" s="186">
        <v>0</v>
      </c>
      <c r="J29" s="186">
        <v>300</v>
      </c>
      <c r="K29" s="186">
        <v>300</v>
      </c>
      <c r="L29" s="186">
        <v>0</v>
      </c>
      <c r="M29" s="142">
        <f t="shared" si="5"/>
        <v>2240</v>
      </c>
      <c r="N29" s="143">
        <f t="shared" si="0"/>
        <v>4480</v>
      </c>
    </row>
    <row r="30" spans="1:14" s="82" customFormat="1" ht="20.100000000000001" customHeight="1">
      <c r="A30" s="191" t="s">
        <v>417</v>
      </c>
      <c r="B30" s="185" t="s">
        <v>864</v>
      </c>
      <c r="C30" s="185" t="s">
        <v>375</v>
      </c>
      <c r="D30" s="186">
        <v>3456</v>
      </c>
      <c r="E30" s="186">
        <v>2304</v>
      </c>
      <c r="F30" s="186">
        <v>140</v>
      </c>
      <c r="G30" s="186">
        <v>20</v>
      </c>
      <c r="H30" s="186">
        <v>0</v>
      </c>
      <c r="I30" s="186">
        <v>0</v>
      </c>
      <c r="J30" s="186">
        <v>400</v>
      </c>
      <c r="K30" s="186">
        <v>400</v>
      </c>
      <c r="L30" s="186">
        <v>0</v>
      </c>
      <c r="M30" s="142">
        <f t="shared" si="5"/>
        <v>6720</v>
      </c>
      <c r="N30" s="143">
        <f t="shared" si="0"/>
        <v>13440</v>
      </c>
    </row>
    <row r="31" spans="1:14" s="82" customFormat="1" ht="20.100000000000001" customHeight="1">
      <c r="A31" s="184" t="s">
        <v>271</v>
      </c>
      <c r="B31" s="185" t="s">
        <v>864</v>
      </c>
      <c r="C31" s="185" t="s">
        <v>375</v>
      </c>
      <c r="D31" s="186">
        <v>6720</v>
      </c>
      <c r="E31" s="186">
        <v>3360</v>
      </c>
      <c r="F31" s="186">
        <v>245</v>
      </c>
      <c r="G31" s="186">
        <v>0</v>
      </c>
      <c r="H31" s="186">
        <v>0</v>
      </c>
      <c r="I31" s="186">
        <v>0</v>
      </c>
      <c r="J31" s="186">
        <v>700</v>
      </c>
      <c r="K31" s="186">
        <v>700</v>
      </c>
      <c r="L31" s="186">
        <v>0</v>
      </c>
      <c r="M31" s="142">
        <f t="shared" si="5"/>
        <v>11725</v>
      </c>
      <c r="N31" s="143">
        <f t="shared" si="0"/>
        <v>23450</v>
      </c>
    </row>
    <row r="32" spans="1:14" s="82" customFormat="1" ht="20.100000000000001" customHeight="1">
      <c r="A32" s="191" t="s">
        <v>419</v>
      </c>
      <c r="B32" s="185" t="s">
        <v>864</v>
      </c>
      <c r="C32" s="185" t="s">
        <v>375</v>
      </c>
      <c r="D32" s="186">
        <v>7392</v>
      </c>
      <c r="E32" s="186">
        <v>2688</v>
      </c>
      <c r="F32" s="186">
        <v>245</v>
      </c>
      <c r="G32" s="186">
        <v>0</v>
      </c>
      <c r="H32" s="186">
        <v>0</v>
      </c>
      <c r="I32" s="186">
        <v>0</v>
      </c>
      <c r="J32" s="186">
        <v>700</v>
      </c>
      <c r="K32" s="186">
        <v>700</v>
      </c>
      <c r="L32" s="186">
        <v>0</v>
      </c>
      <c r="M32" s="142">
        <f t="shared" si="5"/>
        <v>11725</v>
      </c>
      <c r="N32" s="143">
        <f t="shared" si="0"/>
        <v>23450</v>
      </c>
    </row>
    <row r="33" spans="1:14" s="82" customFormat="1" ht="20.100000000000001" customHeight="1">
      <c r="A33" s="184" t="s">
        <v>272</v>
      </c>
      <c r="B33" s="185" t="s">
        <v>864</v>
      </c>
      <c r="C33" s="185" t="s">
        <v>375</v>
      </c>
      <c r="D33" s="186">
        <v>1140</v>
      </c>
      <c r="E33" s="186">
        <v>475</v>
      </c>
      <c r="F33" s="186">
        <v>35</v>
      </c>
      <c r="G33" s="186">
        <v>0</v>
      </c>
      <c r="H33" s="186">
        <v>0</v>
      </c>
      <c r="I33" s="186">
        <v>0</v>
      </c>
      <c r="J33" s="186">
        <v>100</v>
      </c>
      <c r="K33" s="186">
        <v>200</v>
      </c>
      <c r="L33" s="186">
        <v>0</v>
      </c>
      <c r="M33" s="142">
        <f t="shared" si="5"/>
        <v>1950</v>
      </c>
      <c r="N33" s="143">
        <f t="shared" si="0"/>
        <v>3900</v>
      </c>
    </row>
    <row r="34" spans="1:14" s="82" customFormat="1" ht="20.100000000000001" customHeight="1">
      <c r="A34" s="188" t="s">
        <v>865</v>
      </c>
      <c r="B34" s="189"/>
      <c r="C34" s="189"/>
      <c r="D34" s="190">
        <f t="shared" ref="D34:N34" si="7">SUM(D27:D33)</f>
        <v>26675</v>
      </c>
      <c r="E34" s="190">
        <f t="shared" si="7"/>
        <v>13281.4</v>
      </c>
      <c r="F34" s="190">
        <f t="shared" si="7"/>
        <v>1015</v>
      </c>
      <c r="G34" s="190">
        <f t="shared" si="7"/>
        <v>20</v>
      </c>
      <c r="H34" s="190">
        <f t="shared" si="7"/>
        <v>0</v>
      </c>
      <c r="I34" s="190">
        <f t="shared" si="7"/>
        <v>0</v>
      </c>
      <c r="J34" s="190">
        <f t="shared" si="7"/>
        <v>2900</v>
      </c>
      <c r="K34" s="190">
        <f t="shared" si="7"/>
        <v>3620</v>
      </c>
      <c r="L34" s="190">
        <f t="shared" si="7"/>
        <v>0</v>
      </c>
      <c r="M34" s="190">
        <f t="shared" si="7"/>
        <v>47511.4</v>
      </c>
      <c r="N34" s="190">
        <f t="shared" si="7"/>
        <v>95022.8</v>
      </c>
    </row>
    <row r="35" spans="1:14" s="82" customFormat="1" ht="20.100000000000001" customHeight="1">
      <c r="A35" s="194" t="s">
        <v>866</v>
      </c>
      <c r="B35" s="185" t="s">
        <v>867</v>
      </c>
      <c r="C35" s="185" t="s">
        <v>375</v>
      </c>
      <c r="D35" s="186">
        <v>864</v>
      </c>
      <c r="E35" s="186">
        <v>384</v>
      </c>
      <c r="F35" s="186">
        <v>35</v>
      </c>
      <c r="G35" s="186">
        <v>0</v>
      </c>
      <c r="H35" s="186">
        <v>0</v>
      </c>
      <c r="I35" s="186">
        <v>0</v>
      </c>
      <c r="J35" s="186">
        <v>100</v>
      </c>
      <c r="K35" s="186">
        <v>100</v>
      </c>
      <c r="L35" s="186">
        <v>0</v>
      </c>
      <c r="M35" s="142">
        <f t="shared" si="5"/>
        <v>1483</v>
      </c>
      <c r="N35" s="143">
        <f t="shared" si="0"/>
        <v>2966</v>
      </c>
    </row>
    <row r="36" spans="1:14" s="82" customFormat="1" ht="20.100000000000001" customHeight="1">
      <c r="A36" s="191" t="s">
        <v>399</v>
      </c>
      <c r="B36" s="185" t="s">
        <v>867</v>
      </c>
      <c r="C36" s="185" t="s">
        <v>375</v>
      </c>
      <c r="D36" s="186">
        <v>1728</v>
      </c>
      <c r="E36" s="186">
        <v>768</v>
      </c>
      <c r="F36" s="186">
        <v>70</v>
      </c>
      <c r="G36" s="186">
        <v>0</v>
      </c>
      <c r="H36" s="186">
        <v>0</v>
      </c>
      <c r="I36" s="186">
        <v>0</v>
      </c>
      <c r="J36" s="186">
        <v>200</v>
      </c>
      <c r="K36" s="186">
        <v>200</v>
      </c>
      <c r="L36" s="186">
        <v>0</v>
      </c>
      <c r="M36" s="142">
        <f t="shared" si="5"/>
        <v>2966</v>
      </c>
      <c r="N36" s="143">
        <f t="shared" si="0"/>
        <v>5932</v>
      </c>
    </row>
    <row r="37" spans="1:14" s="82" customFormat="1" ht="20.100000000000001" customHeight="1">
      <c r="A37" s="191" t="s">
        <v>400</v>
      </c>
      <c r="B37" s="185" t="s">
        <v>867</v>
      </c>
      <c r="C37" s="185" t="s">
        <v>375</v>
      </c>
      <c r="D37" s="186">
        <v>6048</v>
      </c>
      <c r="E37" s="186">
        <v>2688</v>
      </c>
      <c r="F37" s="186">
        <v>245</v>
      </c>
      <c r="G37" s="186">
        <v>0</v>
      </c>
      <c r="H37" s="186">
        <v>0</v>
      </c>
      <c r="I37" s="186">
        <v>0</v>
      </c>
      <c r="J37" s="186">
        <v>700</v>
      </c>
      <c r="K37" s="186">
        <v>700</v>
      </c>
      <c r="L37" s="186">
        <v>0</v>
      </c>
      <c r="M37" s="142">
        <f t="shared" si="5"/>
        <v>10381</v>
      </c>
      <c r="N37" s="143">
        <f t="shared" si="0"/>
        <v>20762</v>
      </c>
    </row>
    <row r="38" spans="1:14" s="82" customFormat="1" ht="20.100000000000001" customHeight="1">
      <c r="A38" s="187" t="s">
        <v>284</v>
      </c>
      <c r="B38" s="185" t="s">
        <v>867</v>
      </c>
      <c r="C38" s="185" t="s">
        <v>375</v>
      </c>
      <c r="D38" s="186">
        <v>5760</v>
      </c>
      <c r="E38" s="186">
        <v>2304</v>
      </c>
      <c r="F38" s="186">
        <v>210</v>
      </c>
      <c r="G38" s="186">
        <v>0</v>
      </c>
      <c r="H38" s="186">
        <v>0</v>
      </c>
      <c r="I38" s="186">
        <v>0</v>
      </c>
      <c r="J38" s="186">
        <v>600</v>
      </c>
      <c r="K38" s="186">
        <v>1800</v>
      </c>
      <c r="L38" s="186">
        <v>0</v>
      </c>
      <c r="M38" s="142">
        <f t="shared" si="5"/>
        <v>10674</v>
      </c>
      <c r="N38" s="143">
        <f t="shared" si="0"/>
        <v>21348</v>
      </c>
    </row>
    <row r="39" spans="1:14" s="82" customFormat="1" ht="20.100000000000001" customHeight="1">
      <c r="A39" s="188" t="s">
        <v>868</v>
      </c>
      <c r="B39" s="189"/>
      <c r="C39" s="189"/>
      <c r="D39" s="190">
        <f>SUM(D35:D38)</f>
        <v>14400</v>
      </c>
      <c r="E39" s="190">
        <f t="shared" ref="E39:N39" si="8">SUM(E35:E38)</f>
        <v>6144</v>
      </c>
      <c r="F39" s="190">
        <f t="shared" si="8"/>
        <v>560</v>
      </c>
      <c r="G39" s="190">
        <f t="shared" si="8"/>
        <v>0</v>
      </c>
      <c r="H39" s="190">
        <f t="shared" si="8"/>
        <v>0</v>
      </c>
      <c r="I39" s="190">
        <f t="shared" si="8"/>
        <v>0</v>
      </c>
      <c r="J39" s="190">
        <f t="shared" si="8"/>
        <v>1600</v>
      </c>
      <c r="K39" s="190">
        <f t="shared" si="8"/>
        <v>2800</v>
      </c>
      <c r="L39" s="190">
        <f t="shared" si="8"/>
        <v>0</v>
      </c>
      <c r="M39" s="190">
        <f t="shared" si="8"/>
        <v>25504</v>
      </c>
      <c r="N39" s="190">
        <f t="shared" si="8"/>
        <v>51008</v>
      </c>
    </row>
    <row r="40" spans="1:14" s="82" customFormat="1" ht="20.100000000000001" customHeight="1">
      <c r="A40" s="191" t="s">
        <v>386</v>
      </c>
      <c r="B40" s="185" t="s">
        <v>869</v>
      </c>
      <c r="C40" s="185" t="s">
        <v>375</v>
      </c>
      <c r="D40" s="186">
        <v>8400</v>
      </c>
      <c r="E40" s="186">
        <v>3696</v>
      </c>
      <c r="F40" s="186">
        <v>210</v>
      </c>
      <c r="G40" s="186">
        <v>0</v>
      </c>
      <c r="H40" s="186">
        <v>0</v>
      </c>
      <c r="I40" s="186">
        <v>0</v>
      </c>
      <c r="J40" s="186">
        <v>700</v>
      </c>
      <c r="K40" s="186">
        <v>600</v>
      </c>
      <c r="L40" s="186">
        <v>0</v>
      </c>
      <c r="M40" s="142">
        <f t="shared" si="5"/>
        <v>13606</v>
      </c>
      <c r="N40" s="143">
        <f t="shared" si="0"/>
        <v>27212</v>
      </c>
    </row>
    <row r="41" spans="1:14" s="82" customFormat="1" ht="20.100000000000001" customHeight="1">
      <c r="A41" s="191" t="s">
        <v>388</v>
      </c>
      <c r="B41" s="185" t="s">
        <v>869</v>
      </c>
      <c r="C41" s="185" t="s">
        <v>375</v>
      </c>
      <c r="D41" s="186">
        <v>3168</v>
      </c>
      <c r="E41" s="186">
        <v>1152</v>
      </c>
      <c r="F41" s="186">
        <v>105</v>
      </c>
      <c r="G41" s="186">
        <v>0</v>
      </c>
      <c r="H41" s="186">
        <v>0</v>
      </c>
      <c r="I41" s="186">
        <v>0</v>
      </c>
      <c r="J41" s="186">
        <v>300</v>
      </c>
      <c r="K41" s="186">
        <v>600</v>
      </c>
      <c r="L41" s="186">
        <v>0</v>
      </c>
      <c r="M41" s="142">
        <f t="shared" si="5"/>
        <v>5325</v>
      </c>
      <c r="N41" s="143">
        <f t="shared" si="0"/>
        <v>10650</v>
      </c>
    </row>
    <row r="42" spans="1:14" s="82" customFormat="1" ht="20.100000000000001" customHeight="1">
      <c r="A42" s="191" t="s">
        <v>385</v>
      </c>
      <c r="B42" s="185" t="s">
        <v>869</v>
      </c>
      <c r="C42" s="185" t="s">
        <v>375</v>
      </c>
      <c r="D42" s="186">
        <v>2880</v>
      </c>
      <c r="E42" s="186">
        <v>1440</v>
      </c>
      <c r="F42" s="186">
        <v>105</v>
      </c>
      <c r="G42" s="186">
        <v>0</v>
      </c>
      <c r="H42" s="186">
        <v>0</v>
      </c>
      <c r="I42" s="186">
        <v>0</v>
      </c>
      <c r="J42" s="186">
        <v>300</v>
      </c>
      <c r="K42" s="186">
        <v>300</v>
      </c>
      <c r="L42" s="186">
        <v>0</v>
      </c>
      <c r="M42" s="142">
        <f t="shared" si="5"/>
        <v>5025</v>
      </c>
      <c r="N42" s="143">
        <f t="shared" si="0"/>
        <v>10050</v>
      </c>
    </row>
    <row r="43" spans="1:14" s="82" customFormat="1" ht="20.100000000000001" customHeight="1">
      <c r="A43" s="191" t="s">
        <v>870</v>
      </c>
      <c r="B43" s="185" t="s">
        <v>869</v>
      </c>
      <c r="C43" s="185" t="s">
        <v>375</v>
      </c>
      <c r="D43" s="186">
        <v>2880</v>
      </c>
      <c r="E43" s="186">
        <v>1440</v>
      </c>
      <c r="F43" s="186">
        <v>105</v>
      </c>
      <c r="G43" s="186">
        <v>0</v>
      </c>
      <c r="H43" s="186">
        <v>0</v>
      </c>
      <c r="I43" s="186">
        <v>0</v>
      </c>
      <c r="J43" s="186">
        <v>300</v>
      </c>
      <c r="K43" s="186">
        <v>450</v>
      </c>
      <c r="L43" s="186">
        <v>0</v>
      </c>
      <c r="M43" s="142">
        <f t="shared" si="5"/>
        <v>5175</v>
      </c>
      <c r="N43" s="143">
        <f t="shared" si="0"/>
        <v>10350</v>
      </c>
    </row>
    <row r="44" spans="1:14" s="82" customFormat="1" ht="20.100000000000001" customHeight="1">
      <c r="A44" s="188" t="s">
        <v>871</v>
      </c>
      <c r="B44" s="189"/>
      <c r="C44" s="189"/>
      <c r="D44" s="190">
        <f>SUM(D40:D43)</f>
        <v>17328</v>
      </c>
      <c r="E44" s="190">
        <f t="shared" ref="E44:N44" si="9">SUM(E40:E43)</f>
        <v>7728</v>
      </c>
      <c r="F44" s="190">
        <f t="shared" si="9"/>
        <v>525</v>
      </c>
      <c r="G44" s="190">
        <f t="shared" si="9"/>
        <v>0</v>
      </c>
      <c r="H44" s="190">
        <f t="shared" si="9"/>
        <v>0</v>
      </c>
      <c r="I44" s="190">
        <f t="shared" si="9"/>
        <v>0</v>
      </c>
      <c r="J44" s="190">
        <f t="shared" si="9"/>
        <v>1600</v>
      </c>
      <c r="K44" s="190">
        <f t="shared" si="9"/>
        <v>1950</v>
      </c>
      <c r="L44" s="190">
        <f t="shared" si="9"/>
        <v>0</v>
      </c>
      <c r="M44" s="190">
        <f t="shared" si="9"/>
        <v>29131</v>
      </c>
      <c r="N44" s="190">
        <f t="shared" si="9"/>
        <v>58262</v>
      </c>
    </row>
    <row r="45" spans="1:14" s="82" customFormat="1" ht="20.100000000000001" customHeight="1">
      <c r="A45" s="191" t="s">
        <v>486</v>
      </c>
      <c r="B45" s="185" t="s">
        <v>872</v>
      </c>
      <c r="C45" s="185" t="s">
        <v>375</v>
      </c>
      <c r="D45" s="186">
        <v>8448</v>
      </c>
      <c r="E45" s="186">
        <v>3072</v>
      </c>
      <c r="F45" s="186">
        <v>400</v>
      </c>
      <c r="G45" s="186">
        <v>0</v>
      </c>
      <c r="H45" s="186">
        <v>0</v>
      </c>
      <c r="I45" s="186">
        <v>0</v>
      </c>
      <c r="J45" s="186">
        <v>800</v>
      </c>
      <c r="K45" s="186">
        <v>960</v>
      </c>
      <c r="L45" s="186">
        <v>0</v>
      </c>
      <c r="M45" s="142">
        <f t="shared" si="5"/>
        <v>13680</v>
      </c>
      <c r="N45" s="143">
        <f t="shared" si="0"/>
        <v>27360</v>
      </c>
    </row>
    <row r="46" spans="1:14" s="82" customFormat="1" ht="20.100000000000001" customHeight="1">
      <c r="A46" s="191" t="s">
        <v>484</v>
      </c>
      <c r="B46" s="185" t="s">
        <v>873</v>
      </c>
      <c r="C46" s="185" t="s">
        <v>375</v>
      </c>
      <c r="D46" s="186">
        <v>2112</v>
      </c>
      <c r="E46" s="186">
        <v>768</v>
      </c>
      <c r="F46" s="186">
        <v>70</v>
      </c>
      <c r="G46" s="186">
        <v>0</v>
      </c>
      <c r="H46" s="186">
        <v>0</v>
      </c>
      <c r="I46" s="186">
        <v>0</v>
      </c>
      <c r="J46" s="186">
        <v>200</v>
      </c>
      <c r="K46" s="186">
        <v>300</v>
      </c>
      <c r="L46" s="186">
        <v>0</v>
      </c>
      <c r="M46" s="142">
        <f t="shared" si="5"/>
        <v>3450</v>
      </c>
      <c r="N46" s="143">
        <f t="shared" si="0"/>
        <v>6900</v>
      </c>
    </row>
    <row r="47" spans="1:14" s="82" customFormat="1" ht="20.100000000000001" customHeight="1">
      <c r="A47" s="184" t="s">
        <v>874</v>
      </c>
      <c r="B47" s="185" t="s">
        <v>873</v>
      </c>
      <c r="C47" s="185" t="s">
        <v>375</v>
      </c>
      <c r="D47" s="186">
        <v>1728</v>
      </c>
      <c r="E47" s="186">
        <v>768</v>
      </c>
      <c r="F47" s="186">
        <v>70</v>
      </c>
      <c r="G47" s="186">
        <v>0</v>
      </c>
      <c r="H47" s="186">
        <v>0</v>
      </c>
      <c r="I47" s="186">
        <v>0</v>
      </c>
      <c r="J47" s="186">
        <v>200</v>
      </c>
      <c r="K47" s="186">
        <v>200</v>
      </c>
      <c r="L47" s="186">
        <v>0</v>
      </c>
      <c r="M47" s="142">
        <f t="shared" si="5"/>
        <v>2966</v>
      </c>
      <c r="N47" s="143">
        <f t="shared" si="0"/>
        <v>5932</v>
      </c>
    </row>
    <row r="48" spans="1:14" s="82" customFormat="1" ht="20.100000000000001" customHeight="1">
      <c r="A48" s="191" t="s">
        <v>487</v>
      </c>
      <c r="B48" s="185" t="s">
        <v>873</v>
      </c>
      <c r="C48" s="185" t="s">
        <v>375</v>
      </c>
      <c r="D48" s="186">
        <v>3456</v>
      </c>
      <c r="E48" s="186">
        <v>1536</v>
      </c>
      <c r="F48" s="186">
        <v>140</v>
      </c>
      <c r="G48" s="186">
        <v>0</v>
      </c>
      <c r="H48" s="186">
        <v>0</v>
      </c>
      <c r="I48" s="186">
        <v>0</v>
      </c>
      <c r="J48" s="186">
        <v>400</v>
      </c>
      <c r="K48" s="186">
        <v>600</v>
      </c>
      <c r="L48" s="186">
        <v>0</v>
      </c>
      <c r="M48" s="142">
        <f t="shared" si="5"/>
        <v>6132</v>
      </c>
      <c r="N48" s="143">
        <f t="shared" si="0"/>
        <v>12264</v>
      </c>
    </row>
    <row r="49" spans="1:14" s="82" customFormat="1" ht="20.100000000000001" customHeight="1">
      <c r="A49" s="191" t="s">
        <v>488</v>
      </c>
      <c r="B49" s="185" t="s">
        <v>873</v>
      </c>
      <c r="C49" s="185" t="s">
        <v>375</v>
      </c>
      <c r="D49" s="186">
        <v>5184</v>
      </c>
      <c r="E49" s="186">
        <v>2304</v>
      </c>
      <c r="F49" s="186">
        <v>210</v>
      </c>
      <c r="G49" s="186">
        <v>0</v>
      </c>
      <c r="H49" s="186">
        <v>0</v>
      </c>
      <c r="I49" s="186">
        <v>0</v>
      </c>
      <c r="J49" s="186">
        <v>600</v>
      </c>
      <c r="K49" s="186">
        <v>600</v>
      </c>
      <c r="L49" s="186">
        <v>0</v>
      </c>
      <c r="M49" s="142">
        <f t="shared" si="5"/>
        <v>8898</v>
      </c>
      <c r="N49" s="143">
        <f t="shared" si="0"/>
        <v>17796</v>
      </c>
    </row>
    <row r="50" spans="1:14" s="82" customFormat="1" ht="20.100000000000001" customHeight="1">
      <c r="A50" s="187" t="s">
        <v>875</v>
      </c>
      <c r="B50" s="185" t="s">
        <v>873</v>
      </c>
      <c r="C50" s="185" t="s">
        <v>375</v>
      </c>
      <c r="D50" s="186">
        <v>1900</v>
      </c>
      <c r="E50" s="186">
        <v>570</v>
      </c>
      <c r="F50" s="186">
        <v>70</v>
      </c>
      <c r="G50" s="186">
        <v>0</v>
      </c>
      <c r="H50" s="186">
        <v>0</v>
      </c>
      <c r="I50" s="186">
        <v>0</v>
      </c>
      <c r="J50" s="186">
        <v>200</v>
      </c>
      <c r="K50" s="186">
        <v>200</v>
      </c>
      <c r="L50" s="186">
        <v>0</v>
      </c>
      <c r="M50" s="142">
        <f t="shared" si="5"/>
        <v>2940</v>
      </c>
      <c r="N50" s="143">
        <f t="shared" si="0"/>
        <v>5880</v>
      </c>
    </row>
    <row r="51" spans="1:14" s="82" customFormat="1" ht="20.100000000000001" customHeight="1">
      <c r="A51" s="188" t="s">
        <v>876</v>
      </c>
      <c r="B51" s="189"/>
      <c r="C51" s="189"/>
      <c r="D51" s="190">
        <f>SUM(D45:D50)</f>
        <v>22828</v>
      </c>
      <c r="E51" s="190">
        <f t="shared" ref="E51:N51" si="10">SUM(E45:E50)</f>
        <v>9018</v>
      </c>
      <c r="F51" s="190">
        <f t="shared" si="10"/>
        <v>960</v>
      </c>
      <c r="G51" s="190">
        <f t="shared" si="10"/>
        <v>0</v>
      </c>
      <c r="H51" s="190">
        <f t="shared" si="10"/>
        <v>0</v>
      </c>
      <c r="I51" s="190">
        <f t="shared" si="10"/>
        <v>0</v>
      </c>
      <c r="J51" s="190">
        <f t="shared" si="10"/>
        <v>2400</v>
      </c>
      <c r="K51" s="190">
        <f t="shared" si="10"/>
        <v>2860</v>
      </c>
      <c r="L51" s="190">
        <f t="shared" si="10"/>
        <v>0</v>
      </c>
      <c r="M51" s="190">
        <f t="shared" si="10"/>
        <v>38066</v>
      </c>
      <c r="N51" s="190">
        <f t="shared" si="10"/>
        <v>76132</v>
      </c>
    </row>
    <row r="52" spans="1:14" s="82" customFormat="1" ht="20.100000000000001" customHeight="1">
      <c r="A52" s="191" t="s">
        <v>378</v>
      </c>
      <c r="B52" s="185" t="s">
        <v>877</v>
      </c>
      <c r="C52" s="185" t="s">
        <v>375</v>
      </c>
      <c r="D52" s="186">
        <v>1152</v>
      </c>
      <c r="E52" s="186">
        <v>384</v>
      </c>
      <c r="F52" s="186">
        <v>35</v>
      </c>
      <c r="G52" s="186">
        <v>0</v>
      </c>
      <c r="H52" s="186">
        <v>0</v>
      </c>
      <c r="I52" s="186">
        <v>0</v>
      </c>
      <c r="J52" s="186">
        <v>100</v>
      </c>
      <c r="K52" s="186">
        <v>200</v>
      </c>
      <c r="L52" s="186">
        <v>0</v>
      </c>
      <c r="M52" s="142">
        <f t="shared" si="5"/>
        <v>1871</v>
      </c>
      <c r="N52" s="143">
        <f t="shared" si="0"/>
        <v>3742</v>
      </c>
    </row>
    <row r="53" spans="1:14" s="82" customFormat="1" ht="20.100000000000001" customHeight="1">
      <c r="A53" s="191" t="s">
        <v>878</v>
      </c>
      <c r="B53" s="195" t="s">
        <v>877</v>
      </c>
      <c r="C53" s="186" t="s">
        <v>375</v>
      </c>
      <c r="D53" s="186">
        <v>960</v>
      </c>
      <c r="E53" s="186">
        <v>576</v>
      </c>
      <c r="F53" s="186">
        <v>35</v>
      </c>
      <c r="G53" s="186">
        <v>0</v>
      </c>
      <c r="H53" s="186">
        <v>0</v>
      </c>
      <c r="I53" s="186">
        <v>0</v>
      </c>
      <c r="J53" s="186">
        <v>100</v>
      </c>
      <c r="K53" s="186">
        <v>100</v>
      </c>
      <c r="L53" s="186">
        <v>0</v>
      </c>
      <c r="M53" s="142">
        <f t="shared" si="5"/>
        <v>1771</v>
      </c>
      <c r="N53" s="143">
        <f t="shared" si="0"/>
        <v>3542</v>
      </c>
    </row>
    <row r="54" spans="1:14" s="82" customFormat="1" ht="20.100000000000001" customHeight="1">
      <c r="A54" s="188" t="s">
        <v>879</v>
      </c>
      <c r="B54" s="189"/>
      <c r="C54" s="189"/>
      <c r="D54" s="190">
        <f t="shared" ref="D54:N54" si="11">SUM(D52:D53)</f>
        <v>2112</v>
      </c>
      <c r="E54" s="190">
        <f t="shared" si="11"/>
        <v>960</v>
      </c>
      <c r="F54" s="190">
        <f t="shared" si="11"/>
        <v>70</v>
      </c>
      <c r="G54" s="190">
        <f t="shared" si="11"/>
        <v>0</v>
      </c>
      <c r="H54" s="190">
        <f t="shared" si="11"/>
        <v>0</v>
      </c>
      <c r="I54" s="190">
        <f t="shared" si="11"/>
        <v>0</v>
      </c>
      <c r="J54" s="190">
        <f t="shared" si="11"/>
        <v>200</v>
      </c>
      <c r="K54" s="190">
        <f t="shared" si="11"/>
        <v>300</v>
      </c>
      <c r="L54" s="190">
        <f t="shared" si="11"/>
        <v>0</v>
      </c>
      <c r="M54" s="190">
        <f t="shared" si="11"/>
        <v>3642</v>
      </c>
      <c r="N54" s="190">
        <f t="shared" si="11"/>
        <v>7284</v>
      </c>
    </row>
    <row r="55" spans="1:14" s="82" customFormat="1" ht="20.100000000000001" customHeight="1">
      <c r="A55" s="188" t="s">
        <v>880</v>
      </c>
      <c r="B55" s="189"/>
      <c r="C55" s="189"/>
      <c r="D55" s="190">
        <f t="shared" ref="D55:N55" si="12">SUM(D54,D51,D44,D39,D34,D26,D17,D10,D7)</f>
        <v>150109</v>
      </c>
      <c r="E55" s="190">
        <f t="shared" si="12"/>
        <v>74047.399999999994</v>
      </c>
      <c r="F55" s="190">
        <f t="shared" si="12"/>
        <v>5650</v>
      </c>
      <c r="G55" s="190">
        <f t="shared" si="12"/>
        <v>20</v>
      </c>
      <c r="H55" s="190">
        <f t="shared" si="12"/>
        <v>0</v>
      </c>
      <c r="I55" s="190">
        <f t="shared" si="12"/>
        <v>0</v>
      </c>
      <c r="J55" s="190">
        <f t="shared" si="12"/>
        <v>15900</v>
      </c>
      <c r="K55" s="190">
        <f t="shared" si="12"/>
        <v>22590</v>
      </c>
      <c r="L55" s="190">
        <f t="shared" si="12"/>
        <v>1470</v>
      </c>
      <c r="M55" s="190">
        <f t="shared" si="12"/>
        <v>269786.40000000002</v>
      </c>
      <c r="N55" s="190">
        <f t="shared" si="12"/>
        <v>539572.80000000005</v>
      </c>
    </row>
  </sheetData>
  <mergeCells count="6">
    <mergeCell ref="A1:N1"/>
    <mergeCell ref="A2:A4"/>
    <mergeCell ref="B2:B4"/>
    <mergeCell ref="C2:C4"/>
    <mergeCell ref="D2:M2"/>
    <mergeCell ref="N2:N4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  <headerFooter>
    <oddFooter>第 &amp;P 页，共 &amp;N 页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>
  <dimension ref="A1:XET40"/>
  <sheetViews>
    <sheetView topLeftCell="A22" workbookViewId="0">
      <selection activeCell="J41" sqref="J41"/>
    </sheetView>
  </sheetViews>
  <sheetFormatPr defaultColWidth="7.875" defaultRowHeight="13.5"/>
  <cols>
    <col min="1" max="1" width="4.375" style="239" customWidth="1"/>
    <col min="2" max="4" width="7.875" style="239"/>
    <col min="5" max="5" width="17.25" style="239" customWidth="1"/>
    <col min="6" max="6" width="21.625" style="239" customWidth="1"/>
    <col min="7" max="7" width="6.375" style="239" customWidth="1"/>
    <col min="8" max="8" width="7.875" style="264"/>
    <col min="9" max="9" width="8" style="264" customWidth="1"/>
    <col min="10" max="10" width="17" style="265" customWidth="1"/>
    <col min="11" max="11" width="11.125" style="332" customWidth="1"/>
    <col min="12" max="12" width="13.125" style="239" customWidth="1"/>
    <col min="13" max="16374" width="7.875" style="239"/>
    <col min="16375" max="16384" width="7.875" style="240"/>
  </cols>
  <sheetData>
    <row r="1" spans="1:11" ht="30" customHeight="1">
      <c r="A1" s="525" t="s">
        <v>1418</v>
      </c>
      <c r="B1" s="525"/>
      <c r="C1" s="525"/>
      <c r="D1" s="525"/>
      <c r="E1" s="525"/>
      <c r="F1" s="525"/>
      <c r="G1" s="525"/>
      <c r="H1" s="526"/>
      <c r="I1" s="526"/>
      <c r="J1" s="526"/>
      <c r="K1" s="502"/>
    </row>
    <row r="2" spans="1:11" ht="24.95" customHeight="1">
      <c r="A2" s="241" t="s">
        <v>12</v>
      </c>
      <c r="B2" s="241" t="s">
        <v>1040</v>
      </c>
      <c r="C2" s="241" t="s">
        <v>1041</v>
      </c>
      <c r="D2" s="241" t="s">
        <v>1042</v>
      </c>
      <c r="E2" s="242" t="s">
        <v>1043</v>
      </c>
      <c r="F2" s="242" t="s">
        <v>1044</v>
      </c>
      <c r="G2" s="241" t="s">
        <v>1</v>
      </c>
      <c r="H2" s="243" t="s">
        <v>1045</v>
      </c>
      <c r="I2" s="244" t="s">
        <v>1046</v>
      </c>
      <c r="J2" s="245" t="s">
        <v>1047</v>
      </c>
      <c r="K2" s="336" t="s">
        <v>1417</v>
      </c>
    </row>
    <row r="3" spans="1:11" ht="24.95" customHeight="1">
      <c r="A3" s="520">
        <v>1</v>
      </c>
      <c r="B3" s="520" t="s">
        <v>1048</v>
      </c>
      <c r="C3" s="520" t="s">
        <v>1049</v>
      </c>
      <c r="D3" s="520" t="s">
        <v>1050</v>
      </c>
      <c r="E3" s="246" t="s">
        <v>1051</v>
      </c>
      <c r="F3" s="247" t="s">
        <v>1052</v>
      </c>
      <c r="G3" s="248" t="s">
        <v>1053</v>
      </c>
      <c r="H3" s="249">
        <v>65</v>
      </c>
      <c r="I3" s="249">
        <v>1200</v>
      </c>
      <c r="J3" s="250">
        <v>78000</v>
      </c>
      <c r="K3" s="524">
        <f>ROUND(J10*0.8,0)</f>
        <v>93170</v>
      </c>
    </row>
    <row r="4" spans="1:11" ht="24.95" customHeight="1">
      <c r="A4" s="521"/>
      <c r="B4" s="521"/>
      <c r="C4" s="521"/>
      <c r="D4" s="521"/>
      <c r="E4" s="246" t="s">
        <v>1054</v>
      </c>
      <c r="F4" s="247" t="s">
        <v>1055</v>
      </c>
      <c r="G4" s="248" t="s">
        <v>1053</v>
      </c>
      <c r="H4" s="249">
        <v>178</v>
      </c>
      <c r="I4" s="249">
        <v>48</v>
      </c>
      <c r="J4" s="250">
        <v>8544</v>
      </c>
      <c r="K4" s="524"/>
    </row>
    <row r="5" spans="1:11" ht="24.95" customHeight="1">
      <c r="A5" s="521"/>
      <c r="B5" s="521"/>
      <c r="C5" s="521"/>
      <c r="D5" s="521"/>
      <c r="E5" s="520" t="s">
        <v>1056</v>
      </c>
      <c r="F5" s="247" t="s">
        <v>1055</v>
      </c>
      <c r="G5" s="248" t="s">
        <v>1053</v>
      </c>
      <c r="H5" s="249">
        <v>155</v>
      </c>
      <c r="I5" s="249">
        <v>48</v>
      </c>
      <c r="J5" s="250">
        <v>7440</v>
      </c>
      <c r="K5" s="524"/>
    </row>
    <row r="6" spans="1:11" ht="24.95" customHeight="1">
      <c r="A6" s="521"/>
      <c r="B6" s="521"/>
      <c r="C6" s="521"/>
      <c r="D6" s="521"/>
      <c r="E6" s="521"/>
      <c r="F6" s="247" t="s">
        <v>1057</v>
      </c>
      <c r="G6" s="248" t="s">
        <v>1058</v>
      </c>
      <c r="H6" s="251">
        <v>45</v>
      </c>
      <c r="I6" s="249">
        <v>200</v>
      </c>
      <c r="J6" s="250">
        <v>9000</v>
      </c>
      <c r="K6" s="524"/>
    </row>
    <row r="7" spans="1:11" ht="24.95" customHeight="1">
      <c r="A7" s="521"/>
      <c r="B7" s="521"/>
      <c r="C7" s="521"/>
      <c r="D7" s="521"/>
      <c r="E7" s="521"/>
      <c r="F7" s="247" t="s">
        <v>1059</v>
      </c>
      <c r="G7" s="248" t="s">
        <v>1058</v>
      </c>
      <c r="H7" s="251">
        <v>5</v>
      </c>
      <c r="I7" s="249">
        <v>200</v>
      </c>
      <c r="J7" s="250">
        <v>1000</v>
      </c>
      <c r="K7" s="524"/>
    </row>
    <row r="8" spans="1:11" ht="24.95" customHeight="1">
      <c r="A8" s="521"/>
      <c r="B8" s="521"/>
      <c r="C8" s="521"/>
      <c r="D8" s="521"/>
      <c r="E8" s="252" t="s">
        <v>1060</v>
      </c>
      <c r="F8" s="247"/>
      <c r="G8" s="247"/>
      <c r="H8" s="253"/>
      <c r="I8" s="253"/>
      <c r="J8" s="254">
        <v>103984</v>
      </c>
      <c r="K8" s="524"/>
    </row>
    <row r="9" spans="1:11" ht="24.95" customHeight="1">
      <c r="A9" s="521"/>
      <c r="B9" s="521"/>
      <c r="C9" s="521"/>
      <c r="D9" s="521"/>
      <c r="E9" s="252" t="s">
        <v>1061</v>
      </c>
      <c r="F9" s="247"/>
      <c r="G9" s="247"/>
      <c r="H9" s="253"/>
      <c r="I9" s="253"/>
      <c r="J9" s="254">
        <v>12478.08</v>
      </c>
      <c r="K9" s="524"/>
    </row>
    <row r="10" spans="1:11" ht="24.95" customHeight="1">
      <c r="A10" s="522"/>
      <c r="B10" s="522"/>
      <c r="C10" s="522"/>
      <c r="D10" s="522"/>
      <c r="E10" s="252" t="s">
        <v>1062</v>
      </c>
      <c r="F10" s="247"/>
      <c r="G10" s="247"/>
      <c r="H10" s="253"/>
      <c r="I10" s="253"/>
      <c r="J10" s="254">
        <v>116462.08</v>
      </c>
      <c r="K10" s="524"/>
    </row>
    <row r="11" spans="1:11" ht="24.95" customHeight="1">
      <c r="A11" s="523">
        <v>2</v>
      </c>
      <c r="B11" s="523" t="s">
        <v>469</v>
      </c>
      <c r="C11" s="523" t="s">
        <v>1063</v>
      </c>
      <c r="D11" s="523" t="s">
        <v>1050</v>
      </c>
      <c r="E11" s="523" t="s">
        <v>1064</v>
      </c>
      <c r="F11" s="247" t="s">
        <v>1065</v>
      </c>
      <c r="G11" s="248" t="s">
        <v>1058</v>
      </c>
      <c r="H11" s="249">
        <v>5.5</v>
      </c>
      <c r="I11" s="249">
        <v>800</v>
      </c>
      <c r="J11" s="250">
        <v>4400</v>
      </c>
      <c r="K11" s="524">
        <f>ROUND(J25*0.8,0)</f>
        <v>143761</v>
      </c>
    </row>
    <row r="12" spans="1:11" ht="24.95" customHeight="1">
      <c r="A12" s="523"/>
      <c r="B12" s="523"/>
      <c r="C12" s="523"/>
      <c r="D12" s="523"/>
      <c r="E12" s="523"/>
      <c r="F12" s="247" t="s">
        <v>1066</v>
      </c>
      <c r="G12" s="247" t="s">
        <v>1067</v>
      </c>
      <c r="H12" s="253">
        <v>8</v>
      </c>
      <c r="I12" s="253">
        <v>500</v>
      </c>
      <c r="J12" s="250">
        <v>4000</v>
      </c>
      <c r="K12" s="524"/>
    </row>
    <row r="13" spans="1:11" ht="24.95" customHeight="1">
      <c r="A13" s="523"/>
      <c r="B13" s="523"/>
      <c r="C13" s="523"/>
      <c r="D13" s="523"/>
      <c r="E13" s="523" t="s">
        <v>1068</v>
      </c>
      <c r="F13" s="247" t="s">
        <v>1069</v>
      </c>
      <c r="G13" s="248" t="s">
        <v>1053</v>
      </c>
      <c r="H13" s="249">
        <v>27</v>
      </c>
      <c r="I13" s="249">
        <v>236</v>
      </c>
      <c r="J13" s="250">
        <v>6372</v>
      </c>
      <c r="K13" s="524"/>
    </row>
    <row r="14" spans="1:11" ht="24.95" customHeight="1">
      <c r="A14" s="523"/>
      <c r="B14" s="523"/>
      <c r="C14" s="523"/>
      <c r="D14" s="523"/>
      <c r="E14" s="523"/>
      <c r="F14" s="247" t="s">
        <v>1065</v>
      </c>
      <c r="G14" s="247" t="s">
        <v>1058</v>
      </c>
      <c r="H14" s="253">
        <v>21.6</v>
      </c>
      <c r="I14" s="253">
        <v>800</v>
      </c>
      <c r="J14" s="250">
        <v>17280</v>
      </c>
      <c r="K14" s="524"/>
    </row>
    <row r="15" spans="1:11" ht="24.95" customHeight="1">
      <c r="A15" s="523"/>
      <c r="B15" s="523"/>
      <c r="C15" s="523"/>
      <c r="D15" s="523"/>
      <c r="E15" s="523"/>
      <c r="F15" s="247" t="s">
        <v>1066</v>
      </c>
      <c r="G15" s="247" t="s">
        <v>1067</v>
      </c>
      <c r="H15" s="253">
        <v>48</v>
      </c>
      <c r="I15" s="253">
        <v>500</v>
      </c>
      <c r="J15" s="250">
        <v>24000</v>
      </c>
      <c r="K15" s="524"/>
    </row>
    <row r="16" spans="1:11" ht="24.95" customHeight="1">
      <c r="A16" s="523"/>
      <c r="B16" s="523"/>
      <c r="C16" s="523"/>
      <c r="D16" s="523"/>
      <c r="E16" s="523"/>
      <c r="F16" s="247" t="s">
        <v>1070</v>
      </c>
      <c r="G16" s="248" t="s">
        <v>1053</v>
      </c>
      <c r="H16" s="249">
        <v>15</v>
      </c>
      <c r="I16" s="249">
        <v>257</v>
      </c>
      <c r="J16" s="250">
        <v>3855</v>
      </c>
      <c r="K16" s="524"/>
    </row>
    <row r="17" spans="1:11" ht="24.95" customHeight="1">
      <c r="A17" s="523"/>
      <c r="B17" s="523"/>
      <c r="C17" s="523"/>
      <c r="D17" s="523"/>
      <c r="E17" s="523" t="s">
        <v>1071</v>
      </c>
      <c r="F17" s="247" t="s">
        <v>1069</v>
      </c>
      <c r="G17" s="248" t="s">
        <v>1053</v>
      </c>
      <c r="H17" s="249">
        <v>50</v>
      </c>
      <c r="I17" s="249">
        <v>236</v>
      </c>
      <c r="J17" s="250">
        <v>11800</v>
      </c>
      <c r="K17" s="524"/>
    </row>
    <row r="18" spans="1:11" ht="24.95" customHeight="1">
      <c r="A18" s="523"/>
      <c r="B18" s="523"/>
      <c r="C18" s="523"/>
      <c r="D18" s="523"/>
      <c r="E18" s="523"/>
      <c r="F18" s="247" t="s">
        <v>1065</v>
      </c>
      <c r="G18" s="247" t="s">
        <v>1058</v>
      </c>
      <c r="H18" s="253">
        <v>40</v>
      </c>
      <c r="I18" s="249">
        <v>800</v>
      </c>
      <c r="J18" s="250">
        <v>32000</v>
      </c>
      <c r="K18" s="524"/>
    </row>
    <row r="19" spans="1:11" ht="24.95" customHeight="1">
      <c r="A19" s="523"/>
      <c r="B19" s="523"/>
      <c r="C19" s="523"/>
      <c r="D19" s="523"/>
      <c r="E19" s="523"/>
      <c r="F19" s="247" t="s">
        <v>1066</v>
      </c>
      <c r="G19" s="247" t="s">
        <v>1067</v>
      </c>
      <c r="H19" s="253">
        <v>80</v>
      </c>
      <c r="I19" s="249">
        <v>500</v>
      </c>
      <c r="J19" s="250">
        <v>40000</v>
      </c>
      <c r="K19" s="524"/>
    </row>
    <row r="20" spans="1:11" ht="24.95" customHeight="1">
      <c r="A20" s="523"/>
      <c r="B20" s="523"/>
      <c r="C20" s="523"/>
      <c r="D20" s="523"/>
      <c r="E20" s="523"/>
      <c r="F20" s="247" t="s">
        <v>1070</v>
      </c>
      <c r="G20" s="248" t="s">
        <v>1053</v>
      </c>
      <c r="H20" s="249">
        <v>20</v>
      </c>
      <c r="I20" s="249">
        <v>257</v>
      </c>
      <c r="J20" s="250">
        <v>5140</v>
      </c>
      <c r="K20" s="524"/>
    </row>
    <row r="21" spans="1:11" ht="24.95" customHeight="1">
      <c r="A21" s="523"/>
      <c r="B21" s="523"/>
      <c r="C21" s="523"/>
      <c r="D21" s="523"/>
      <c r="E21" s="523" t="s">
        <v>1072</v>
      </c>
      <c r="F21" s="247" t="s">
        <v>1073</v>
      </c>
      <c r="G21" s="248" t="s">
        <v>1053</v>
      </c>
      <c r="H21" s="249">
        <v>120</v>
      </c>
      <c r="I21" s="249">
        <v>80</v>
      </c>
      <c r="J21" s="250">
        <v>9600</v>
      </c>
      <c r="K21" s="524"/>
    </row>
    <row r="22" spans="1:11" ht="24.95" customHeight="1">
      <c r="A22" s="523"/>
      <c r="B22" s="523"/>
      <c r="C22" s="523"/>
      <c r="D22" s="523"/>
      <c r="E22" s="523"/>
      <c r="F22" s="247" t="s">
        <v>1074</v>
      </c>
      <c r="G22" s="248" t="s">
        <v>1075</v>
      </c>
      <c r="H22" s="249">
        <v>1</v>
      </c>
      <c r="I22" s="249">
        <v>2000</v>
      </c>
      <c r="J22" s="250">
        <v>2000</v>
      </c>
      <c r="K22" s="524"/>
    </row>
    <row r="23" spans="1:11" ht="24.95" customHeight="1">
      <c r="A23" s="523"/>
      <c r="B23" s="523"/>
      <c r="C23" s="523"/>
      <c r="D23" s="523"/>
      <c r="E23" s="252" t="s">
        <v>1060</v>
      </c>
      <c r="F23" s="247"/>
      <c r="G23" s="247"/>
      <c r="H23" s="253"/>
      <c r="I23" s="253"/>
      <c r="J23" s="254">
        <v>160447</v>
      </c>
      <c r="K23" s="524"/>
    </row>
    <row r="24" spans="1:11" ht="24.95" customHeight="1">
      <c r="A24" s="523"/>
      <c r="B24" s="523"/>
      <c r="C24" s="523"/>
      <c r="D24" s="523"/>
      <c r="E24" s="252" t="s">
        <v>1061</v>
      </c>
      <c r="F24" s="247"/>
      <c r="G24" s="247"/>
      <c r="H24" s="253"/>
      <c r="I24" s="253"/>
      <c r="J24" s="254">
        <v>19253.64</v>
      </c>
      <c r="K24" s="524"/>
    </row>
    <row r="25" spans="1:11" ht="24.95" customHeight="1">
      <c r="A25" s="523"/>
      <c r="B25" s="523"/>
      <c r="C25" s="523"/>
      <c r="D25" s="523"/>
      <c r="E25" s="252" t="s">
        <v>1062</v>
      </c>
      <c r="F25" s="247"/>
      <c r="G25" s="247"/>
      <c r="H25" s="253"/>
      <c r="I25" s="253"/>
      <c r="J25" s="254">
        <v>179700.64</v>
      </c>
      <c r="K25" s="524"/>
    </row>
    <row r="26" spans="1:11" ht="24.95" customHeight="1">
      <c r="A26" s="527">
        <v>3</v>
      </c>
      <c r="B26" s="527" t="s">
        <v>1076</v>
      </c>
      <c r="C26" s="527" t="s">
        <v>1077</v>
      </c>
      <c r="D26" s="528" t="s">
        <v>1078</v>
      </c>
      <c r="E26" s="247" t="s">
        <v>1079</v>
      </c>
      <c r="F26" s="247" t="s">
        <v>1080</v>
      </c>
      <c r="G26" s="247" t="s">
        <v>1053</v>
      </c>
      <c r="H26" s="253">
        <v>750</v>
      </c>
      <c r="I26" s="253">
        <v>230</v>
      </c>
      <c r="J26" s="255">
        <v>172500</v>
      </c>
      <c r="K26" s="524">
        <f>ROUND(J30*0.8,0)</f>
        <v>194880</v>
      </c>
    </row>
    <row r="27" spans="1:11" ht="24.95" customHeight="1">
      <c r="A27" s="527"/>
      <c r="B27" s="527"/>
      <c r="C27" s="527"/>
      <c r="D27" s="528"/>
      <c r="E27" s="252" t="s">
        <v>1060</v>
      </c>
      <c r="F27" s="247"/>
      <c r="G27" s="247"/>
      <c r="H27" s="253"/>
      <c r="I27" s="253"/>
      <c r="J27" s="254">
        <v>172500</v>
      </c>
      <c r="K27" s="524"/>
    </row>
    <row r="28" spans="1:11" ht="24.95" customHeight="1">
      <c r="A28" s="527"/>
      <c r="B28" s="527"/>
      <c r="C28" s="527"/>
      <c r="D28" s="528"/>
      <c r="E28" s="252" t="s">
        <v>1061</v>
      </c>
      <c r="F28" s="247"/>
      <c r="G28" s="247"/>
      <c r="H28" s="253"/>
      <c r="I28" s="253"/>
      <c r="J28" s="254">
        <v>20700</v>
      </c>
      <c r="K28" s="524"/>
    </row>
    <row r="29" spans="1:11" ht="24.95" customHeight="1">
      <c r="A29" s="527"/>
      <c r="B29" s="527"/>
      <c r="C29" s="527"/>
      <c r="D29" s="528"/>
      <c r="E29" s="256" t="s">
        <v>1081</v>
      </c>
      <c r="F29" s="247"/>
      <c r="G29" s="247" t="s">
        <v>1082</v>
      </c>
      <c r="H29" s="253">
        <v>28</v>
      </c>
      <c r="I29" s="253">
        <v>1800</v>
      </c>
      <c r="J29" s="257">
        <v>50400</v>
      </c>
      <c r="K29" s="524"/>
    </row>
    <row r="30" spans="1:11" ht="24.95" customHeight="1">
      <c r="A30" s="527"/>
      <c r="B30" s="527"/>
      <c r="C30" s="527"/>
      <c r="D30" s="528"/>
      <c r="E30" s="252" t="s">
        <v>1062</v>
      </c>
      <c r="F30" s="247"/>
      <c r="G30" s="247"/>
      <c r="H30" s="253"/>
      <c r="I30" s="253"/>
      <c r="J30" s="254">
        <v>243600</v>
      </c>
      <c r="K30" s="524"/>
    </row>
    <row r="31" spans="1:11" ht="24.95" customHeight="1">
      <c r="A31" s="527">
        <v>4</v>
      </c>
      <c r="B31" s="527" t="s">
        <v>1083</v>
      </c>
      <c r="C31" s="527" t="s">
        <v>1084</v>
      </c>
      <c r="D31" s="528" t="s">
        <v>1078</v>
      </c>
      <c r="E31" s="247" t="s">
        <v>1085</v>
      </c>
      <c r="F31" s="258" t="s">
        <v>1086</v>
      </c>
      <c r="G31" s="259" t="s">
        <v>1053</v>
      </c>
      <c r="H31" s="260">
        <v>130</v>
      </c>
      <c r="I31" s="260">
        <v>2500</v>
      </c>
      <c r="J31" s="261">
        <v>325000</v>
      </c>
      <c r="K31" s="524">
        <f>ROUND(J34*0.8,0)</f>
        <v>291200</v>
      </c>
    </row>
    <row r="32" spans="1:11" ht="24.95" customHeight="1">
      <c r="A32" s="527"/>
      <c r="B32" s="527"/>
      <c r="C32" s="527"/>
      <c r="D32" s="528"/>
      <c r="E32" s="252" t="s">
        <v>1060</v>
      </c>
      <c r="F32" s="247"/>
      <c r="G32" s="247"/>
      <c r="H32" s="253"/>
      <c r="I32" s="253"/>
      <c r="J32" s="254">
        <v>325000</v>
      </c>
      <c r="K32" s="524"/>
    </row>
    <row r="33" spans="1:12" ht="24.95" customHeight="1">
      <c r="A33" s="527"/>
      <c r="B33" s="527"/>
      <c r="C33" s="527"/>
      <c r="D33" s="528"/>
      <c r="E33" s="252" t="s">
        <v>1061</v>
      </c>
      <c r="F33" s="247"/>
      <c r="G33" s="247"/>
      <c r="H33" s="253"/>
      <c r="I33" s="253"/>
      <c r="J33" s="254">
        <v>39000</v>
      </c>
      <c r="K33" s="524"/>
    </row>
    <row r="34" spans="1:12" ht="24.95" customHeight="1">
      <c r="A34" s="527"/>
      <c r="B34" s="527"/>
      <c r="C34" s="527"/>
      <c r="D34" s="528"/>
      <c r="E34" s="252" t="s">
        <v>1062</v>
      </c>
      <c r="F34" s="247"/>
      <c r="G34" s="247"/>
      <c r="H34" s="253"/>
      <c r="I34" s="253"/>
      <c r="J34" s="254">
        <v>364000</v>
      </c>
      <c r="K34" s="524"/>
    </row>
    <row r="35" spans="1:12" ht="24.95" customHeight="1">
      <c r="A35" s="262"/>
      <c r="B35" s="262"/>
      <c r="C35" s="262"/>
      <c r="D35" s="262"/>
      <c r="E35" s="241" t="s">
        <v>21</v>
      </c>
      <c r="F35" s="241"/>
      <c r="G35" s="243"/>
      <c r="H35" s="243"/>
      <c r="I35" s="243"/>
      <c r="J35" s="263">
        <v>903762.72</v>
      </c>
      <c r="K35" s="334">
        <f>SUM(K3:K34)</f>
        <v>723011</v>
      </c>
      <c r="L35" s="265">
        <f>J35-K35</f>
        <v>180751.71999999997</v>
      </c>
    </row>
    <row r="37" spans="1:12">
      <c r="K37" s="352"/>
    </row>
    <row r="38" spans="1:12">
      <c r="J38" s="265">
        <f>J35+吴泾维修!I30+七宝维修!J121+浦江维修!I165+梅陇维修!J81+马桥维修!I46+华漕维修!J39+颛桥维修!J79+虹桥维修!J65+尾款清算!K67</f>
        <v>46786921.078013204</v>
      </c>
    </row>
    <row r="39" spans="1:12">
      <c r="J39" s="265">
        <f>50000000-J38+1692727.49</f>
        <v>4905806.4119867962</v>
      </c>
    </row>
    <row r="40" spans="1:12">
      <c r="J40" s="265">
        <f>L35+吴泾维修!K30+七宝维修!L121+浦江维修!K165+梅陇维修!L81+马桥维修!K46+华漕维修!L39+颛桥维修!L79+虹桥维修!L65</f>
        <v>8746200.5880131982</v>
      </c>
    </row>
  </sheetData>
  <mergeCells count="26">
    <mergeCell ref="K3:K10"/>
    <mergeCell ref="K11:K25"/>
    <mergeCell ref="K26:K30"/>
    <mergeCell ref="K31:K34"/>
    <mergeCell ref="A1:K1"/>
    <mergeCell ref="A26:A30"/>
    <mergeCell ref="B26:B30"/>
    <mergeCell ref="C26:C30"/>
    <mergeCell ref="D26:D30"/>
    <mergeCell ref="A31:A34"/>
    <mergeCell ref="B31:B34"/>
    <mergeCell ref="C31:C34"/>
    <mergeCell ref="D31:D34"/>
    <mergeCell ref="A11:A25"/>
    <mergeCell ref="B11:B25"/>
    <mergeCell ref="C11:C25"/>
    <mergeCell ref="D11:D25"/>
    <mergeCell ref="E11:E12"/>
    <mergeCell ref="E13:E16"/>
    <mergeCell ref="E17:E20"/>
    <mergeCell ref="E21:E22"/>
    <mergeCell ref="A3:A10"/>
    <mergeCell ref="B3:B10"/>
    <mergeCell ref="C3:C10"/>
    <mergeCell ref="D3:D10"/>
    <mergeCell ref="E5:E7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portrait" r:id="rId1"/>
  <headerFooter>
    <oddFooter>第 &amp;P 页，共 &amp;N 页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>
  <dimension ref="A1:XEV30"/>
  <sheetViews>
    <sheetView topLeftCell="A13" workbookViewId="0">
      <selection activeCell="K31" sqref="K31"/>
    </sheetView>
  </sheetViews>
  <sheetFormatPr defaultColWidth="7.875" defaultRowHeight="13.5"/>
  <cols>
    <col min="1" max="1" width="4.5" style="290" customWidth="1"/>
    <col min="2" max="2" width="6.25" style="290" customWidth="1"/>
    <col min="3" max="3" width="6.375" style="290" customWidth="1"/>
    <col min="4" max="4" width="15" style="290" customWidth="1"/>
    <col min="5" max="5" width="20.25" style="290" customWidth="1"/>
    <col min="6" max="6" width="4.25" style="290" customWidth="1"/>
    <col min="7" max="7" width="7.5" style="348" customWidth="1"/>
    <col min="8" max="8" width="7.5" style="318" customWidth="1"/>
    <col min="9" max="9" width="13.125" style="319" customWidth="1"/>
    <col min="10" max="10" width="15.875" style="290" customWidth="1"/>
    <col min="11" max="11" width="11.5" style="290" customWidth="1"/>
    <col min="12" max="244" width="7.875" style="290" customWidth="1"/>
    <col min="245" max="245" width="4.5" style="290" customWidth="1"/>
    <col min="246" max="246" width="6.25" style="290" customWidth="1"/>
    <col min="247" max="247" width="5.75" style="290" customWidth="1"/>
    <col min="248" max="248" width="7" style="290" customWidth="1"/>
    <col min="249" max="249" width="14.75" style="290" customWidth="1"/>
    <col min="250" max="250" width="13.875" style="290" customWidth="1"/>
    <col min="251" max="251" width="5.5" style="290" customWidth="1"/>
    <col min="252" max="252" width="6" style="290" customWidth="1"/>
    <col min="253" max="253" width="7.75" style="290" customWidth="1"/>
    <col min="254" max="254" width="11.875" style="290" customWidth="1"/>
    <col min="255" max="255" width="12.5" style="290" customWidth="1"/>
    <col min="256" max="261" width="7.875" style="290" customWidth="1"/>
    <col min="262" max="262" width="11" style="290" customWidth="1"/>
    <col min="263" max="500" width="7.875" style="290" customWidth="1"/>
    <col min="501" max="501" width="4.5" style="290" customWidth="1"/>
    <col min="502" max="502" width="6.25" style="290" customWidth="1"/>
    <col min="503" max="503" width="5.75" style="290" customWidth="1"/>
    <col min="504" max="504" width="7" style="290" customWidth="1"/>
    <col min="505" max="505" width="14.75" style="290" customWidth="1"/>
    <col min="506" max="506" width="13.875" style="290" customWidth="1"/>
    <col min="507" max="507" width="5.5" style="290" customWidth="1"/>
    <col min="508" max="508" width="6" style="290" customWidth="1"/>
    <col min="509" max="509" width="7.75" style="290" customWidth="1"/>
    <col min="510" max="510" width="11.875" style="290" customWidth="1"/>
    <col min="511" max="511" width="12.5" style="290" customWidth="1"/>
    <col min="512" max="517" width="7.875" style="290" customWidth="1"/>
    <col min="518" max="518" width="11" style="290" customWidth="1"/>
    <col min="519" max="756" width="7.875" style="290" customWidth="1"/>
    <col min="757" max="757" width="4.5" style="290" customWidth="1"/>
    <col min="758" max="758" width="6.25" style="290" customWidth="1"/>
    <col min="759" max="759" width="5.75" style="290" customWidth="1"/>
    <col min="760" max="760" width="7" style="290" customWidth="1"/>
    <col min="761" max="761" width="14.75" style="290" customWidth="1"/>
    <col min="762" max="762" width="13.875" style="290" customWidth="1"/>
    <col min="763" max="763" width="5.5" style="290" customWidth="1"/>
    <col min="764" max="764" width="6" style="290" customWidth="1"/>
    <col min="765" max="765" width="7.75" style="290" customWidth="1"/>
    <col min="766" max="766" width="11.875" style="290" customWidth="1"/>
    <col min="767" max="767" width="12.5" style="290" customWidth="1"/>
    <col min="768" max="773" width="7.875" style="290" customWidth="1"/>
    <col min="774" max="774" width="11" style="290" customWidth="1"/>
    <col min="775" max="1012" width="7.875" style="290" customWidth="1"/>
    <col min="1013" max="1013" width="4.5" style="290" customWidth="1"/>
    <col min="1014" max="1014" width="6.25" style="290" customWidth="1"/>
    <col min="1015" max="1015" width="5.75" style="290" customWidth="1"/>
    <col min="1016" max="1016" width="7" style="290" customWidth="1"/>
    <col min="1017" max="1017" width="14.75" style="290" customWidth="1"/>
    <col min="1018" max="1018" width="13.875" style="290" customWidth="1"/>
    <col min="1019" max="1019" width="5.5" style="290" customWidth="1"/>
    <col min="1020" max="1020" width="6" style="290" customWidth="1"/>
    <col min="1021" max="1021" width="7.75" style="290" customWidth="1"/>
    <col min="1022" max="1022" width="11.875" style="290" customWidth="1"/>
    <col min="1023" max="1023" width="12.5" style="290" customWidth="1"/>
    <col min="1024" max="1029" width="7.875" style="290" customWidth="1"/>
    <col min="1030" max="1030" width="11" style="290" customWidth="1"/>
    <col min="1031" max="1268" width="7.875" style="290" customWidth="1"/>
    <col min="1269" max="1269" width="4.5" style="290" customWidth="1"/>
    <col min="1270" max="1270" width="6.25" style="290" customWidth="1"/>
    <col min="1271" max="1271" width="5.75" style="290" customWidth="1"/>
    <col min="1272" max="1272" width="7" style="290" customWidth="1"/>
    <col min="1273" max="1273" width="14.75" style="290" customWidth="1"/>
    <col min="1274" max="1274" width="13.875" style="290" customWidth="1"/>
    <col min="1275" max="1275" width="5.5" style="290" customWidth="1"/>
    <col min="1276" max="1276" width="6" style="290" customWidth="1"/>
    <col min="1277" max="1277" width="7.75" style="290" customWidth="1"/>
    <col min="1278" max="1278" width="11.875" style="290" customWidth="1"/>
    <col min="1279" max="1279" width="12.5" style="290" customWidth="1"/>
    <col min="1280" max="1285" width="7.875" style="290" customWidth="1"/>
    <col min="1286" max="1286" width="11" style="290" customWidth="1"/>
    <col min="1287" max="1524" width="7.875" style="290" customWidth="1"/>
    <col min="1525" max="1525" width="4.5" style="290" customWidth="1"/>
    <col min="1526" max="1526" width="6.25" style="290" customWidth="1"/>
    <col min="1527" max="1527" width="5.75" style="290" customWidth="1"/>
    <col min="1528" max="1528" width="7" style="290" customWidth="1"/>
    <col min="1529" max="1529" width="14.75" style="290" customWidth="1"/>
    <col min="1530" max="1530" width="13.875" style="290" customWidth="1"/>
    <col min="1531" max="1531" width="5.5" style="290" customWidth="1"/>
    <col min="1532" max="1532" width="6" style="290" customWidth="1"/>
    <col min="1533" max="1533" width="7.75" style="290" customWidth="1"/>
    <col min="1534" max="1534" width="11.875" style="290" customWidth="1"/>
    <col min="1535" max="1535" width="12.5" style="290" customWidth="1"/>
    <col min="1536" max="1541" width="7.875" style="290" customWidth="1"/>
    <col min="1542" max="1542" width="11" style="290" customWidth="1"/>
    <col min="1543" max="1780" width="7.875" style="290" customWidth="1"/>
    <col min="1781" max="1781" width="4.5" style="290" customWidth="1"/>
    <col min="1782" max="1782" width="6.25" style="290" customWidth="1"/>
    <col min="1783" max="1783" width="5.75" style="290" customWidth="1"/>
    <col min="1784" max="1784" width="7" style="290" customWidth="1"/>
    <col min="1785" max="1785" width="14.75" style="290" customWidth="1"/>
    <col min="1786" max="1786" width="13.875" style="290" customWidth="1"/>
    <col min="1787" max="1787" width="5.5" style="290" customWidth="1"/>
    <col min="1788" max="1788" width="6" style="290" customWidth="1"/>
    <col min="1789" max="1789" width="7.75" style="290" customWidth="1"/>
    <col min="1790" max="1790" width="11.875" style="290" customWidth="1"/>
    <col min="1791" max="1791" width="12.5" style="290" customWidth="1"/>
    <col min="1792" max="1797" width="7.875" style="290" customWidth="1"/>
    <col min="1798" max="1798" width="11" style="290" customWidth="1"/>
    <col min="1799" max="2036" width="7.875" style="290" customWidth="1"/>
    <col min="2037" max="2037" width="4.5" style="290" customWidth="1"/>
    <col min="2038" max="2038" width="6.25" style="290" customWidth="1"/>
    <col min="2039" max="2039" width="5.75" style="290" customWidth="1"/>
    <col min="2040" max="2040" width="7" style="290" customWidth="1"/>
    <col min="2041" max="2041" width="14.75" style="290" customWidth="1"/>
    <col min="2042" max="2042" width="13.875" style="290" customWidth="1"/>
    <col min="2043" max="2043" width="5.5" style="290" customWidth="1"/>
    <col min="2044" max="2044" width="6" style="290" customWidth="1"/>
    <col min="2045" max="2045" width="7.75" style="290" customWidth="1"/>
    <col min="2046" max="2046" width="11.875" style="290" customWidth="1"/>
    <col min="2047" max="2047" width="12.5" style="290" customWidth="1"/>
    <col min="2048" max="2053" width="7.875" style="290" customWidth="1"/>
    <col min="2054" max="2054" width="11" style="290" customWidth="1"/>
    <col min="2055" max="2292" width="7.875" style="290" customWidth="1"/>
    <col min="2293" max="2293" width="4.5" style="290" customWidth="1"/>
    <col min="2294" max="2294" width="6.25" style="290" customWidth="1"/>
    <col min="2295" max="2295" width="5.75" style="290" customWidth="1"/>
    <col min="2296" max="2296" width="7" style="290" customWidth="1"/>
    <col min="2297" max="2297" width="14.75" style="290" customWidth="1"/>
    <col min="2298" max="2298" width="13.875" style="290" customWidth="1"/>
    <col min="2299" max="2299" width="5.5" style="290" customWidth="1"/>
    <col min="2300" max="2300" width="6" style="290" customWidth="1"/>
    <col min="2301" max="2301" width="7.75" style="290" customWidth="1"/>
    <col min="2302" max="2302" width="11.875" style="290" customWidth="1"/>
    <col min="2303" max="2303" width="12.5" style="290" customWidth="1"/>
    <col min="2304" max="2309" width="7.875" style="290" customWidth="1"/>
    <col min="2310" max="2310" width="11" style="290" customWidth="1"/>
    <col min="2311" max="2548" width="7.875" style="290" customWidth="1"/>
    <col min="2549" max="2549" width="4.5" style="290" customWidth="1"/>
    <col min="2550" max="2550" width="6.25" style="290" customWidth="1"/>
    <col min="2551" max="2551" width="5.75" style="290" customWidth="1"/>
    <col min="2552" max="2552" width="7" style="290" customWidth="1"/>
    <col min="2553" max="2553" width="14.75" style="290" customWidth="1"/>
    <col min="2554" max="2554" width="13.875" style="290" customWidth="1"/>
    <col min="2555" max="2555" width="5.5" style="290" customWidth="1"/>
    <col min="2556" max="2556" width="6" style="290" customWidth="1"/>
    <col min="2557" max="2557" width="7.75" style="290" customWidth="1"/>
    <col min="2558" max="2558" width="11.875" style="290" customWidth="1"/>
    <col min="2559" max="2559" width="12.5" style="290" customWidth="1"/>
    <col min="2560" max="2565" width="7.875" style="290" customWidth="1"/>
    <col min="2566" max="2566" width="11" style="290" customWidth="1"/>
    <col min="2567" max="2804" width="7.875" style="290" customWidth="1"/>
    <col min="2805" max="2805" width="4.5" style="290" customWidth="1"/>
    <col min="2806" max="2806" width="6.25" style="290" customWidth="1"/>
    <col min="2807" max="2807" width="5.75" style="290" customWidth="1"/>
    <col min="2808" max="2808" width="7" style="290" customWidth="1"/>
    <col min="2809" max="2809" width="14.75" style="290" customWidth="1"/>
    <col min="2810" max="2810" width="13.875" style="290" customWidth="1"/>
    <col min="2811" max="2811" width="5.5" style="290" customWidth="1"/>
    <col min="2812" max="2812" width="6" style="290" customWidth="1"/>
    <col min="2813" max="2813" width="7.75" style="290" customWidth="1"/>
    <col min="2814" max="2814" width="11.875" style="290" customWidth="1"/>
    <col min="2815" max="2815" width="12.5" style="290" customWidth="1"/>
    <col min="2816" max="2821" width="7.875" style="290" customWidth="1"/>
    <col min="2822" max="2822" width="11" style="290" customWidth="1"/>
    <col min="2823" max="3060" width="7.875" style="290" customWidth="1"/>
    <col min="3061" max="3061" width="4.5" style="290" customWidth="1"/>
    <col min="3062" max="3062" width="6.25" style="290" customWidth="1"/>
    <col min="3063" max="3063" width="5.75" style="290" customWidth="1"/>
    <col min="3064" max="3064" width="7" style="290" customWidth="1"/>
    <col min="3065" max="3065" width="14.75" style="290" customWidth="1"/>
    <col min="3066" max="3066" width="13.875" style="290" customWidth="1"/>
    <col min="3067" max="3067" width="5.5" style="290" customWidth="1"/>
    <col min="3068" max="3068" width="6" style="290" customWidth="1"/>
    <col min="3069" max="3069" width="7.75" style="290" customWidth="1"/>
    <col min="3070" max="3070" width="11.875" style="290" customWidth="1"/>
    <col min="3071" max="3071" width="12.5" style="290" customWidth="1"/>
    <col min="3072" max="3077" width="7.875" style="290" customWidth="1"/>
    <col min="3078" max="3078" width="11" style="290" customWidth="1"/>
    <col min="3079" max="3316" width="7.875" style="290" customWidth="1"/>
    <col min="3317" max="3317" width="4.5" style="290" customWidth="1"/>
    <col min="3318" max="3318" width="6.25" style="290" customWidth="1"/>
    <col min="3319" max="3319" width="5.75" style="290" customWidth="1"/>
    <col min="3320" max="3320" width="7" style="290" customWidth="1"/>
    <col min="3321" max="3321" width="14.75" style="290" customWidth="1"/>
    <col min="3322" max="3322" width="13.875" style="290" customWidth="1"/>
    <col min="3323" max="3323" width="5.5" style="290" customWidth="1"/>
    <col min="3324" max="3324" width="6" style="290" customWidth="1"/>
    <col min="3325" max="3325" width="7.75" style="290" customWidth="1"/>
    <col min="3326" max="3326" width="11.875" style="290" customWidth="1"/>
    <col min="3327" max="3327" width="12.5" style="290" customWidth="1"/>
    <col min="3328" max="3333" width="7.875" style="290" customWidth="1"/>
    <col min="3334" max="3334" width="11" style="290" customWidth="1"/>
    <col min="3335" max="3572" width="7.875" style="290" customWidth="1"/>
    <col min="3573" max="3573" width="4.5" style="290" customWidth="1"/>
    <col min="3574" max="3574" width="6.25" style="290" customWidth="1"/>
    <col min="3575" max="3575" width="5.75" style="290" customWidth="1"/>
    <col min="3576" max="3576" width="7" style="290" customWidth="1"/>
    <col min="3577" max="3577" width="14.75" style="290" customWidth="1"/>
    <col min="3578" max="3578" width="13.875" style="290" customWidth="1"/>
    <col min="3579" max="3579" width="5.5" style="290" customWidth="1"/>
    <col min="3580" max="3580" width="6" style="290" customWidth="1"/>
    <col min="3581" max="3581" width="7.75" style="290" customWidth="1"/>
    <col min="3582" max="3582" width="11.875" style="290" customWidth="1"/>
    <col min="3583" max="3583" width="12.5" style="290" customWidth="1"/>
    <col min="3584" max="3589" width="7.875" style="290" customWidth="1"/>
    <col min="3590" max="3590" width="11" style="290" customWidth="1"/>
    <col min="3591" max="3828" width="7.875" style="290" customWidth="1"/>
    <col min="3829" max="3829" width="4.5" style="290" customWidth="1"/>
    <col min="3830" max="3830" width="6.25" style="290" customWidth="1"/>
    <col min="3831" max="3831" width="5.75" style="290" customWidth="1"/>
    <col min="3832" max="3832" width="7" style="290" customWidth="1"/>
    <col min="3833" max="3833" width="14.75" style="290" customWidth="1"/>
    <col min="3834" max="3834" width="13.875" style="290" customWidth="1"/>
    <col min="3835" max="3835" width="5.5" style="290" customWidth="1"/>
    <col min="3836" max="3836" width="6" style="290" customWidth="1"/>
    <col min="3837" max="3837" width="7.75" style="290" customWidth="1"/>
    <col min="3838" max="3838" width="11.875" style="290" customWidth="1"/>
    <col min="3839" max="3839" width="12.5" style="290" customWidth="1"/>
    <col min="3840" max="3845" width="7.875" style="290" customWidth="1"/>
    <col min="3846" max="3846" width="11" style="290" customWidth="1"/>
    <col min="3847" max="4084" width="7.875" style="290" customWidth="1"/>
    <col min="4085" max="4085" width="4.5" style="290" customWidth="1"/>
    <col min="4086" max="4086" width="6.25" style="290" customWidth="1"/>
    <col min="4087" max="4087" width="5.75" style="290" customWidth="1"/>
    <col min="4088" max="4088" width="7" style="290" customWidth="1"/>
    <col min="4089" max="4089" width="14.75" style="290" customWidth="1"/>
    <col min="4090" max="4090" width="13.875" style="290" customWidth="1"/>
    <col min="4091" max="4091" width="5.5" style="290" customWidth="1"/>
    <col min="4092" max="4092" width="6" style="290" customWidth="1"/>
    <col min="4093" max="4093" width="7.75" style="290" customWidth="1"/>
    <col min="4094" max="4094" width="11.875" style="290" customWidth="1"/>
    <col min="4095" max="4095" width="12.5" style="290" customWidth="1"/>
    <col min="4096" max="4101" width="7.875" style="290" customWidth="1"/>
    <col min="4102" max="4102" width="11" style="290" customWidth="1"/>
    <col min="4103" max="4340" width="7.875" style="290" customWidth="1"/>
    <col min="4341" max="4341" width="4.5" style="290" customWidth="1"/>
    <col min="4342" max="4342" width="6.25" style="290" customWidth="1"/>
    <col min="4343" max="4343" width="5.75" style="290" customWidth="1"/>
    <col min="4344" max="4344" width="7" style="290" customWidth="1"/>
    <col min="4345" max="4345" width="14.75" style="290" customWidth="1"/>
    <col min="4346" max="4346" width="13.875" style="290" customWidth="1"/>
    <col min="4347" max="4347" width="5.5" style="290" customWidth="1"/>
    <col min="4348" max="4348" width="6" style="290" customWidth="1"/>
    <col min="4349" max="4349" width="7.75" style="290" customWidth="1"/>
    <col min="4350" max="4350" width="11.875" style="290" customWidth="1"/>
    <col min="4351" max="4351" width="12.5" style="290" customWidth="1"/>
    <col min="4352" max="4357" width="7.875" style="290" customWidth="1"/>
    <col min="4358" max="4358" width="11" style="290" customWidth="1"/>
    <col min="4359" max="4596" width="7.875" style="290" customWidth="1"/>
    <col min="4597" max="4597" width="4.5" style="290" customWidth="1"/>
    <col min="4598" max="4598" width="6.25" style="290" customWidth="1"/>
    <col min="4599" max="4599" width="5.75" style="290" customWidth="1"/>
    <col min="4600" max="4600" width="7" style="290" customWidth="1"/>
    <col min="4601" max="4601" width="14.75" style="290" customWidth="1"/>
    <col min="4602" max="4602" width="13.875" style="290" customWidth="1"/>
    <col min="4603" max="4603" width="5.5" style="290" customWidth="1"/>
    <col min="4604" max="4604" width="6" style="290" customWidth="1"/>
    <col min="4605" max="4605" width="7.75" style="290" customWidth="1"/>
    <col min="4606" max="4606" width="11.875" style="290" customWidth="1"/>
    <col min="4607" max="4607" width="12.5" style="290" customWidth="1"/>
    <col min="4608" max="4613" width="7.875" style="290" customWidth="1"/>
    <col min="4614" max="4614" width="11" style="290" customWidth="1"/>
    <col min="4615" max="4852" width="7.875" style="290" customWidth="1"/>
    <col min="4853" max="4853" width="4.5" style="290" customWidth="1"/>
    <col min="4854" max="4854" width="6.25" style="290" customWidth="1"/>
    <col min="4855" max="4855" width="5.75" style="290" customWidth="1"/>
    <col min="4856" max="4856" width="7" style="290" customWidth="1"/>
    <col min="4857" max="4857" width="14.75" style="290" customWidth="1"/>
    <col min="4858" max="4858" width="13.875" style="290" customWidth="1"/>
    <col min="4859" max="4859" width="5.5" style="290" customWidth="1"/>
    <col min="4860" max="4860" width="6" style="290" customWidth="1"/>
    <col min="4861" max="4861" width="7.75" style="290" customWidth="1"/>
    <col min="4862" max="4862" width="11.875" style="290" customWidth="1"/>
    <col min="4863" max="4863" width="12.5" style="290" customWidth="1"/>
    <col min="4864" max="4869" width="7.875" style="290" customWidth="1"/>
    <col min="4870" max="4870" width="11" style="290" customWidth="1"/>
    <col min="4871" max="5108" width="7.875" style="290" customWidth="1"/>
    <col min="5109" max="5109" width="4.5" style="290" customWidth="1"/>
    <col min="5110" max="5110" width="6.25" style="290" customWidth="1"/>
    <col min="5111" max="5111" width="5.75" style="290" customWidth="1"/>
    <col min="5112" max="5112" width="7" style="290" customWidth="1"/>
    <col min="5113" max="5113" width="14.75" style="290" customWidth="1"/>
    <col min="5114" max="5114" width="13.875" style="290" customWidth="1"/>
    <col min="5115" max="5115" width="5.5" style="290" customWidth="1"/>
    <col min="5116" max="5116" width="6" style="290" customWidth="1"/>
    <col min="5117" max="5117" width="7.75" style="290" customWidth="1"/>
    <col min="5118" max="5118" width="11.875" style="290" customWidth="1"/>
    <col min="5119" max="5119" width="12.5" style="290" customWidth="1"/>
    <col min="5120" max="5125" width="7.875" style="290" customWidth="1"/>
    <col min="5126" max="5126" width="11" style="290" customWidth="1"/>
    <col min="5127" max="5364" width="7.875" style="290" customWidth="1"/>
    <col min="5365" max="5365" width="4.5" style="290" customWidth="1"/>
    <col min="5366" max="5366" width="6.25" style="290" customWidth="1"/>
    <col min="5367" max="5367" width="5.75" style="290" customWidth="1"/>
    <col min="5368" max="5368" width="7" style="290" customWidth="1"/>
    <col min="5369" max="5369" width="14.75" style="290" customWidth="1"/>
    <col min="5370" max="5370" width="13.875" style="290" customWidth="1"/>
    <col min="5371" max="5371" width="5.5" style="290" customWidth="1"/>
    <col min="5372" max="5372" width="6" style="290" customWidth="1"/>
    <col min="5373" max="5373" width="7.75" style="290" customWidth="1"/>
    <col min="5374" max="5374" width="11.875" style="290" customWidth="1"/>
    <col min="5375" max="5375" width="12.5" style="290" customWidth="1"/>
    <col min="5376" max="5381" width="7.875" style="290" customWidth="1"/>
    <col min="5382" max="5382" width="11" style="290" customWidth="1"/>
    <col min="5383" max="5620" width="7.875" style="290" customWidth="1"/>
    <col min="5621" max="5621" width="4.5" style="290" customWidth="1"/>
    <col min="5622" max="5622" width="6.25" style="290" customWidth="1"/>
    <col min="5623" max="5623" width="5.75" style="290" customWidth="1"/>
    <col min="5624" max="5624" width="7" style="290" customWidth="1"/>
    <col min="5625" max="5625" width="14.75" style="290" customWidth="1"/>
    <col min="5626" max="5626" width="13.875" style="290" customWidth="1"/>
    <col min="5627" max="5627" width="5.5" style="290" customWidth="1"/>
    <col min="5628" max="5628" width="6" style="290" customWidth="1"/>
    <col min="5629" max="5629" width="7.75" style="290" customWidth="1"/>
    <col min="5630" max="5630" width="11.875" style="290" customWidth="1"/>
    <col min="5631" max="5631" width="12.5" style="290" customWidth="1"/>
    <col min="5632" max="5637" width="7.875" style="290" customWidth="1"/>
    <col min="5638" max="5638" width="11" style="290" customWidth="1"/>
    <col min="5639" max="5876" width="7.875" style="290" customWidth="1"/>
    <col min="5877" max="5877" width="4.5" style="290" customWidth="1"/>
    <col min="5878" max="5878" width="6.25" style="290" customWidth="1"/>
    <col min="5879" max="5879" width="5.75" style="290" customWidth="1"/>
    <col min="5880" max="5880" width="7" style="290" customWidth="1"/>
    <col min="5881" max="5881" width="14.75" style="290" customWidth="1"/>
    <col min="5882" max="5882" width="13.875" style="290" customWidth="1"/>
    <col min="5883" max="5883" width="5.5" style="290" customWidth="1"/>
    <col min="5884" max="5884" width="6" style="290" customWidth="1"/>
    <col min="5885" max="5885" width="7.75" style="290" customWidth="1"/>
    <col min="5886" max="5886" width="11.875" style="290" customWidth="1"/>
    <col min="5887" max="5887" width="12.5" style="290" customWidth="1"/>
    <col min="5888" max="5893" width="7.875" style="290" customWidth="1"/>
    <col min="5894" max="5894" width="11" style="290" customWidth="1"/>
    <col min="5895" max="6132" width="7.875" style="290" customWidth="1"/>
    <col min="6133" max="6133" width="4.5" style="290" customWidth="1"/>
    <col min="6134" max="6134" width="6.25" style="290" customWidth="1"/>
    <col min="6135" max="6135" width="5.75" style="290" customWidth="1"/>
    <col min="6136" max="6136" width="7" style="290" customWidth="1"/>
    <col min="6137" max="6137" width="14.75" style="290" customWidth="1"/>
    <col min="6138" max="6138" width="13.875" style="290" customWidth="1"/>
    <col min="6139" max="6139" width="5.5" style="290" customWidth="1"/>
    <col min="6140" max="6140" width="6" style="290" customWidth="1"/>
    <col min="6141" max="6141" width="7.75" style="290" customWidth="1"/>
    <col min="6142" max="6142" width="11.875" style="290" customWidth="1"/>
    <col min="6143" max="6143" width="12.5" style="290" customWidth="1"/>
    <col min="6144" max="6149" width="7.875" style="290" customWidth="1"/>
    <col min="6150" max="6150" width="11" style="290" customWidth="1"/>
    <col min="6151" max="6388" width="7.875" style="290" customWidth="1"/>
    <col min="6389" max="6389" width="4.5" style="290" customWidth="1"/>
    <col min="6390" max="6390" width="6.25" style="290" customWidth="1"/>
    <col min="6391" max="6391" width="5.75" style="290" customWidth="1"/>
    <col min="6392" max="6392" width="7" style="290" customWidth="1"/>
    <col min="6393" max="6393" width="14.75" style="290" customWidth="1"/>
    <col min="6394" max="6394" width="13.875" style="290" customWidth="1"/>
    <col min="6395" max="6395" width="5.5" style="290" customWidth="1"/>
    <col min="6396" max="6396" width="6" style="290" customWidth="1"/>
    <col min="6397" max="6397" width="7.75" style="290" customWidth="1"/>
    <col min="6398" max="6398" width="11.875" style="290" customWidth="1"/>
    <col min="6399" max="6399" width="12.5" style="290" customWidth="1"/>
    <col min="6400" max="6405" width="7.875" style="290" customWidth="1"/>
    <col min="6406" max="6406" width="11" style="290" customWidth="1"/>
    <col min="6407" max="6644" width="7.875" style="290" customWidth="1"/>
    <col min="6645" max="6645" width="4.5" style="290" customWidth="1"/>
    <col min="6646" max="6646" width="6.25" style="290" customWidth="1"/>
    <col min="6647" max="6647" width="5.75" style="290" customWidth="1"/>
    <col min="6648" max="6648" width="7" style="290" customWidth="1"/>
    <col min="6649" max="6649" width="14.75" style="290" customWidth="1"/>
    <col min="6650" max="6650" width="13.875" style="290" customWidth="1"/>
    <col min="6651" max="6651" width="5.5" style="290" customWidth="1"/>
    <col min="6652" max="6652" width="6" style="290" customWidth="1"/>
    <col min="6653" max="6653" width="7.75" style="290" customWidth="1"/>
    <col min="6654" max="6654" width="11.875" style="290" customWidth="1"/>
    <col min="6655" max="6655" width="12.5" style="290" customWidth="1"/>
    <col min="6656" max="6661" width="7.875" style="290" customWidth="1"/>
    <col min="6662" max="6662" width="11" style="290" customWidth="1"/>
    <col min="6663" max="6900" width="7.875" style="290" customWidth="1"/>
    <col min="6901" max="6901" width="4.5" style="290" customWidth="1"/>
    <col min="6902" max="6902" width="6.25" style="290" customWidth="1"/>
    <col min="6903" max="6903" width="5.75" style="290" customWidth="1"/>
    <col min="6904" max="6904" width="7" style="290" customWidth="1"/>
    <col min="6905" max="6905" width="14.75" style="290" customWidth="1"/>
    <col min="6906" max="6906" width="13.875" style="290" customWidth="1"/>
    <col min="6907" max="6907" width="5.5" style="290" customWidth="1"/>
    <col min="6908" max="6908" width="6" style="290" customWidth="1"/>
    <col min="6909" max="6909" width="7.75" style="290" customWidth="1"/>
    <col min="6910" max="6910" width="11.875" style="290" customWidth="1"/>
    <col min="6911" max="6911" width="12.5" style="290" customWidth="1"/>
    <col min="6912" max="6917" width="7.875" style="290" customWidth="1"/>
    <col min="6918" max="6918" width="11" style="290" customWidth="1"/>
    <col min="6919" max="7156" width="7.875" style="290" customWidth="1"/>
    <col min="7157" max="7157" width="4.5" style="290" customWidth="1"/>
    <col min="7158" max="7158" width="6.25" style="290" customWidth="1"/>
    <col min="7159" max="7159" width="5.75" style="290" customWidth="1"/>
    <col min="7160" max="7160" width="7" style="290" customWidth="1"/>
    <col min="7161" max="7161" width="14.75" style="290" customWidth="1"/>
    <col min="7162" max="7162" width="13.875" style="290" customWidth="1"/>
    <col min="7163" max="7163" width="5.5" style="290" customWidth="1"/>
    <col min="7164" max="7164" width="6" style="290" customWidth="1"/>
    <col min="7165" max="7165" width="7.75" style="290" customWidth="1"/>
    <col min="7166" max="7166" width="11.875" style="290" customWidth="1"/>
    <col min="7167" max="7167" width="12.5" style="290" customWidth="1"/>
    <col min="7168" max="7173" width="7.875" style="290" customWidth="1"/>
    <col min="7174" max="7174" width="11" style="290" customWidth="1"/>
    <col min="7175" max="7412" width="7.875" style="290" customWidth="1"/>
    <col min="7413" max="7413" width="4.5" style="290" customWidth="1"/>
    <col min="7414" max="7414" width="6.25" style="290" customWidth="1"/>
    <col min="7415" max="7415" width="5.75" style="290" customWidth="1"/>
    <col min="7416" max="7416" width="7" style="290" customWidth="1"/>
    <col min="7417" max="7417" width="14.75" style="290" customWidth="1"/>
    <col min="7418" max="7418" width="13.875" style="290" customWidth="1"/>
    <col min="7419" max="7419" width="5.5" style="290" customWidth="1"/>
    <col min="7420" max="7420" width="6" style="290" customWidth="1"/>
    <col min="7421" max="7421" width="7.75" style="290" customWidth="1"/>
    <col min="7422" max="7422" width="11.875" style="290" customWidth="1"/>
    <col min="7423" max="7423" width="12.5" style="290" customWidth="1"/>
    <col min="7424" max="7429" width="7.875" style="290" customWidth="1"/>
    <col min="7430" max="7430" width="11" style="290" customWidth="1"/>
    <col min="7431" max="7668" width="7.875" style="290" customWidth="1"/>
    <col min="7669" max="7669" width="4.5" style="290" customWidth="1"/>
    <col min="7670" max="7670" width="6.25" style="290" customWidth="1"/>
    <col min="7671" max="7671" width="5.75" style="290" customWidth="1"/>
    <col min="7672" max="7672" width="7" style="290" customWidth="1"/>
    <col min="7673" max="7673" width="14.75" style="290" customWidth="1"/>
    <col min="7674" max="7674" width="13.875" style="290" customWidth="1"/>
    <col min="7675" max="7675" width="5.5" style="290" customWidth="1"/>
    <col min="7676" max="7676" width="6" style="290" customWidth="1"/>
    <col min="7677" max="7677" width="7.75" style="290" customWidth="1"/>
    <col min="7678" max="7678" width="11.875" style="290" customWidth="1"/>
    <col min="7679" max="7679" width="12.5" style="290" customWidth="1"/>
    <col min="7680" max="7685" width="7.875" style="290" customWidth="1"/>
    <col min="7686" max="7686" width="11" style="290" customWidth="1"/>
    <col min="7687" max="7924" width="7.875" style="290" customWidth="1"/>
    <col min="7925" max="7925" width="4.5" style="290" customWidth="1"/>
    <col min="7926" max="7926" width="6.25" style="290" customWidth="1"/>
    <col min="7927" max="7927" width="5.75" style="290" customWidth="1"/>
    <col min="7928" max="7928" width="7" style="290" customWidth="1"/>
    <col min="7929" max="7929" width="14.75" style="290" customWidth="1"/>
    <col min="7930" max="7930" width="13.875" style="290" customWidth="1"/>
    <col min="7931" max="7931" width="5.5" style="290" customWidth="1"/>
    <col min="7932" max="7932" width="6" style="290" customWidth="1"/>
    <col min="7933" max="7933" width="7.75" style="290" customWidth="1"/>
    <col min="7934" max="7934" width="11.875" style="290" customWidth="1"/>
    <col min="7935" max="7935" width="12.5" style="290" customWidth="1"/>
    <col min="7936" max="7941" width="7.875" style="290" customWidth="1"/>
    <col min="7942" max="7942" width="11" style="290" customWidth="1"/>
    <col min="7943" max="8180" width="7.875" style="290" customWidth="1"/>
    <col min="8181" max="8181" width="4.5" style="290" customWidth="1"/>
    <col min="8182" max="8182" width="6.25" style="290" customWidth="1"/>
    <col min="8183" max="8183" width="5.75" style="290" customWidth="1"/>
    <col min="8184" max="8184" width="7" style="290" customWidth="1"/>
    <col min="8185" max="8185" width="14.75" style="290" customWidth="1"/>
    <col min="8186" max="8186" width="13.875" style="290" customWidth="1"/>
    <col min="8187" max="8187" width="5.5" style="290" customWidth="1"/>
    <col min="8188" max="8188" width="6" style="290" customWidth="1"/>
    <col min="8189" max="8189" width="7.75" style="290" customWidth="1"/>
    <col min="8190" max="8190" width="11.875" style="290" customWidth="1"/>
    <col min="8191" max="8191" width="12.5" style="290" customWidth="1"/>
    <col min="8192" max="8197" width="7.875" style="290" customWidth="1"/>
    <col min="8198" max="8198" width="11" style="290" customWidth="1"/>
    <col min="8199" max="8436" width="7.875" style="290" customWidth="1"/>
    <col min="8437" max="8437" width="4.5" style="290" customWidth="1"/>
    <col min="8438" max="8438" width="6.25" style="290" customWidth="1"/>
    <col min="8439" max="8439" width="5.75" style="290" customWidth="1"/>
    <col min="8440" max="8440" width="7" style="290" customWidth="1"/>
    <col min="8441" max="8441" width="14.75" style="290" customWidth="1"/>
    <col min="8442" max="8442" width="13.875" style="290" customWidth="1"/>
    <col min="8443" max="8443" width="5.5" style="290" customWidth="1"/>
    <col min="8444" max="8444" width="6" style="290" customWidth="1"/>
    <col min="8445" max="8445" width="7.75" style="290" customWidth="1"/>
    <col min="8446" max="8446" width="11.875" style="290" customWidth="1"/>
    <col min="8447" max="8447" width="12.5" style="290" customWidth="1"/>
    <col min="8448" max="8453" width="7.875" style="290" customWidth="1"/>
    <col min="8454" max="8454" width="11" style="290" customWidth="1"/>
    <col min="8455" max="8692" width="7.875" style="290" customWidth="1"/>
    <col min="8693" max="8693" width="4.5" style="290" customWidth="1"/>
    <col min="8694" max="8694" width="6.25" style="290" customWidth="1"/>
    <col min="8695" max="8695" width="5.75" style="290" customWidth="1"/>
    <col min="8696" max="8696" width="7" style="290" customWidth="1"/>
    <col min="8697" max="8697" width="14.75" style="290" customWidth="1"/>
    <col min="8698" max="8698" width="13.875" style="290" customWidth="1"/>
    <col min="8699" max="8699" width="5.5" style="290" customWidth="1"/>
    <col min="8700" max="8700" width="6" style="290" customWidth="1"/>
    <col min="8701" max="8701" width="7.75" style="290" customWidth="1"/>
    <col min="8702" max="8702" width="11.875" style="290" customWidth="1"/>
    <col min="8703" max="8703" width="12.5" style="290" customWidth="1"/>
    <col min="8704" max="8709" width="7.875" style="290" customWidth="1"/>
    <col min="8710" max="8710" width="11" style="290" customWidth="1"/>
    <col min="8711" max="8948" width="7.875" style="290" customWidth="1"/>
    <col min="8949" max="8949" width="4.5" style="290" customWidth="1"/>
    <col min="8950" max="8950" width="6.25" style="290" customWidth="1"/>
    <col min="8951" max="8951" width="5.75" style="290" customWidth="1"/>
    <col min="8952" max="8952" width="7" style="290" customWidth="1"/>
    <col min="8953" max="8953" width="14.75" style="290" customWidth="1"/>
    <col min="8954" max="8954" width="13.875" style="290" customWidth="1"/>
    <col min="8955" max="8955" width="5.5" style="290" customWidth="1"/>
    <col min="8956" max="8956" width="6" style="290" customWidth="1"/>
    <col min="8957" max="8957" width="7.75" style="290" customWidth="1"/>
    <col min="8958" max="8958" width="11.875" style="290" customWidth="1"/>
    <col min="8959" max="8959" width="12.5" style="290" customWidth="1"/>
    <col min="8960" max="8965" width="7.875" style="290" customWidth="1"/>
    <col min="8966" max="8966" width="11" style="290" customWidth="1"/>
    <col min="8967" max="9204" width="7.875" style="290" customWidth="1"/>
    <col min="9205" max="9205" width="4.5" style="290" customWidth="1"/>
    <col min="9206" max="9206" width="6.25" style="290" customWidth="1"/>
    <col min="9207" max="9207" width="5.75" style="290" customWidth="1"/>
    <col min="9208" max="9208" width="7" style="290" customWidth="1"/>
    <col min="9209" max="9209" width="14.75" style="290" customWidth="1"/>
    <col min="9210" max="9210" width="13.875" style="290" customWidth="1"/>
    <col min="9211" max="9211" width="5.5" style="290" customWidth="1"/>
    <col min="9212" max="9212" width="6" style="290" customWidth="1"/>
    <col min="9213" max="9213" width="7.75" style="290" customWidth="1"/>
    <col min="9214" max="9214" width="11.875" style="290" customWidth="1"/>
    <col min="9215" max="9215" width="12.5" style="290" customWidth="1"/>
    <col min="9216" max="9221" width="7.875" style="290" customWidth="1"/>
    <col min="9222" max="9222" width="11" style="290" customWidth="1"/>
    <col min="9223" max="9460" width="7.875" style="290" customWidth="1"/>
    <col min="9461" max="9461" width="4.5" style="290" customWidth="1"/>
    <col min="9462" max="9462" width="6.25" style="290" customWidth="1"/>
    <col min="9463" max="9463" width="5.75" style="290" customWidth="1"/>
    <col min="9464" max="9464" width="7" style="290" customWidth="1"/>
    <col min="9465" max="9465" width="14.75" style="290" customWidth="1"/>
    <col min="9466" max="9466" width="13.875" style="290" customWidth="1"/>
    <col min="9467" max="9467" width="5.5" style="290" customWidth="1"/>
    <col min="9468" max="9468" width="6" style="290" customWidth="1"/>
    <col min="9469" max="9469" width="7.75" style="290" customWidth="1"/>
    <col min="9470" max="9470" width="11.875" style="290" customWidth="1"/>
    <col min="9471" max="9471" width="12.5" style="290" customWidth="1"/>
    <col min="9472" max="9477" width="7.875" style="290" customWidth="1"/>
    <col min="9478" max="9478" width="11" style="290" customWidth="1"/>
    <col min="9479" max="9716" width="7.875" style="290" customWidth="1"/>
    <col min="9717" max="9717" width="4.5" style="290" customWidth="1"/>
    <col min="9718" max="9718" width="6.25" style="290" customWidth="1"/>
    <col min="9719" max="9719" width="5.75" style="290" customWidth="1"/>
    <col min="9720" max="9720" width="7" style="290" customWidth="1"/>
    <col min="9721" max="9721" width="14.75" style="290" customWidth="1"/>
    <col min="9722" max="9722" width="13.875" style="290" customWidth="1"/>
    <col min="9723" max="9723" width="5.5" style="290" customWidth="1"/>
    <col min="9724" max="9724" width="6" style="290" customWidth="1"/>
    <col min="9725" max="9725" width="7.75" style="290" customWidth="1"/>
    <col min="9726" max="9726" width="11.875" style="290" customWidth="1"/>
    <col min="9727" max="9727" width="12.5" style="290" customWidth="1"/>
    <col min="9728" max="9733" width="7.875" style="290" customWidth="1"/>
    <col min="9734" max="9734" width="11" style="290" customWidth="1"/>
    <col min="9735" max="9972" width="7.875" style="290" customWidth="1"/>
    <col min="9973" max="9973" width="4.5" style="290" customWidth="1"/>
    <col min="9974" max="9974" width="6.25" style="290" customWidth="1"/>
    <col min="9975" max="9975" width="5.75" style="290" customWidth="1"/>
    <col min="9976" max="9976" width="7" style="290" customWidth="1"/>
    <col min="9977" max="9977" width="14.75" style="290" customWidth="1"/>
    <col min="9978" max="9978" width="13.875" style="290" customWidth="1"/>
    <col min="9979" max="9979" width="5.5" style="290" customWidth="1"/>
    <col min="9980" max="9980" width="6" style="290" customWidth="1"/>
    <col min="9981" max="9981" width="7.75" style="290" customWidth="1"/>
    <col min="9982" max="9982" width="11.875" style="290" customWidth="1"/>
    <col min="9983" max="9983" width="12.5" style="290" customWidth="1"/>
    <col min="9984" max="9989" width="7.875" style="290" customWidth="1"/>
    <col min="9990" max="9990" width="11" style="290" customWidth="1"/>
    <col min="9991" max="10228" width="7.875" style="290" customWidth="1"/>
    <col min="10229" max="10229" width="4.5" style="290" customWidth="1"/>
    <col min="10230" max="10230" width="6.25" style="290" customWidth="1"/>
    <col min="10231" max="10231" width="5.75" style="290" customWidth="1"/>
    <col min="10232" max="10232" width="7" style="290" customWidth="1"/>
    <col min="10233" max="10233" width="14.75" style="290" customWidth="1"/>
    <col min="10234" max="10234" width="13.875" style="290" customWidth="1"/>
    <col min="10235" max="10235" width="5.5" style="290" customWidth="1"/>
    <col min="10236" max="10236" width="6" style="290" customWidth="1"/>
    <col min="10237" max="10237" width="7.75" style="290" customWidth="1"/>
    <col min="10238" max="10238" width="11.875" style="290" customWidth="1"/>
    <col min="10239" max="10239" width="12.5" style="290" customWidth="1"/>
    <col min="10240" max="10245" width="7.875" style="290" customWidth="1"/>
    <col min="10246" max="10246" width="11" style="290" customWidth="1"/>
    <col min="10247" max="10484" width="7.875" style="290" customWidth="1"/>
    <col min="10485" max="10485" width="4.5" style="290" customWidth="1"/>
    <col min="10486" max="10486" width="6.25" style="290" customWidth="1"/>
    <col min="10487" max="10487" width="5.75" style="290" customWidth="1"/>
    <col min="10488" max="10488" width="7" style="290" customWidth="1"/>
    <col min="10489" max="10489" width="14.75" style="290" customWidth="1"/>
    <col min="10490" max="10490" width="13.875" style="290" customWidth="1"/>
    <col min="10491" max="10491" width="5.5" style="290" customWidth="1"/>
    <col min="10492" max="10492" width="6" style="290" customWidth="1"/>
    <col min="10493" max="10493" width="7.75" style="290" customWidth="1"/>
    <col min="10494" max="10494" width="11.875" style="290" customWidth="1"/>
    <col min="10495" max="10495" width="12.5" style="290" customWidth="1"/>
    <col min="10496" max="10501" width="7.875" style="290" customWidth="1"/>
    <col min="10502" max="10502" width="11" style="290" customWidth="1"/>
    <col min="10503" max="10740" width="7.875" style="290" customWidth="1"/>
    <col min="10741" max="10741" width="4.5" style="290" customWidth="1"/>
    <col min="10742" max="10742" width="6.25" style="290" customWidth="1"/>
    <col min="10743" max="10743" width="5.75" style="290" customWidth="1"/>
    <col min="10744" max="10744" width="7" style="290" customWidth="1"/>
    <col min="10745" max="10745" width="14.75" style="290" customWidth="1"/>
    <col min="10746" max="10746" width="13.875" style="290" customWidth="1"/>
    <col min="10747" max="10747" width="5.5" style="290" customWidth="1"/>
    <col min="10748" max="10748" width="6" style="290" customWidth="1"/>
    <col min="10749" max="10749" width="7.75" style="290" customWidth="1"/>
    <col min="10750" max="10750" width="11.875" style="290" customWidth="1"/>
    <col min="10751" max="10751" width="12.5" style="290" customWidth="1"/>
    <col min="10752" max="10757" width="7.875" style="290" customWidth="1"/>
    <col min="10758" max="10758" width="11" style="290" customWidth="1"/>
    <col min="10759" max="10996" width="7.875" style="290" customWidth="1"/>
    <col min="10997" max="10997" width="4.5" style="290" customWidth="1"/>
    <col min="10998" max="10998" width="6.25" style="290" customWidth="1"/>
    <col min="10999" max="10999" width="5.75" style="290" customWidth="1"/>
    <col min="11000" max="11000" width="7" style="290" customWidth="1"/>
    <col min="11001" max="11001" width="14.75" style="290" customWidth="1"/>
    <col min="11002" max="11002" width="13.875" style="290" customWidth="1"/>
    <col min="11003" max="11003" width="5.5" style="290" customWidth="1"/>
    <col min="11004" max="11004" width="6" style="290" customWidth="1"/>
    <col min="11005" max="11005" width="7.75" style="290" customWidth="1"/>
    <col min="11006" max="11006" width="11.875" style="290" customWidth="1"/>
    <col min="11007" max="11007" width="12.5" style="290" customWidth="1"/>
    <col min="11008" max="11013" width="7.875" style="290" customWidth="1"/>
    <col min="11014" max="11014" width="11" style="290" customWidth="1"/>
    <col min="11015" max="11252" width="7.875" style="290" customWidth="1"/>
    <col min="11253" max="11253" width="4.5" style="290" customWidth="1"/>
    <col min="11254" max="11254" width="6.25" style="290" customWidth="1"/>
    <col min="11255" max="11255" width="5.75" style="290" customWidth="1"/>
    <col min="11256" max="11256" width="7" style="290" customWidth="1"/>
    <col min="11257" max="11257" width="14.75" style="290" customWidth="1"/>
    <col min="11258" max="11258" width="13.875" style="290" customWidth="1"/>
    <col min="11259" max="11259" width="5.5" style="290" customWidth="1"/>
    <col min="11260" max="11260" width="6" style="290" customWidth="1"/>
    <col min="11261" max="11261" width="7.75" style="290" customWidth="1"/>
    <col min="11262" max="11262" width="11.875" style="290" customWidth="1"/>
    <col min="11263" max="11263" width="12.5" style="290" customWidth="1"/>
    <col min="11264" max="11269" width="7.875" style="290" customWidth="1"/>
    <col min="11270" max="11270" width="11" style="290" customWidth="1"/>
    <col min="11271" max="11508" width="7.875" style="290" customWidth="1"/>
    <col min="11509" max="11509" width="4.5" style="290" customWidth="1"/>
    <col min="11510" max="11510" width="6.25" style="290" customWidth="1"/>
    <col min="11511" max="11511" width="5.75" style="290" customWidth="1"/>
    <col min="11512" max="11512" width="7" style="290" customWidth="1"/>
    <col min="11513" max="11513" width="14.75" style="290" customWidth="1"/>
    <col min="11514" max="11514" width="13.875" style="290" customWidth="1"/>
    <col min="11515" max="11515" width="5.5" style="290" customWidth="1"/>
    <col min="11516" max="11516" width="6" style="290" customWidth="1"/>
    <col min="11517" max="11517" width="7.75" style="290" customWidth="1"/>
    <col min="11518" max="11518" width="11.875" style="290" customWidth="1"/>
    <col min="11519" max="11519" width="12.5" style="290" customWidth="1"/>
    <col min="11520" max="11525" width="7.875" style="290" customWidth="1"/>
    <col min="11526" max="11526" width="11" style="290" customWidth="1"/>
    <col min="11527" max="11764" width="7.875" style="290" customWidth="1"/>
    <col min="11765" max="11765" width="4.5" style="290" customWidth="1"/>
    <col min="11766" max="11766" width="6.25" style="290" customWidth="1"/>
    <col min="11767" max="11767" width="5.75" style="290" customWidth="1"/>
    <col min="11768" max="11768" width="7" style="290" customWidth="1"/>
    <col min="11769" max="11769" width="14.75" style="290" customWidth="1"/>
    <col min="11770" max="11770" width="13.875" style="290" customWidth="1"/>
    <col min="11771" max="11771" width="5.5" style="290" customWidth="1"/>
    <col min="11772" max="11772" width="6" style="290" customWidth="1"/>
    <col min="11773" max="11773" width="7.75" style="290" customWidth="1"/>
    <col min="11774" max="11774" width="11.875" style="290" customWidth="1"/>
    <col min="11775" max="11775" width="12.5" style="290" customWidth="1"/>
    <col min="11776" max="11781" width="7.875" style="290" customWidth="1"/>
    <col min="11782" max="11782" width="11" style="290" customWidth="1"/>
    <col min="11783" max="12020" width="7.875" style="290" customWidth="1"/>
    <col min="12021" max="12021" width="4.5" style="290" customWidth="1"/>
    <col min="12022" max="12022" width="6.25" style="290" customWidth="1"/>
    <col min="12023" max="12023" width="5.75" style="290" customWidth="1"/>
    <col min="12024" max="12024" width="7" style="290" customWidth="1"/>
    <col min="12025" max="12025" width="14.75" style="290" customWidth="1"/>
    <col min="12026" max="12026" width="13.875" style="290" customWidth="1"/>
    <col min="12027" max="12027" width="5.5" style="290" customWidth="1"/>
    <col min="12028" max="12028" width="6" style="290" customWidth="1"/>
    <col min="12029" max="12029" width="7.75" style="290" customWidth="1"/>
    <col min="12030" max="12030" width="11.875" style="290" customWidth="1"/>
    <col min="12031" max="12031" width="12.5" style="290" customWidth="1"/>
    <col min="12032" max="12037" width="7.875" style="290" customWidth="1"/>
    <col min="12038" max="12038" width="11" style="290" customWidth="1"/>
    <col min="12039" max="12276" width="7.875" style="290" customWidth="1"/>
    <col min="12277" max="12277" width="4.5" style="290" customWidth="1"/>
    <col min="12278" max="12278" width="6.25" style="290" customWidth="1"/>
    <col min="12279" max="12279" width="5.75" style="290" customWidth="1"/>
    <col min="12280" max="12280" width="7" style="290" customWidth="1"/>
    <col min="12281" max="12281" width="14.75" style="290" customWidth="1"/>
    <col min="12282" max="12282" width="13.875" style="290" customWidth="1"/>
    <col min="12283" max="12283" width="5.5" style="290" customWidth="1"/>
    <col min="12284" max="12284" width="6" style="290" customWidth="1"/>
    <col min="12285" max="12285" width="7.75" style="290" customWidth="1"/>
    <col min="12286" max="12286" width="11.875" style="290" customWidth="1"/>
    <col min="12287" max="12287" width="12.5" style="290" customWidth="1"/>
    <col min="12288" max="12293" width="7.875" style="290" customWidth="1"/>
    <col min="12294" max="12294" width="11" style="290" customWidth="1"/>
    <col min="12295" max="12532" width="7.875" style="290" customWidth="1"/>
    <col min="12533" max="12533" width="4.5" style="290" customWidth="1"/>
    <col min="12534" max="12534" width="6.25" style="290" customWidth="1"/>
    <col min="12535" max="12535" width="5.75" style="290" customWidth="1"/>
    <col min="12536" max="12536" width="7" style="290" customWidth="1"/>
    <col min="12537" max="12537" width="14.75" style="290" customWidth="1"/>
    <col min="12538" max="12538" width="13.875" style="290" customWidth="1"/>
    <col min="12539" max="12539" width="5.5" style="290" customWidth="1"/>
    <col min="12540" max="12540" width="6" style="290" customWidth="1"/>
    <col min="12541" max="12541" width="7.75" style="290" customWidth="1"/>
    <col min="12542" max="12542" width="11.875" style="290" customWidth="1"/>
    <col min="12543" max="12543" width="12.5" style="290" customWidth="1"/>
    <col min="12544" max="12549" width="7.875" style="290" customWidth="1"/>
    <col min="12550" max="12550" width="11" style="290" customWidth="1"/>
    <col min="12551" max="12788" width="7.875" style="290" customWidth="1"/>
    <col min="12789" max="12789" width="4.5" style="290" customWidth="1"/>
    <col min="12790" max="12790" width="6.25" style="290" customWidth="1"/>
    <col min="12791" max="12791" width="5.75" style="290" customWidth="1"/>
    <col min="12792" max="12792" width="7" style="290" customWidth="1"/>
    <col min="12793" max="12793" width="14.75" style="290" customWidth="1"/>
    <col min="12794" max="12794" width="13.875" style="290" customWidth="1"/>
    <col min="12795" max="12795" width="5.5" style="290" customWidth="1"/>
    <col min="12796" max="12796" width="6" style="290" customWidth="1"/>
    <col min="12797" max="12797" width="7.75" style="290" customWidth="1"/>
    <col min="12798" max="12798" width="11.875" style="290" customWidth="1"/>
    <col min="12799" max="12799" width="12.5" style="290" customWidth="1"/>
    <col min="12800" max="12805" width="7.875" style="290" customWidth="1"/>
    <col min="12806" max="12806" width="11" style="290" customWidth="1"/>
    <col min="12807" max="13044" width="7.875" style="290" customWidth="1"/>
    <col min="13045" max="13045" width="4.5" style="290" customWidth="1"/>
    <col min="13046" max="13046" width="6.25" style="290" customWidth="1"/>
    <col min="13047" max="13047" width="5.75" style="290" customWidth="1"/>
    <col min="13048" max="13048" width="7" style="290" customWidth="1"/>
    <col min="13049" max="13049" width="14.75" style="290" customWidth="1"/>
    <col min="13050" max="13050" width="13.875" style="290" customWidth="1"/>
    <col min="13051" max="13051" width="5.5" style="290" customWidth="1"/>
    <col min="13052" max="13052" width="6" style="290" customWidth="1"/>
    <col min="13053" max="13053" width="7.75" style="290" customWidth="1"/>
    <col min="13054" max="13054" width="11.875" style="290" customWidth="1"/>
    <col min="13055" max="13055" width="12.5" style="290" customWidth="1"/>
    <col min="13056" max="13061" width="7.875" style="290" customWidth="1"/>
    <col min="13062" max="13062" width="11" style="290" customWidth="1"/>
    <col min="13063" max="13300" width="7.875" style="290" customWidth="1"/>
    <col min="13301" max="13301" width="4.5" style="290" customWidth="1"/>
    <col min="13302" max="13302" width="6.25" style="290" customWidth="1"/>
    <col min="13303" max="13303" width="5.75" style="290" customWidth="1"/>
    <col min="13304" max="13304" width="7" style="290" customWidth="1"/>
    <col min="13305" max="13305" width="14.75" style="290" customWidth="1"/>
    <col min="13306" max="13306" width="13.875" style="290" customWidth="1"/>
    <col min="13307" max="13307" width="5.5" style="290" customWidth="1"/>
    <col min="13308" max="13308" width="6" style="290" customWidth="1"/>
    <col min="13309" max="13309" width="7.75" style="290" customWidth="1"/>
    <col min="13310" max="13310" width="11.875" style="290" customWidth="1"/>
    <col min="13311" max="13311" width="12.5" style="290" customWidth="1"/>
    <col min="13312" max="13317" width="7.875" style="290" customWidth="1"/>
    <col min="13318" max="13318" width="11" style="290" customWidth="1"/>
    <col min="13319" max="13556" width="7.875" style="290" customWidth="1"/>
    <col min="13557" max="13557" width="4.5" style="290" customWidth="1"/>
    <col min="13558" max="13558" width="6.25" style="290" customWidth="1"/>
    <col min="13559" max="13559" width="5.75" style="290" customWidth="1"/>
    <col min="13560" max="13560" width="7" style="290" customWidth="1"/>
    <col min="13561" max="13561" width="14.75" style="290" customWidth="1"/>
    <col min="13562" max="13562" width="13.875" style="290" customWidth="1"/>
    <col min="13563" max="13563" width="5.5" style="290" customWidth="1"/>
    <col min="13564" max="13564" width="6" style="290" customWidth="1"/>
    <col min="13565" max="13565" width="7.75" style="290" customWidth="1"/>
    <col min="13566" max="13566" width="11.875" style="290" customWidth="1"/>
    <col min="13567" max="13567" width="12.5" style="290" customWidth="1"/>
    <col min="13568" max="13573" width="7.875" style="290" customWidth="1"/>
    <col min="13574" max="13574" width="11" style="290" customWidth="1"/>
    <col min="13575" max="13812" width="7.875" style="290" customWidth="1"/>
    <col min="13813" max="13813" width="4.5" style="290" customWidth="1"/>
    <col min="13814" max="13814" width="6.25" style="290" customWidth="1"/>
    <col min="13815" max="13815" width="5.75" style="290" customWidth="1"/>
    <col min="13816" max="13816" width="7" style="290" customWidth="1"/>
    <col min="13817" max="13817" width="14.75" style="290" customWidth="1"/>
    <col min="13818" max="13818" width="13.875" style="290" customWidth="1"/>
    <col min="13819" max="13819" width="5.5" style="290" customWidth="1"/>
    <col min="13820" max="13820" width="6" style="290" customWidth="1"/>
    <col min="13821" max="13821" width="7.75" style="290" customWidth="1"/>
    <col min="13822" max="13822" width="11.875" style="290" customWidth="1"/>
    <col min="13823" max="13823" width="12.5" style="290" customWidth="1"/>
    <col min="13824" max="13829" width="7.875" style="290" customWidth="1"/>
    <col min="13830" max="13830" width="11" style="290" customWidth="1"/>
    <col min="13831" max="14068" width="7.875" style="290" customWidth="1"/>
    <col min="14069" max="14069" width="4.5" style="290" customWidth="1"/>
    <col min="14070" max="14070" width="6.25" style="290" customWidth="1"/>
    <col min="14071" max="14071" width="5.75" style="290" customWidth="1"/>
    <col min="14072" max="14072" width="7" style="290" customWidth="1"/>
    <col min="14073" max="14073" width="14.75" style="290" customWidth="1"/>
    <col min="14074" max="14074" width="13.875" style="290" customWidth="1"/>
    <col min="14075" max="14075" width="5.5" style="290" customWidth="1"/>
    <col min="14076" max="14076" width="6" style="290" customWidth="1"/>
    <col min="14077" max="14077" width="7.75" style="290" customWidth="1"/>
    <col min="14078" max="14078" width="11.875" style="290" customWidth="1"/>
    <col min="14079" max="14079" width="12.5" style="290" customWidth="1"/>
    <col min="14080" max="14085" width="7.875" style="290" customWidth="1"/>
    <col min="14086" max="14086" width="11" style="290" customWidth="1"/>
    <col min="14087" max="14324" width="7.875" style="290" customWidth="1"/>
    <col min="14325" max="14325" width="4.5" style="290" customWidth="1"/>
    <col min="14326" max="14326" width="6.25" style="290" customWidth="1"/>
    <col min="14327" max="14327" width="5.75" style="290" customWidth="1"/>
    <col min="14328" max="14328" width="7" style="290" customWidth="1"/>
    <col min="14329" max="14329" width="14.75" style="290" customWidth="1"/>
    <col min="14330" max="14330" width="13.875" style="290" customWidth="1"/>
    <col min="14331" max="14331" width="5.5" style="290" customWidth="1"/>
    <col min="14332" max="14332" width="6" style="290" customWidth="1"/>
    <col min="14333" max="14333" width="7.75" style="290" customWidth="1"/>
    <col min="14334" max="14334" width="11.875" style="290" customWidth="1"/>
    <col min="14335" max="14335" width="12.5" style="290" customWidth="1"/>
    <col min="14336" max="14341" width="7.875" style="290" customWidth="1"/>
    <col min="14342" max="14342" width="11" style="290" customWidth="1"/>
    <col min="14343" max="14580" width="7.875" style="290" customWidth="1"/>
    <col min="14581" max="14581" width="4.5" style="290" customWidth="1"/>
    <col min="14582" max="14582" width="6.25" style="290" customWidth="1"/>
    <col min="14583" max="14583" width="5.75" style="290" customWidth="1"/>
    <col min="14584" max="14584" width="7" style="290" customWidth="1"/>
    <col min="14585" max="14585" width="14.75" style="290" customWidth="1"/>
    <col min="14586" max="14586" width="13.875" style="290" customWidth="1"/>
    <col min="14587" max="14587" width="5.5" style="290" customWidth="1"/>
    <col min="14588" max="14588" width="6" style="290" customWidth="1"/>
    <col min="14589" max="14589" width="7.75" style="290" customWidth="1"/>
    <col min="14590" max="14590" width="11.875" style="290" customWidth="1"/>
    <col min="14591" max="14591" width="12.5" style="290" customWidth="1"/>
    <col min="14592" max="14597" width="7.875" style="290" customWidth="1"/>
    <col min="14598" max="14598" width="11" style="290" customWidth="1"/>
    <col min="14599" max="14836" width="7.875" style="290" customWidth="1"/>
    <col min="14837" max="14837" width="4.5" style="290" customWidth="1"/>
    <col min="14838" max="14838" width="6.25" style="290" customWidth="1"/>
    <col min="14839" max="14839" width="5.75" style="290" customWidth="1"/>
    <col min="14840" max="14840" width="7" style="290" customWidth="1"/>
    <col min="14841" max="14841" width="14.75" style="290" customWidth="1"/>
    <col min="14842" max="14842" width="13.875" style="290" customWidth="1"/>
    <col min="14843" max="14843" width="5.5" style="290" customWidth="1"/>
    <col min="14844" max="14844" width="6" style="290" customWidth="1"/>
    <col min="14845" max="14845" width="7.75" style="290" customWidth="1"/>
    <col min="14846" max="14846" width="11.875" style="290" customWidth="1"/>
    <col min="14847" max="14847" width="12.5" style="290" customWidth="1"/>
    <col min="14848" max="14853" width="7.875" style="290" customWidth="1"/>
    <col min="14854" max="14854" width="11" style="290" customWidth="1"/>
    <col min="14855" max="15092" width="7.875" style="290" customWidth="1"/>
    <col min="15093" max="15093" width="4.5" style="290" customWidth="1"/>
    <col min="15094" max="15094" width="6.25" style="290" customWidth="1"/>
    <col min="15095" max="15095" width="5.75" style="290" customWidth="1"/>
    <col min="15096" max="15096" width="7" style="290" customWidth="1"/>
    <col min="15097" max="15097" width="14.75" style="290" customWidth="1"/>
    <col min="15098" max="15098" width="13.875" style="290" customWidth="1"/>
    <col min="15099" max="15099" width="5.5" style="290" customWidth="1"/>
    <col min="15100" max="15100" width="6" style="290" customWidth="1"/>
    <col min="15101" max="15101" width="7.75" style="290" customWidth="1"/>
    <col min="15102" max="15102" width="11.875" style="290" customWidth="1"/>
    <col min="15103" max="15103" width="12.5" style="290" customWidth="1"/>
    <col min="15104" max="15109" width="7.875" style="290" customWidth="1"/>
    <col min="15110" max="15110" width="11" style="290" customWidth="1"/>
    <col min="15111" max="15348" width="7.875" style="290" customWidth="1"/>
    <col min="15349" max="15349" width="4.5" style="290" customWidth="1"/>
    <col min="15350" max="15350" width="6.25" style="290" customWidth="1"/>
    <col min="15351" max="15351" width="5.75" style="290" customWidth="1"/>
    <col min="15352" max="15352" width="7" style="290" customWidth="1"/>
    <col min="15353" max="15353" width="14.75" style="290" customWidth="1"/>
    <col min="15354" max="15354" width="13.875" style="290" customWidth="1"/>
    <col min="15355" max="15355" width="5.5" style="290" customWidth="1"/>
    <col min="15356" max="15356" width="6" style="290" customWidth="1"/>
    <col min="15357" max="15357" width="7.75" style="290" customWidth="1"/>
    <col min="15358" max="15358" width="11.875" style="290" customWidth="1"/>
    <col min="15359" max="15359" width="12.5" style="290" customWidth="1"/>
    <col min="15360" max="15365" width="7.875" style="290" customWidth="1"/>
    <col min="15366" max="15366" width="11" style="290" customWidth="1"/>
    <col min="15367" max="15604" width="7.875" style="290" customWidth="1"/>
    <col min="15605" max="15605" width="4.5" style="290" customWidth="1"/>
    <col min="15606" max="15606" width="6.25" style="290" customWidth="1"/>
    <col min="15607" max="15607" width="5.75" style="290" customWidth="1"/>
    <col min="15608" max="15608" width="7" style="290" customWidth="1"/>
    <col min="15609" max="15609" width="14.75" style="290" customWidth="1"/>
    <col min="15610" max="15610" width="13.875" style="290" customWidth="1"/>
    <col min="15611" max="15611" width="5.5" style="290" customWidth="1"/>
    <col min="15612" max="15612" width="6" style="290" customWidth="1"/>
    <col min="15613" max="15613" width="7.75" style="290" customWidth="1"/>
    <col min="15614" max="15614" width="11.875" style="290" customWidth="1"/>
    <col min="15615" max="15615" width="12.5" style="290" customWidth="1"/>
    <col min="15616" max="15621" width="7.875" style="290" customWidth="1"/>
    <col min="15622" max="15622" width="11" style="290" customWidth="1"/>
    <col min="15623" max="15860" width="7.875" style="290" customWidth="1"/>
    <col min="15861" max="15861" width="4.5" style="290" customWidth="1"/>
    <col min="15862" max="15862" width="6.25" style="290" customWidth="1"/>
    <col min="15863" max="15863" width="5.75" style="290" customWidth="1"/>
    <col min="15864" max="15864" width="7" style="290" customWidth="1"/>
    <col min="15865" max="15865" width="14.75" style="290" customWidth="1"/>
    <col min="15866" max="15866" width="13.875" style="290" customWidth="1"/>
    <col min="15867" max="15867" width="5.5" style="290" customWidth="1"/>
    <col min="15868" max="15868" width="6" style="290" customWidth="1"/>
    <col min="15869" max="15869" width="7.75" style="290" customWidth="1"/>
    <col min="15870" max="15870" width="11.875" style="290" customWidth="1"/>
    <col min="15871" max="15871" width="12.5" style="290" customWidth="1"/>
    <col min="15872" max="15877" width="7.875" style="290" customWidth="1"/>
    <col min="15878" max="15878" width="11" style="290" customWidth="1"/>
    <col min="15879" max="16116" width="7.875" style="290" customWidth="1"/>
    <col min="16117" max="16117" width="4.5" style="290" customWidth="1"/>
    <col min="16118" max="16118" width="6.25" style="290" customWidth="1"/>
    <col min="16119" max="16119" width="5.75" style="290" customWidth="1"/>
    <col min="16120" max="16120" width="7" style="290" customWidth="1"/>
    <col min="16121" max="16121" width="14.75" style="290" customWidth="1"/>
    <col min="16122" max="16122" width="13.875" style="290" customWidth="1"/>
    <col min="16123" max="16123" width="5.5" style="290" customWidth="1"/>
    <col min="16124" max="16124" width="6" style="290" customWidth="1"/>
    <col min="16125" max="16125" width="7.75" style="290" customWidth="1"/>
    <col min="16126" max="16126" width="11.875" style="290" customWidth="1"/>
    <col min="16127" max="16127" width="12.5" style="290" customWidth="1"/>
    <col min="16128" max="16133" width="7.875" style="290" customWidth="1"/>
    <col min="16134" max="16134" width="11" style="290" customWidth="1"/>
    <col min="16135" max="16373" width="7.875" style="290" customWidth="1"/>
    <col min="16374" max="16384" width="7.875" style="240"/>
  </cols>
  <sheetData>
    <row r="1" spans="1:11 16374:16376" s="295" customFormat="1" ht="30" customHeight="1">
      <c r="A1" s="525" t="s">
        <v>1611</v>
      </c>
      <c r="B1" s="501"/>
      <c r="C1" s="501"/>
      <c r="D1" s="501"/>
      <c r="E1" s="501"/>
      <c r="F1" s="501"/>
      <c r="G1" s="501"/>
      <c r="H1" s="501"/>
      <c r="I1" s="501"/>
      <c r="J1" s="501"/>
      <c r="K1"/>
    </row>
    <row r="2" spans="1:11 16374:16376" s="295" customFormat="1" ht="24.95" customHeight="1">
      <c r="A2" s="291" t="s">
        <v>12</v>
      </c>
      <c r="B2" s="291" t="s">
        <v>1040</v>
      </c>
      <c r="C2" s="291" t="s">
        <v>1042</v>
      </c>
      <c r="D2" s="291" t="s">
        <v>1043</v>
      </c>
      <c r="E2" s="291" t="s">
        <v>1044</v>
      </c>
      <c r="F2" s="291" t="s">
        <v>1</v>
      </c>
      <c r="G2" s="338" t="s">
        <v>1045</v>
      </c>
      <c r="H2" s="293" t="s">
        <v>1275</v>
      </c>
      <c r="I2" s="294" t="s">
        <v>1276</v>
      </c>
      <c r="J2" s="241" t="s">
        <v>1416</v>
      </c>
    </row>
    <row r="3" spans="1:11 16374:16376" ht="24.95" customHeight="1">
      <c r="A3" s="529">
        <v>1</v>
      </c>
      <c r="B3" s="529" t="s">
        <v>777</v>
      </c>
      <c r="C3" s="528" t="s">
        <v>1078</v>
      </c>
      <c r="D3" s="529" t="s">
        <v>1373</v>
      </c>
      <c r="E3" s="296" t="s">
        <v>1590</v>
      </c>
      <c r="F3" s="296" t="s">
        <v>1053</v>
      </c>
      <c r="G3" s="301">
        <v>557.82000000000005</v>
      </c>
      <c r="H3" s="301">
        <v>245</v>
      </c>
      <c r="I3" s="257">
        <v>136665.9</v>
      </c>
      <c r="J3" s="530">
        <f>ROUND(I19*0.8,0)</f>
        <v>457098</v>
      </c>
      <c r="XET3" s="290"/>
      <c r="XEU3" s="290"/>
      <c r="XEV3" s="290"/>
    </row>
    <row r="4" spans="1:11 16374:16376" ht="24.95" customHeight="1">
      <c r="A4" s="529"/>
      <c r="B4" s="529"/>
      <c r="C4" s="528"/>
      <c r="D4" s="529"/>
      <c r="E4" s="296" t="s">
        <v>1591</v>
      </c>
      <c r="F4" s="266" t="s">
        <v>1053</v>
      </c>
      <c r="G4" s="301">
        <v>229.5</v>
      </c>
      <c r="H4" s="301">
        <v>257</v>
      </c>
      <c r="I4" s="257">
        <v>58981.5</v>
      </c>
      <c r="J4" s="530"/>
      <c r="XET4" s="290"/>
      <c r="XEU4" s="290"/>
      <c r="XEV4" s="290"/>
    </row>
    <row r="5" spans="1:11 16374:16376" ht="24.95" customHeight="1">
      <c r="A5" s="529"/>
      <c r="B5" s="529"/>
      <c r="C5" s="528"/>
      <c r="D5" s="529"/>
      <c r="E5" s="296" t="s">
        <v>1592</v>
      </c>
      <c r="F5" s="266" t="s">
        <v>1053</v>
      </c>
      <c r="G5" s="301">
        <v>229.5</v>
      </c>
      <c r="H5" s="301">
        <v>150</v>
      </c>
      <c r="I5" s="257">
        <v>34425</v>
      </c>
      <c r="J5" s="530"/>
      <c r="XET5" s="290"/>
      <c r="XEU5" s="290"/>
      <c r="XEV5" s="290"/>
    </row>
    <row r="6" spans="1:11 16374:16376" ht="24.95" customHeight="1">
      <c r="A6" s="529"/>
      <c r="B6" s="529"/>
      <c r="C6" s="528"/>
      <c r="D6" s="529"/>
      <c r="E6" s="296" t="s">
        <v>1593</v>
      </c>
      <c r="F6" s="296" t="s">
        <v>1177</v>
      </c>
      <c r="G6" s="297">
        <v>24</v>
      </c>
      <c r="H6" s="297">
        <v>700</v>
      </c>
      <c r="I6" s="257">
        <v>16800</v>
      </c>
      <c r="J6" s="530"/>
      <c r="XET6" s="290"/>
      <c r="XEU6" s="290"/>
      <c r="XEV6" s="290"/>
    </row>
    <row r="7" spans="1:11 16374:16376" ht="24.95" customHeight="1">
      <c r="A7" s="529"/>
      <c r="B7" s="529"/>
      <c r="C7" s="528"/>
      <c r="D7" s="529"/>
      <c r="E7" s="296" t="s">
        <v>1594</v>
      </c>
      <c r="F7" s="296" t="s">
        <v>1177</v>
      </c>
      <c r="G7" s="297">
        <v>6</v>
      </c>
      <c r="H7" s="297">
        <v>900</v>
      </c>
      <c r="I7" s="257">
        <v>5400</v>
      </c>
      <c r="J7" s="530"/>
      <c r="XET7" s="290"/>
      <c r="XEU7" s="290"/>
      <c r="XEV7" s="290"/>
    </row>
    <row r="8" spans="1:11 16374:16376" ht="24.95" customHeight="1">
      <c r="A8" s="529"/>
      <c r="B8" s="529"/>
      <c r="C8" s="528"/>
      <c r="D8" s="529"/>
      <c r="E8" s="296" t="s">
        <v>1595</v>
      </c>
      <c r="F8" s="296" t="s">
        <v>1177</v>
      </c>
      <c r="G8" s="297">
        <v>60</v>
      </c>
      <c r="H8" s="297">
        <v>800</v>
      </c>
      <c r="I8" s="257">
        <v>48000</v>
      </c>
      <c r="J8" s="530"/>
      <c r="XET8" s="290"/>
      <c r="XEU8" s="290"/>
      <c r="XEV8" s="290"/>
    </row>
    <row r="9" spans="1:11 16374:16376" ht="24.95" customHeight="1">
      <c r="A9" s="529"/>
      <c r="B9" s="529"/>
      <c r="C9" s="528"/>
      <c r="D9" s="529"/>
      <c r="E9" s="296" t="s">
        <v>1596</v>
      </c>
      <c r="F9" s="296" t="s">
        <v>1302</v>
      </c>
      <c r="G9" s="301">
        <v>21</v>
      </c>
      <c r="H9" s="301">
        <v>650</v>
      </c>
      <c r="I9" s="257">
        <v>13650</v>
      </c>
      <c r="J9" s="530"/>
      <c r="XET9" s="290"/>
      <c r="XEU9" s="290"/>
      <c r="XEV9" s="290"/>
    </row>
    <row r="10" spans="1:11 16374:16376" ht="24.95" customHeight="1">
      <c r="A10" s="529"/>
      <c r="B10" s="529"/>
      <c r="C10" s="528"/>
      <c r="D10" s="529"/>
      <c r="E10" s="296" t="s">
        <v>1066</v>
      </c>
      <c r="F10" s="296" t="s">
        <v>1067</v>
      </c>
      <c r="G10" s="306">
        <v>36</v>
      </c>
      <c r="H10" s="306">
        <v>600</v>
      </c>
      <c r="I10" s="257">
        <v>21600</v>
      </c>
      <c r="J10" s="530"/>
      <c r="XET10" s="290"/>
      <c r="XEU10" s="290"/>
      <c r="XEV10" s="290"/>
    </row>
    <row r="11" spans="1:11 16374:16376" ht="24.95" customHeight="1">
      <c r="A11" s="529"/>
      <c r="B11" s="529"/>
      <c r="C11" s="528"/>
      <c r="D11" s="529"/>
      <c r="E11" s="296" t="s">
        <v>1597</v>
      </c>
      <c r="F11" s="266" t="s">
        <v>1053</v>
      </c>
      <c r="G11" s="301">
        <v>229.5</v>
      </c>
      <c r="H11" s="270">
        <v>131</v>
      </c>
      <c r="I11" s="257">
        <v>30064.5</v>
      </c>
      <c r="J11" s="530"/>
      <c r="XET11" s="290"/>
      <c r="XEU11" s="290"/>
      <c r="XEV11" s="290"/>
    </row>
    <row r="12" spans="1:11 16374:16376" ht="24.95" customHeight="1">
      <c r="A12" s="529"/>
      <c r="B12" s="529"/>
      <c r="C12" s="528"/>
      <c r="D12" s="529"/>
      <c r="E12" s="296" t="s">
        <v>1598</v>
      </c>
      <c r="F12" s="266" t="s">
        <v>1053</v>
      </c>
      <c r="G12" s="306">
        <v>300</v>
      </c>
      <c r="H12" s="306">
        <v>250</v>
      </c>
      <c r="I12" s="257">
        <v>75000</v>
      </c>
      <c r="J12" s="530"/>
      <c r="XET12" s="290"/>
      <c r="XEU12" s="290"/>
      <c r="XEV12" s="290"/>
    </row>
    <row r="13" spans="1:11 16374:16376" ht="24.95" customHeight="1">
      <c r="A13" s="529"/>
      <c r="B13" s="529"/>
      <c r="C13" s="528"/>
      <c r="D13" s="529"/>
      <c r="E13" s="296" t="s">
        <v>1599</v>
      </c>
      <c r="F13" s="296" t="s">
        <v>1177</v>
      </c>
      <c r="G13" s="297">
        <v>6</v>
      </c>
      <c r="H13" s="297">
        <v>500</v>
      </c>
      <c r="I13" s="257">
        <v>3000</v>
      </c>
      <c r="J13" s="530"/>
      <c r="XET13" s="290"/>
      <c r="XEU13" s="290"/>
      <c r="XEV13" s="290"/>
    </row>
    <row r="14" spans="1:11 16374:16376" ht="24.95" customHeight="1">
      <c r="A14" s="529"/>
      <c r="B14" s="529"/>
      <c r="C14" s="528"/>
      <c r="D14" s="529"/>
      <c r="E14" s="296" t="s">
        <v>1600</v>
      </c>
      <c r="F14" s="296" t="s">
        <v>1302</v>
      </c>
      <c r="G14" s="297">
        <v>6</v>
      </c>
      <c r="H14" s="297">
        <v>1200</v>
      </c>
      <c r="I14" s="257">
        <v>7200</v>
      </c>
      <c r="J14" s="530"/>
      <c r="XET14" s="290"/>
      <c r="XEU14" s="290"/>
      <c r="XEV14" s="290"/>
    </row>
    <row r="15" spans="1:11 16374:16376" ht="24.95" customHeight="1">
      <c r="A15" s="529"/>
      <c r="B15" s="529"/>
      <c r="C15" s="528"/>
      <c r="D15" s="529"/>
      <c r="E15" s="296" t="s">
        <v>1601</v>
      </c>
      <c r="F15" s="296" t="s">
        <v>1067</v>
      </c>
      <c r="G15" s="297">
        <v>15</v>
      </c>
      <c r="H15" s="297">
        <v>500</v>
      </c>
      <c r="I15" s="257">
        <v>7500</v>
      </c>
      <c r="J15" s="530"/>
      <c r="XET15" s="290"/>
      <c r="XEU15" s="290"/>
      <c r="XEV15" s="290"/>
    </row>
    <row r="16" spans="1:11 16374:16376" ht="24.95" customHeight="1">
      <c r="A16" s="529"/>
      <c r="B16" s="529"/>
      <c r="C16" s="528"/>
      <c r="D16" s="529"/>
      <c r="E16" s="296" t="s">
        <v>1602</v>
      </c>
      <c r="F16" s="296" t="s">
        <v>1281</v>
      </c>
      <c r="G16" s="301">
        <v>229.5</v>
      </c>
      <c r="H16" s="297">
        <v>226</v>
      </c>
      <c r="I16" s="257">
        <v>51867</v>
      </c>
      <c r="J16" s="530"/>
      <c r="XET16" s="290"/>
      <c r="XEU16" s="290"/>
      <c r="XEV16" s="290"/>
    </row>
    <row r="17" spans="1:11 16374:16376" ht="24.95" customHeight="1">
      <c r="A17" s="529"/>
      <c r="B17" s="529"/>
      <c r="C17" s="528"/>
      <c r="D17" s="305" t="s">
        <v>1060</v>
      </c>
      <c r="E17" s="296"/>
      <c r="F17" s="296"/>
      <c r="G17" s="301"/>
      <c r="H17" s="301"/>
      <c r="I17" s="294">
        <v>510153.9</v>
      </c>
      <c r="J17" s="530"/>
      <c r="XET17" s="290"/>
      <c r="XEU17" s="290"/>
      <c r="XEV17" s="290"/>
    </row>
    <row r="18" spans="1:11 16374:16376" ht="24.95" customHeight="1">
      <c r="A18" s="529"/>
      <c r="B18" s="529"/>
      <c r="C18" s="528"/>
      <c r="D18" s="305" t="s">
        <v>1061</v>
      </c>
      <c r="E18" s="296"/>
      <c r="F18" s="296"/>
      <c r="G18" s="301"/>
      <c r="H18" s="301"/>
      <c r="I18" s="294">
        <v>61218.468000000001</v>
      </c>
      <c r="J18" s="530"/>
      <c r="XET18" s="290"/>
      <c r="XEU18" s="290"/>
      <c r="XEV18" s="290"/>
    </row>
    <row r="19" spans="1:11 16374:16376" ht="24.95" customHeight="1">
      <c r="A19" s="529"/>
      <c r="B19" s="529"/>
      <c r="C19" s="528"/>
      <c r="D19" s="305" t="s">
        <v>1062</v>
      </c>
      <c r="E19" s="296"/>
      <c r="F19" s="296"/>
      <c r="G19" s="301"/>
      <c r="H19" s="301"/>
      <c r="I19" s="294">
        <v>571372.36800000002</v>
      </c>
      <c r="J19" s="530"/>
      <c r="XET19" s="290"/>
      <c r="XEU19" s="290"/>
      <c r="XEV19" s="290"/>
    </row>
    <row r="20" spans="1:11 16374:16376" ht="24.95" customHeight="1">
      <c r="A20" s="529">
        <v>2</v>
      </c>
      <c r="B20" s="529" t="s">
        <v>191</v>
      </c>
      <c r="C20" s="528"/>
      <c r="D20" s="529" t="s">
        <v>1603</v>
      </c>
      <c r="E20" s="296" t="s">
        <v>1604</v>
      </c>
      <c r="F20" s="296" t="s">
        <v>1053</v>
      </c>
      <c r="G20" s="297">
        <v>45</v>
      </c>
      <c r="H20" s="297">
        <v>48</v>
      </c>
      <c r="I20" s="257">
        <v>2160</v>
      </c>
      <c r="J20" s="530">
        <f>ROUND(I29*0.8,0)</f>
        <v>81785</v>
      </c>
    </row>
    <row r="21" spans="1:11 16374:16376" ht="24.95" customHeight="1">
      <c r="A21" s="529"/>
      <c r="B21" s="529"/>
      <c r="C21" s="528"/>
      <c r="D21" s="529"/>
      <c r="E21" s="296" t="s">
        <v>1605</v>
      </c>
      <c r="F21" s="296" t="s">
        <v>1053</v>
      </c>
      <c r="G21" s="297">
        <v>6.6</v>
      </c>
      <c r="H21" s="297">
        <v>190</v>
      </c>
      <c r="I21" s="257">
        <v>1254</v>
      </c>
      <c r="J21" s="530"/>
    </row>
    <row r="22" spans="1:11 16374:16376" ht="24.95" customHeight="1">
      <c r="A22" s="529"/>
      <c r="B22" s="529"/>
      <c r="C22" s="528"/>
      <c r="D22" s="529"/>
      <c r="E22" s="296" t="s">
        <v>1606</v>
      </c>
      <c r="F22" s="296" t="s">
        <v>1067</v>
      </c>
      <c r="G22" s="297">
        <v>4</v>
      </c>
      <c r="H22" s="297">
        <v>1200</v>
      </c>
      <c r="I22" s="257">
        <v>4800</v>
      </c>
      <c r="J22" s="530"/>
    </row>
    <row r="23" spans="1:11 16374:16376" ht="24.95" customHeight="1">
      <c r="A23" s="529"/>
      <c r="B23" s="529"/>
      <c r="C23" s="528"/>
      <c r="D23" s="296" t="s">
        <v>1607</v>
      </c>
      <c r="E23" s="296" t="s">
        <v>1604</v>
      </c>
      <c r="F23" s="296" t="s">
        <v>1053</v>
      </c>
      <c r="G23" s="297">
        <v>45</v>
      </c>
      <c r="H23" s="297">
        <v>48</v>
      </c>
      <c r="I23" s="257">
        <v>2160</v>
      </c>
      <c r="J23" s="530"/>
    </row>
    <row r="24" spans="1:11 16374:16376" ht="24.95" customHeight="1">
      <c r="A24" s="529"/>
      <c r="B24" s="529"/>
      <c r="C24" s="528"/>
      <c r="D24" s="529" t="s">
        <v>1608</v>
      </c>
      <c r="E24" s="296" t="s">
        <v>1609</v>
      </c>
      <c r="F24" s="296" t="s">
        <v>1053</v>
      </c>
      <c r="G24" s="297">
        <v>150</v>
      </c>
      <c r="H24" s="297">
        <v>284</v>
      </c>
      <c r="I24" s="257">
        <v>42600</v>
      </c>
      <c r="J24" s="530"/>
    </row>
    <row r="25" spans="1:11 16374:16376" ht="24.95" customHeight="1">
      <c r="A25" s="529"/>
      <c r="B25" s="529"/>
      <c r="C25" s="528"/>
      <c r="D25" s="529"/>
      <c r="E25" s="296" t="s">
        <v>1610</v>
      </c>
      <c r="F25" s="296" t="s">
        <v>1053</v>
      </c>
      <c r="G25" s="297">
        <v>132.44</v>
      </c>
      <c r="H25" s="297">
        <v>180</v>
      </c>
      <c r="I25" s="257">
        <v>23839.200000000001</v>
      </c>
      <c r="J25" s="530"/>
    </row>
    <row r="26" spans="1:11 16374:16376" ht="24.95" customHeight="1">
      <c r="A26" s="529"/>
      <c r="B26" s="529"/>
      <c r="C26" s="528"/>
      <c r="D26" s="305" t="s">
        <v>1060</v>
      </c>
      <c r="E26" s="296"/>
      <c r="F26" s="296"/>
      <c r="G26" s="301"/>
      <c r="H26" s="301"/>
      <c r="I26" s="294">
        <v>76813.2</v>
      </c>
      <c r="J26" s="530"/>
    </row>
    <row r="27" spans="1:11 16374:16376" ht="24.95" customHeight="1">
      <c r="A27" s="529"/>
      <c r="B27" s="529"/>
      <c r="C27" s="528"/>
      <c r="D27" s="305" t="s">
        <v>1061</v>
      </c>
      <c r="E27" s="296"/>
      <c r="F27" s="296"/>
      <c r="G27" s="301"/>
      <c r="H27" s="301"/>
      <c r="I27" s="294">
        <v>9217.5840000000007</v>
      </c>
      <c r="J27" s="530"/>
    </row>
    <row r="28" spans="1:11 16374:16376" ht="24.95" customHeight="1">
      <c r="A28" s="529"/>
      <c r="B28" s="529"/>
      <c r="C28" s="528"/>
      <c r="D28" s="256" t="s">
        <v>1303</v>
      </c>
      <c r="E28" s="296"/>
      <c r="F28" s="296" t="s">
        <v>1082</v>
      </c>
      <c r="G28" s="297">
        <v>9</v>
      </c>
      <c r="H28" s="297">
        <v>1800</v>
      </c>
      <c r="I28" s="257">
        <v>16200</v>
      </c>
      <c r="J28" s="530"/>
    </row>
    <row r="29" spans="1:11 16374:16376" ht="24.95" customHeight="1">
      <c r="A29" s="529"/>
      <c r="B29" s="529"/>
      <c r="C29" s="528"/>
      <c r="D29" s="305" t="s">
        <v>1062</v>
      </c>
      <c r="E29" s="296"/>
      <c r="F29" s="296"/>
      <c r="G29" s="301"/>
      <c r="H29" s="301"/>
      <c r="I29" s="294">
        <v>102230.784</v>
      </c>
      <c r="J29" s="530"/>
    </row>
    <row r="30" spans="1:11 16374:16376" ht="24.95" customHeight="1">
      <c r="A30" s="262"/>
      <c r="B30" s="262"/>
      <c r="C30" s="262"/>
      <c r="D30" s="241" t="s">
        <v>21</v>
      </c>
      <c r="E30" s="241"/>
      <c r="F30" s="243"/>
      <c r="G30" s="301"/>
      <c r="H30" s="301"/>
      <c r="I30" s="317">
        <f>I19+I29</f>
        <v>673603.152</v>
      </c>
      <c r="J30" s="323">
        <f>SUM(J3:J29)</f>
        <v>538883</v>
      </c>
      <c r="K30" s="300">
        <f>I30-J30</f>
        <v>134720.152</v>
      </c>
    </row>
  </sheetData>
  <mergeCells count="12">
    <mergeCell ref="D24:D25"/>
    <mergeCell ref="A1:J1"/>
    <mergeCell ref="J3:J19"/>
    <mergeCell ref="J20:J29"/>
    <mergeCell ref="A3:A19"/>
    <mergeCell ref="B3:B19"/>
    <mergeCell ref="C3:C19"/>
    <mergeCell ref="D3:D16"/>
    <mergeCell ref="A20:A29"/>
    <mergeCell ref="B20:B29"/>
    <mergeCell ref="C20:C29"/>
    <mergeCell ref="D20:D22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portrait" r:id="rId1"/>
  <headerFooter>
    <oddFooter>第 &amp;P 页，共 &amp;N 页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>
  <dimension ref="A1:XEU136"/>
  <sheetViews>
    <sheetView topLeftCell="A103" workbookViewId="0">
      <selection activeCell="L122" sqref="L122"/>
    </sheetView>
  </sheetViews>
  <sheetFormatPr defaultColWidth="7.875" defaultRowHeight="13.5"/>
  <cols>
    <col min="1" max="1" width="4.5" style="239" customWidth="1"/>
    <col min="2" max="2" width="7.875" style="239"/>
    <col min="3" max="3" width="6.375" style="239" customWidth="1"/>
    <col min="4" max="4" width="7.25" style="239" customWidth="1"/>
    <col min="5" max="5" width="21.625" style="239" customWidth="1"/>
    <col min="6" max="6" width="20.25" style="239" customWidth="1"/>
    <col min="7" max="7" width="6.125" style="239" customWidth="1"/>
    <col min="8" max="8" width="7.875" style="264"/>
    <col min="9" max="9" width="8.75" style="264" customWidth="1"/>
    <col min="10" max="10" width="12.75" style="265" customWidth="1"/>
    <col min="11" max="11" width="12.5" style="332" customWidth="1"/>
    <col min="12" max="12" width="16.25" style="239" customWidth="1"/>
    <col min="13" max="16375" width="7.875" style="239"/>
    <col min="16376" max="16384" width="7.875" style="240"/>
  </cols>
  <sheetData>
    <row r="1" spans="1:11" ht="30" customHeight="1">
      <c r="A1" s="525" t="s">
        <v>1087</v>
      </c>
      <c r="B1" s="525"/>
      <c r="C1" s="525"/>
      <c r="D1" s="525"/>
      <c r="E1" s="525"/>
      <c r="F1" s="525"/>
      <c r="G1" s="525"/>
      <c r="H1" s="526"/>
      <c r="I1" s="526"/>
      <c r="J1" s="526"/>
      <c r="K1" s="502"/>
    </row>
    <row r="2" spans="1:11" ht="24.95" customHeight="1">
      <c r="A2" s="241" t="s">
        <v>12</v>
      </c>
      <c r="B2" s="241" t="s">
        <v>1040</v>
      </c>
      <c r="C2" s="241" t="s">
        <v>1041</v>
      </c>
      <c r="D2" s="241" t="s">
        <v>1042</v>
      </c>
      <c r="E2" s="242" t="s">
        <v>1043</v>
      </c>
      <c r="F2" s="242" t="s">
        <v>1044</v>
      </c>
      <c r="G2" s="241" t="s">
        <v>1</v>
      </c>
      <c r="H2" s="243" t="s">
        <v>1045</v>
      </c>
      <c r="I2" s="244" t="s">
        <v>1046</v>
      </c>
      <c r="J2" s="245" t="s">
        <v>1047</v>
      </c>
      <c r="K2" s="241" t="s">
        <v>1417</v>
      </c>
    </row>
    <row r="3" spans="1:11" ht="24.95" customHeight="1">
      <c r="A3" s="531">
        <v>1</v>
      </c>
      <c r="B3" s="531" t="s">
        <v>454</v>
      </c>
      <c r="C3" s="531" t="s">
        <v>1088</v>
      </c>
      <c r="D3" s="534" t="s">
        <v>1078</v>
      </c>
      <c r="E3" s="531" t="s">
        <v>1089</v>
      </c>
      <c r="F3" s="247" t="s">
        <v>1090</v>
      </c>
      <c r="G3" s="248" t="s">
        <v>1053</v>
      </c>
      <c r="H3" s="253">
        <v>240</v>
      </c>
      <c r="I3" s="253">
        <v>257</v>
      </c>
      <c r="J3" s="255">
        <v>61680</v>
      </c>
      <c r="K3" s="524">
        <f>ROUND(J17*0.8,0)</f>
        <v>550623</v>
      </c>
    </row>
    <row r="4" spans="1:11" ht="24.95" customHeight="1">
      <c r="A4" s="532"/>
      <c r="B4" s="532"/>
      <c r="C4" s="532"/>
      <c r="D4" s="535"/>
      <c r="E4" s="532"/>
      <c r="F4" s="247" t="s">
        <v>1091</v>
      </c>
      <c r="G4" s="248" t="s">
        <v>1053</v>
      </c>
      <c r="H4" s="253">
        <v>700</v>
      </c>
      <c r="I4" s="253">
        <v>245</v>
      </c>
      <c r="J4" s="255">
        <v>171500</v>
      </c>
      <c r="K4" s="524"/>
    </row>
    <row r="5" spans="1:11" ht="24.95" customHeight="1">
      <c r="A5" s="532"/>
      <c r="B5" s="532"/>
      <c r="C5" s="532"/>
      <c r="D5" s="535"/>
      <c r="E5" s="532"/>
      <c r="F5" s="247" t="s">
        <v>1092</v>
      </c>
      <c r="G5" s="248" t="s">
        <v>1053</v>
      </c>
      <c r="H5" s="253">
        <v>240</v>
      </c>
      <c r="I5" s="253">
        <v>150</v>
      </c>
      <c r="J5" s="255">
        <v>36000</v>
      </c>
      <c r="K5" s="524"/>
    </row>
    <row r="6" spans="1:11" ht="24.95" customHeight="1">
      <c r="A6" s="532"/>
      <c r="B6" s="532"/>
      <c r="C6" s="532"/>
      <c r="D6" s="535"/>
      <c r="E6" s="532"/>
      <c r="F6" s="247" t="s">
        <v>1093</v>
      </c>
      <c r="G6" s="248" t="s">
        <v>1053</v>
      </c>
      <c r="H6" s="253">
        <v>240</v>
      </c>
      <c r="I6" s="253">
        <v>226</v>
      </c>
      <c r="J6" s="255">
        <v>54240</v>
      </c>
      <c r="K6" s="524"/>
    </row>
    <row r="7" spans="1:11" ht="24.95" customHeight="1">
      <c r="A7" s="532"/>
      <c r="B7" s="532"/>
      <c r="C7" s="532"/>
      <c r="D7" s="535"/>
      <c r="E7" s="532"/>
      <c r="F7" s="247" t="s">
        <v>1094</v>
      </c>
      <c r="G7" s="248" t="s">
        <v>1095</v>
      </c>
      <c r="H7" s="253">
        <v>1</v>
      </c>
      <c r="I7" s="253">
        <v>135000</v>
      </c>
      <c r="J7" s="255">
        <v>135000</v>
      </c>
      <c r="K7" s="524"/>
    </row>
    <row r="8" spans="1:11" ht="24.95" customHeight="1">
      <c r="A8" s="532"/>
      <c r="B8" s="532"/>
      <c r="C8" s="532"/>
      <c r="D8" s="535"/>
      <c r="E8" s="532"/>
      <c r="F8" s="247" t="s">
        <v>1096</v>
      </c>
      <c r="G8" s="247" t="s">
        <v>1067</v>
      </c>
      <c r="H8" s="253">
        <v>6</v>
      </c>
      <c r="I8" s="253">
        <v>1500</v>
      </c>
      <c r="J8" s="255">
        <v>9000</v>
      </c>
      <c r="K8" s="524"/>
    </row>
    <row r="9" spans="1:11" ht="24.95" customHeight="1">
      <c r="A9" s="532"/>
      <c r="B9" s="532"/>
      <c r="C9" s="532"/>
      <c r="D9" s="535"/>
      <c r="E9" s="532"/>
      <c r="F9" s="247" t="s">
        <v>1097</v>
      </c>
      <c r="G9" s="248" t="s">
        <v>1053</v>
      </c>
      <c r="H9" s="253">
        <v>240</v>
      </c>
      <c r="I9" s="253">
        <v>131</v>
      </c>
      <c r="J9" s="255">
        <v>31440</v>
      </c>
      <c r="K9" s="524"/>
    </row>
    <row r="10" spans="1:11" ht="24.95" customHeight="1">
      <c r="A10" s="532"/>
      <c r="B10" s="532"/>
      <c r="C10" s="532"/>
      <c r="D10" s="535"/>
      <c r="E10" s="532"/>
      <c r="F10" s="247" t="s">
        <v>1098</v>
      </c>
      <c r="G10" s="248" t="s">
        <v>1095</v>
      </c>
      <c r="H10" s="253">
        <v>1</v>
      </c>
      <c r="I10" s="253">
        <v>12075</v>
      </c>
      <c r="J10" s="255">
        <v>12075</v>
      </c>
      <c r="K10" s="524"/>
    </row>
    <row r="11" spans="1:11" ht="24.95" customHeight="1">
      <c r="A11" s="532"/>
      <c r="B11" s="532"/>
      <c r="C11" s="532"/>
      <c r="D11" s="535"/>
      <c r="E11" s="532"/>
      <c r="F11" s="247" t="s">
        <v>1099</v>
      </c>
      <c r="G11" s="247" t="s">
        <v>1067</v>
      </c>
      <c r="H11" s="253">
        <v>6</v>
      </c>
      <c r="I11" s="253">
        <v>300</v>
      </c>
      <c r="J11" s="255">
        <v>1800</v>
      </c>
      <c r="K11" s="524"/>
    </row>
    <row r="12" spans="1:11" ht="24.95" customHeight="1">
      <c r="A12" s="532"/>
      <c r="B12" s="532"/>
      <c r="C12" s="532"/>
      <c r="D12" s="535"/>
      <c r="E12" s="532"/>
      <c r="F12" s="247" t="s">
        <v>1100</v>
      </c>
      <c r="G12" s="247" t="s">
        <v>1101</v>
      </c>
      <c r="H12" s="253">
        <v>320</v>
      </c>
      <c r="I12" s="253">
        <v>150</v>
      </c>
      <c r="J12" s="255">
        <v>48000</v>
      </c>
      <c r="K12" s="524"/>
    </row>
    <row r="13" spans="1:11" ht="24.95" customHeight="1">
      <c r="A13" s="532"/>
      <c r="B13" s="532"/>
      <c r="C13" s="532"/>
      <c r="D13" s="535"/>
      <c r="E13" s="532"/>
      <c r="F13" s="247" t="s">
        <v>1102</v>
      </c>
      <c r="G13" s="247" t="s">
        <v>1103</v>
      </c>
      <c r="H13" s="253">
        <v>18</v>
      </c>
      <c r="I13" s="253">
        <v>1600</v>
      </c>
      <c r="J13" s="255">
        <v>28800</v>
      </c>
      <c r="K13" s="524"/>
    </row>
    <row r="14" spans="1:11" ht="24.95" customHeight="1">
      <c r="A14" s="532"/>
      <c r="B14" s="532"/>
      <c r="C14" s="532"/>
      <c r="D14" s="535"/>
      <c r="E14" s="532"/>
      <c r="F14" s="247" t="s">
        <v>1104</v>
      </c>
      <c r="G14" s="266" t="s">
        <v>1058</v>
      </c>
      <c r="H14" s="253">
        <v>25</v>
      </c>
      <c r="I14" s="253">
        <v>1000</v>
      </c>
      <c r="J14" s="255">
        <v>25000</v>
      </c>
      <c r="K14" s="524"/>
    </row>
    <row r="15" spans="1:11" ht="24.95" customHeight="1">
      <c r="A15" s="532"/>
      <c r="B15" s="532"/>
      <c r="C15" s="532"/>
      <c r="D15" s="535"/>
      <c r="E15" s="252" t="s">
        <v>1060</v>
      </c>
      <c r="F15" s="247"/>
      <c r="G15" s="247"/>
      <c r="H15" s="267"/>
      <c r="I15" s="267"/>
      <c r="J15" s="245">
        <v>614535</v>
      </c>
      <c r="K15" s="524"/>
    </row>
    <row r="16" spans="1:11" ht="24.95" customHeight="1">
      <c r="A16" s="532"/>
      <c r="B16" s="532"/>
      <c r="C16" s="532"/>
      <c r="D16" s="535"/>
      <c r="E16" s="268" t="s">
        <v>1105</v>
      </c>
      <c r="F16" s="247"/>
      <c r="G16" s="247"/>
      <c r="H16" s="267"/>
      <c r="I16" s="267"/>
      <c r="J16" s="254">
        <v>73744.2</v>
      </c>
      <c r="K16" s="524"/>
    </row>
    <row r="17" spans="1:11" ht="24.95" customHeight="1">
      <c r="A17" s="533"/>
      <c r="B17" s="533"/>
      <c r="C17" s="533"/>
      <c r="D17" s="536"/>
      <c r="E17" s="252" t="s">
        <v>1062</v>
      </c>
      <c r="F17" s="247"/>
      <c r="G17" s="247"/>
      <c r="H17" s="253"/>
      <c r="I17" s="253"/>
      <c r="J17" s="245">
        <v>688279.2</v>
      </c>
      <c r="K17" s="524"/>
    </row>
    <row r="18" spans="1:11" ht="24.95" customHeight="1">
      <c r="A18" s="531">
        <v>2</v>
      </c>
      <c r="B18" s="531" t="s">
        <v>448</v>
      </c>
      <c r="C18" s="531" t="s">
        <v>1106</v>
      </c>
      <c r="D18" s="534" t="s">
        <v>1078</v>
      </c>
      <c r="E18" s="527" t="s">
        <v>1107</v>
      </c>
      <c r="F18" s="269" t="s">
        <v>1108</v>
      </c>
      <c r="G18" s="248" t="s">
        <v>1053</v>
      </c>
      <c r="H18" s="253">
        <v>1000</v>
      </c>
      <c r="I18" s="253">
        <v>50</v>
      </c>
      <c r="J18" s="255">
        <v>50000</v>
      </c>
      <c r="K18" s="524">
        <f>ROUND(J28*0.8,0)</f>
        <v>431556</v>
      </c>
    </row>
    <row r="19" spans="1:11" ht="24.95" customHeight="1">
      <c r="A19" s="532"/>
      <c r="B19" s="532"/>
      <c r="C19" s="532"/>
      <c r="D19" s="535"/>
      <c r="E19" s="527"/>
      <c r="F19" s="269" t="s">
        <v>1109</v>
      </c>
      <c r="G19" s="248" t="s">
        <v>1053</v>
      </c>
      <c r="H19" s="253">
        <v>1000</v>
      </c>
      <c r="I19" s="253">
        <v>268</v>
      </c>
      <c r="J19" s="255">
        <v>268000</v>
      </c>
      <c r="K19" s="524"/>
    </row>
    <row r="20" spans="1:11" ht="24.95" customHeight="1">
      <c r="A20" s="532"/>
      <c r="B20" s="532"/>
      <c r="C20" s="532"/>
      <c r="D20" s="537"/>
      <c r="E20" s="531" t="s">
        <v>1110</v>
      </c>
      <c r="F20" s="269" t="s">
        <v>1111</v>
      </c>
      <c r="G20" s="248" t="s">
        <v>1053</v>
      </c>
      <c r="H20" s="253">
        <v>512</v>
      </c>
      <c r="I20" s="253">
        <v>48</v>
      </c>
      <c r="J20" s="255">
        <v>24576</v>
      </c>
      <c r="K20" s="524"/>
    </row>
    <row r="21" spans="1:11" ht="24.95" customHeight="1">
      <c r="A21" s="532"/>
      <c r="B21" s="532"/>
      <c r="C21" s="532"/>
      <c r="D21" s="537"/>
      <c r="E21" s="535"/>
      <c r="F21" s="269" t="s">
        <v>1112</v>
      </c>
      <c r="G21" s="248" t="s">
        <v>1053</v>
      </c>
      <c r="H21" s="253">
        <v>525</v>
      </c>
      <c r="I21" s="253">
        <v>80</v>
      </c>
      <c r="J21" s="255">
        <v>42000</v>
      </c>
      <c r="K21" s="524"/>
    </row>
    <row r="22" spans="1:11" ht="24.95" customHeight="1">
      <c r="A22" s="532"/>
      <c r="B22" s="532"/>
      <c r="C22" s="532"/>
      <c r="D22" s="537"/>
      <c r="E22" s="535"/>
      <c r="F22" s="269" t="s">
        <v>1113</v>
      </c>
      <c r="G22" s="248" t="s">
        <v>1053</v>
      </c>
      <c r="H22" s="253">
        <v>525</v>
      </c>
      <c r="I22" s="253">
        <v>50</v>
      </c>
      <c r="J22" s="255">
        <v>26250</v>
      </c>
      <c r="K22" s="524"/>
    </row>
    <row r="23" spans="1:11" ht="24.95" customHeight="1">
      <c r="A23" s="532"/>
      <c r="B23" s="532"/>
      <c r="C23" s="532"/>
      <c r="D23" s="537"/>
      <c r="E23" s="536"/>
      <c r="F23" s="269" t="s">
        <v>1114</v>
      </c>
      <c r="G23" s="248" t="s">
        <v>1053</v>
      </c>
      <c r="H23" s="253">
        <v>600</v>
      </c>
      <c r="I23" s="253">
        <v>60</v>
      </c>
      <c r="J23" s="255">
        <v>36000</v>
      </c>
      <c r="K23" s="524"/>
    </row>
    <row r="24" spans="1:11" ht="24.95" customHeight="1">
      <c r="A24" s="532"/>
      <c r="B24" s="532"/>
      <c r="C24" s="532"/>
      <c r="D24" s="535"/>
      <c r="E24" s="252" t="s">
        <v>1060</v>
      </c>
      <c r="F24" s="247"/>
      <c r="G24" s="247"/>
      <c r="H24" s="253"/>
      <c r="I24" s="253"/>
      <c r="J24" s="245">
        <v>446826</v>
      </c>
      <c r="K24" s="524"/>
    </row>
    <row r="25" spans="1:11" ht="24.95" customHeight="1">
      <c r="A25" s="532"/>
      <c r="B25" s="532"/>
      <c r="C25" s="532"/>
      <c r="D25" s="535"/>
      <c r="E25" s="268" t="s">
        <v>1105</v>
      </c>
      <c r="F25" s="247"/>
      <c r="G25" s="247"/>
      <c r="H25" s="253"/>
      <c r="I25" s="253"/>
      <c r="J25" s="245">
        <v>53619.12</v>
      </c>
      <c r="K25" s="524"/>
    </row>
    <row r="26" spans="1:11" ht="24.95" customHeight="1">
      <c r="A26" s="532"/>
      <c r="B26" s="532"/>
      <c r="C26" s="532"/>
      <c r="D26" s="535"/>
      <c r="E26" s="256" t="s">
        <v>1081</v>
      </c>
      <c r="F26" s="247"/>
      <c r="G26" s="247" t="s">
        <v>1082</v>
      </c>
      <c r="H26" s="253">
        <v>5</v>
      </c>
      <c r="I26" s="253">
        <v>1800</v>
      </c>
      <c r="J26" s="255">
        <v>9000</v>
      </c>
      <c r="K26" s="524"/>
    </row>
    <row r="27" spans="1:11" ht="24.95" customHeight="1">
      <c r="A27" s="532"/>
      <c r="B27" s="532"/>
      <c r="C27" s="532"/>
      <c r="D27" s="535"/>
      <c r="E27" s="256" t="s">
        <v>1115</v>
      </c>
      <c r="F27" s="247"/>
      <c r="G27" s="247" t="s">
        <v>1095</v>
      </c>
      <c r="H27" s="253">
        <v>1</v>
      </c>
      <c r="I27" s="253">
        <v>30000</v>
      </c>
      <c r="J27" s="255">
        <v>30000</v>
      </c>
      <c r="K27" s="524"/>
    </row>
    <row r="28" spans="1:11" ht="24.95" customHeight="1">
      <c r="A28" s="533"/>
      <c r="B28" s="533"/>
      <c r="C28" s="533"/>
      <c r="D28" s="536"/>
      <c r="E28" s="252" t="s">
        <v>1062</v>
      </c>
      <c r="F28" s="247"/>
      <c r="G28" s="247"/>
      <c r="H28" s="253"/>
      <c r="I28" s="253"/>
      <c r="J28" s="245">
        <v>539445.12</v>
      </c>
      <c r="K28" s="524"/>
    </row>
    <row r="29" spans="1:11" ht="24.95" customHeight="1">
      <c r="A29" s="535">
        <v>3</v>
      </c>
      <c r="B29" s="532" t="s">
        <v>1116</v>
      </c>
      <c r="C29" s="532" t="s">
        <v>1117</v>
      </c>
      <c r="D29" s="535" t="s">
        <v>1118</v>
      </c>
      <c r="E29" s="527" t="s">
        <v>1119</v>
      </c>
      <c r="F29" s="266" t="s">
        <v>1120</v>
      </c>
      <c r="G29" s="248" t="s">
        <v>1053</v>
      </c>
      <c r="H29" s="270">
        <v>1440</v>
      </c>
      <c r="I29" s="270">
        <v>50</v>
      </c>
      <c r="J29" s="255">
        <v>72000</v>
      </c>
      <c r="K29" s="524">
        <f>ROUND(J34*0.8,0)</f>
        <v>434296</v>
      </c>
    </row>
    <row r="30" spans="1:11" ht="24.95" customHeight="1">
      <c r="A30" s="535"/>
      <c r="B30" s="532"/>
      <c r="C30" s="532"/>
      <c r="D30" s="535"/>
      <c r="E30" s="527"/>
      <c r="F30" s="247" t="s">
        <v>1121</v>
      </c>
      <c r="G30" s="248" t="s">
        <v>1053</v>
      </c>
      <c r="H30" s="253">
        <v>1440</v>
      </c>
      <c r="I30" s="253">
        <v>268</v>
      </c>
      <c r="J30" s="255">
        <v>385920</v>
      </c>
      <c r="K30" s="524"/>
    </row>
    <row r="31" spans="1:11" ht="24.95" customHeight="1">
      <c r="A31" s="535"/>
      <c r="B31" s="532"/>
      <c r="C31" s="532"/>
      <c r="D31" s="535"/>
      <c r="E31" s="252" t="s">
        <v>1060</v>
      </c>
      <c r="F31" s="247"/>
      <c r="G31" s="247"/>
      <c r="H31" s="253"/>
      <c r="I31" s="253"/>
      <c r="J31" s="245">
        <v>457920</v>
      </c>
      <c r="K31" s="524"/>
    </row>
    <row r="32" spans="1:11" ht="24.95" customHeight="1">
      <c r="A32" s="535"/>
      <c r="B32" s="532"/>
      <c r="C32" s="532"/>
      <c r="D32" s="535"/>
      <c r="E32" s="252" t="s">
        <v>1105</v>
      </c>
      <c r="F32" s="247"/>
      <c r="G32" s="247"/>
      <c r="H32" s="253"/>
      <c r="I32" s="253"/>
      <c r="J32" s="245">
        <v>54950.400000000001</v>
      </c>
      <c r="K32" s="524"/>
    </row>
    <row r="33" spans="1:11" ht="24.95" customHeight="1">
      <c r="A33" s="535"/>
      <c r="B33" s="532"/>
      <c r="C33" s="532"/>
      <c r="D33" s="535"/>
      <c r="E33" s="256" t="s">
        <v>1115</v>
      </c>
      <c r="F33" s="247"/>
      <c r="G33" s="247" t="s">
        <v>1095</v>
      </c>
      <c r="H33" s="253">
        <v>1</v>
      </c>
      <c r="I33" s="253">
        <v>30000</v>
      </c>
      <c r="J33" s="255">
        <v>30000</v>
      </c>
      <c r="K33" s="524"/>
    </row>
    <row r="34" spans="1:11" ht="24.95" customHeight="1">
      <c r="A34" s="536"/>
      <c r="B34" s="533"/>
      <c r="C34" s="533"/>
      <c r="D34" s="536"/>
      <c r="E34" s="252" t="s">
        <v>1062</v>
      </c>
      <c r="F34" s="247"/>
      <c r="G34" s="247"/>
      <c r="H34" s="253"/>
      <c r="I34" s="253"/>
      <c r="J34" s="245">
        <v>542870.4</v>
      </c>
      <c r="K34" s="524"/>
    </row>
    <row r="35" spans="1:11" ht="24.95" customHeight="1">
      <c r="A35" s="531">
        <v>4</v>
      </c>
      <c r="B35" s="531" t="s">
        <v>444</v>
      </c>
      <c r="C35" s="531" t="s">
        <v>1122</v>
      </c>
      <c r="D35" s="534" t="s">
        <v>1078</v>
      </c>
      <c r="E35" s="527" t="s">
        <v>1123</v>
      </c>
      <c r="F35" s="266" t="s">
        <v>1124</v>
      </c>
      <c r="G35" s="247" t="s">
        <v>1053</v>
      </c>
      <c r="H35" s="270">
        <v>2500</v>
      </c>
      <c r="I35" s="270">
        <v>36</v>
      </c>
      <c r="J35" s="255">
        <v>90000</v>
      </c>
      <c r="K35" s="524">
        <f>ROUND(J54*0.8,0)</f>
        <v>1642610</v>
      </c>
    </row>
    <row r="36" spans="1:11" ht="24.95" customHeight="1">
      <c r="A36" s="532"/>
      <c r="B36" s="532"/>
      <c r="C36" s="532"/>
      <c r="D36" s="535"/>
      <c r="E36" s="527"/>
      <c r="F36" s="247" t="s">
        <v>1125</v>
      </c>
      <c r="G36" s="247" t="s">
        <v>1053</v>
      </c>
      <c r="H36" s="253">
        <v>2500</v>
      </c>
      <c r="I36" s="253">
        <v>129</v>
      </c>
      <c r="J36" s="255">
        <v>322500</v>
      </c>
      <c r="K36" s="524"/>
    </row>
    <row r="37" spans="1:11" ht="24.95" customHeight="1">
      <c r="A37" s="532"/>
      <c r="B37" s="532"/>
      <c r="C37" s="532"/>
      <c r="D37" s="535"/>
      <c r="E37" s="247" t="s">
        <v>1126</v>
      </c>
      <c r="F37" s="247" t="s">
        <v>1127</v>
      </c>
      <c r="G37" s="247" t="s">
        <v>1095</v>
      </c>
      <c r="H37" s="253">
        <v>1</v>
      </c>
      <c r="I37" s="253">
        <v>50000</v>
      </c>
      <c r="J37" s="255">
        <v>50000</v>
      </c>
      <c r="K37" s="524"/>
    </row>
    <row r="38" spans="1:11" ht="24.95" customHeight="1">
      <c r="A38" s="532"/>
      <c r="B38" s="532"/>
      <c r="C38" s="532"/>
      <c r="D38" s="535"/>
      <c r="E38" s="266" t="s">
        <v>1128</v>
      </c>
      <c r="F38" s="247" t="s">
        <v>1129</v>
      </c>
      <c r="G38" s="247" t="s">
        <v>1053</v>
      </c>
      <c r="H38" s="253">
        <v>30</v>
      </c>
      <c r="I38" s="253">
        <v>1500</v>
      </c>
      <c r="J38" s="255">
        <v>45000</v>
      </c>
      <c r="K38" s="524"/>
    </row>
    <row r="39" spans="1:11" ht="24.95" customHeight="1">
      <c r="A39" s="532"/>
      <c r="B39" s="532"/>
      <c r="C39" s="532"/>
      <c r="D39" s="535"/>
      <c r="E39" s="534" t="s">
        <v>1130</v>
      </c>
      <c r="F39" s="247" t="s">
        <v>1131</v>
      </c>
      <c r="G39" s="247" t="s">
        <v>1095</v>
      </c>
      <c r="H39" s="253">
        <v>1</v>
      </c>
      <c r="I39" s="253">
        <v>268500</v>
      </c>
      <c r="J39" s="255">
        <v>268500</v>
      </c>
      <c r="K39" s="524"/>
    </row>
    <row r="40" spans="1:11" ht="24.95" customHeight="1">
      <c r="A40" s="532"/>
      <c r="B40" s="532"/>
      <c r="C40" s="532"/>
      <c r="D40" s="535"/>
      <c r="E40" s="535"/>
      <c r="F40" s="247" t="s">
        <v>1090</v>
      </c>
      <c r="G40" s="248" t="s">
        <v>1053</v>
      </c>
      <c r="H40" s="253">
        <v>344</v>
      </c>
      <c r="I40" s="253">
        <v>257</v>
      </c>
      <c r="J40" s="255">
        <v>88408</v>
      </c>
      <c r="K40" s="524"/>
    </row>
    <row r="41" spans="1:11" ht="24.95" customHeight="1">
      <c r="A41" s="532"/>
      <c r="B41" s="532"/>
      <c r="C41" s="532"/>
      <c r="D41" s="535"/>
      <c r="E41" s="535"/>
      <c r="F41" s="247" t="s">
        <v>1091</v>
      </c>
      <c r="G41" s="248" t="s">
        <v>1053</v>
      </c>
      <c r="H41" s="253">
        <v>1460</v>
      </c>
      <c r="I41" s="253">
        <v>245</v>
      </c>
      <c r="J41" s="255">
        <v>357700</v>
      </c>
      <c r="K41" s="524"/>
    </row>
    <row r="42" spans="1:11" ht="24.95" customHeight="1">
      <c r="A42" s="532"/>
      <c r="B42" s="532"/>
      <c r="C42" s="532"/>
      <c r="D42" s="535"/>
      <c r="E42" s="535"/>
      <c r="F42" s="247" t="s">
        <v>1092</v>
      </c>
      <c r="G42" s="248" t="s">
        <v>1053</v>
      </c>
      <c r="H42" s="253">
        <v>344</v>
      </c>
      <c r="I42" s="253">
        <v>150</v>
      </c>
      <c r="J42" s="255">
        <v>51600</v>
      </c>
      <c r="K42" s="524"/>
    </row>
    <row r="43" spans="1:11" ht="24.95" customHeight="1">
      <c r="A43" s="532"/>
      <c r="B43" s="532"/>
      <c r="C43" s="532"/>
      <c r="D43" s="535"/>
      <c r="E43" s="535"/>
      <c r="F43" s="247" t="s">
        <v>1093</v>
      </c>
      <c r="G43" s="248" t="s">
        <v>1053</v>
      </c>
      <c r="H43" s="253">
        <v>344</v>
      </c>
      <c r="I43" s="253">
        <v>226</v>
      </c>
      <c r="J43" s="255">
        <v>77744</v>
      </c>
      <c r="K43" s="524"/>
    </row>
    <row r="44" spans="1:11" ht="24.95" customHeight="1">
      <c r="A44" s="532"/>
      <c r="B44" s="532"/>
      <c r="C44" s="532"/>
      <c r="D44" s="535"/>
      <c r="E44" s="535"/>
      <c r="F44" s="247" t="s">
        <v>1097</v>
      </c>
      <c r="G44" s="248" t="s">
        <v>1053</v>
      </c>
      <c r="H44" s="253">
        <v>344</v>
      </c>
      <c r="I44" s="253">
        <v>131</v>
      </c>
      <c r="J44" s="255">
        <v>45064</v>
      </c>
      <c r="K44" s="524"/>
    </row>
    <row r="45" spans="1:11" ht="24.95" customHeight="1">
      <c r="A45" s="532"/>
      <c r="B45" s="532"/>
      <c r="C45" s="532"/>
      <c r="D45" s="535"/>
      <c r="E45" s="527" t="s">
        <v>1132</v>
      </c>
      <c r="F45" s="247" t="s">
        <v>1133</v>
      </c>
      <c r="G45" s="247" t="s">
        <v>1053</v>
      </c>
      <c r="H45" s="253">
        <v>2800</v>
      </c>
      <c r="I45" s="253">
        <v>20</v>
      </c>
      <c r="J45" s="255">
        <v>56000</v>
      </c>
      <c r="K45" s="524"/>
    </row>
    <row r="46" spans="1:11" ht="24.95" customHeight="1">
      <c r="A46" s="532"/>
      <c r="B46" s="532"/>
      <c r="C46" s="532"/>
      <c r="D46" s="535"/>
      <c r="E46" s="527"/>
      <c r="F46" s="247" t="s">
        <v>1134</v>
      </c>
      <c r="G46" s="247" t="s">
        <v>1053</v>
      </c>
      <c r="H46" s="253">
        <v>2800</v>
      </c>
      <c r="I46" s="253">
        <v>90</v>
      </c>
      <c r="J46" s="255">
        <v>252000</v>
      </c>
      <c r="K46" s="524"/>
    </row>
    <row r="47" spans="1:11" ht="24.95" customHeight="1">
      <c r="A47" s="532"/>
      <c r="B47" s="532"/>
      <c r="C47" s="532"/>
      <c r="D47" s="535"/>
      <c r="E47" s="527"/>
      <c r="F47" s="247" t="s">
        <v>1135</v>
      </c>
      <c r="G47" s="247" t="s">
        <v>1053</v>
      </c>
      <c r="H47" s="253">
        <v>100</v>
      </c>
      <c r="I47" s="253">
        <v>200</v>
      </c>
      <c r="J47" s="255">
        <v>20000</v>
      </c>
      <c r="K47" s="524"/>
    </row>
    <row r="48" spans="1:11" ht="24.95" customHeight="1">
      <c r="A48" s="532"/>
      <c r="B48" s="532"/>
      <c r="C48" s="532"/>
      <c r="D48" s="535"/>
      <c r="E48" s="531" t="s">
        <v>1136</v>
      </c>
      <c r="F48" s="247" t="s">
        <v>1137</v>
      </c>
      <c r="G48" s="247" t="s">
        <v>1138</v>
      </c>
      <c r="H48" s="253">
        <v>50</v>
      </c>
      <c r="I48" s="271">
        <v>50</v>
      </c>
      <c r="J48" s="255">
        <v>2500</v>
      </c>
      <c r="K48" s="524"/>
    </row>
    <row r="49" spans="1:11" ht="24.95" customHeight="1">
      <c r="A49" s="532"/>
      <c r="B49" s="532"/>
      <c r="C49" s="532"/>
      <c r="D49" s="535"/>
      <c r="E49" s="533"/>
      <c r="F49" s="247" t="s">
        <v>1139</v>
      </c>
      <c r="G49" s="266" t="s">
        <v>1140</v>
      </c>
      <c r="H49" s="253">
        <v>300</v>
      </c>
      <c r="I49" s="271">
        <v>40</v>
      </c>
      <c r="J49" s="255">
        <v>12000</v>
      </c>
      <c r="K49" s="524"/>
    </row>
    <row r="50" spans="1:11" ht="24.95" customHeight="1">
      <c r="A50" s="532"/>
      <c r="B50" s="532"/>
      <c r="C50" s="532"/>
      <c r="D50" s="535"/>
      <c r="E50" s="252" t="s">
        <v>1060</v>
      </c>
      <c r="F50" s="247"/>
      <c r="G50" s="247"/>
      <c r="H50" s="253"/>
      <c r="I50" s="253"/>
      <c r="J50" s="245">
        <v>1739016</v>
      </c>
      <c r="K50" s="524"/>
    </row>
    <row r="51" spans="1:11" ht="24.95" customHeight="1">
      <c r="A51" s="532"/>
      <c r="B51" s="532"/>
      <c r="C51" s="532"/>
      <c r="D51" s="535"/>
      <c r="E51" s="242" t="s">
        <v>1105</v>
      </c>
      <c r="F51" s="247"/>
      <c r="G51" s="247"/>
      <c r="H51" s="253"/>
      <c r="I51" s="253"/>
      <c r="J51" s="254">
        <v>173901.6</v>
      </c>
      <c r="K51" s="524"/>
    </row>
    <row r="52" spans="1:11" ht="24.95" customHeight="1">
      <c r="A52" s="532"/>
      <c r="B52" s="532"/>
      <c r="C52" s="532"/>
      <c r="D52" s="535"/>
      <c r="E52" s="266" t="s">
        <v>1141</v>
      </c>
      <c r="F52" s="252"/>
      <c r="G52" s="247" t="s">
        <v>1095</v>
      </c>
      <c r="H52" s="253">
        <v>1</v>
      </c>
      <c r="I52" s="253">
        <v>6377.32</v>
      </c>
      <c r="J52" s="272">
        <v>6377.32</v>
      </c>
      <c r="K52" s="524"/>
    </row>
    <row r="53" spans="1:11" ht="24.95" customHeight="1">
      <c r="A53" s="532"/>
      <c r="B53" s="532"/>
      <c r="C53" s="532"/>
      <c r="D53" s="535"/>
      <c r="E53" s="256" t="s">
        <v>1142</v>
      </c>
      <c r="F53" s="247"/>
      <c r="G53" s="248" t="s">
        <v>1053</v>
      </c>
      <c r="H53" s="253">
        <v>8373</v>
      </c>
      <c r="I53" s="253">
        <v>16</v>
      </c>
      <c r="J53" s="257">
        <v>133968</v>
      </c>
      <c r="K53" s="524"/>
    </row>
    <row r="54" spans="1:11" ht="24.95" customHeight="1">
      <c r="A54" s="533"/>
      <c r="B54" s="533"/>
      <c r="C54" s="533"/>
      <c r="D54" s="536"/>
      <c r="E54" s="252" t="s">
        <v>1062</v>
      </c>
      <c r="F54" s="247"/>
      <c r="G54" s="248" t="s">
        <v>1053</v>
      </c>
      <c r="H54" s="253"/>
      <c r="I54" s="253"/>
      <c r="J54" s="245">
        <v>2053262.92</v>
      </c>
      <c r="K54" s="524"/>
    </row>
    <row r="55" spans="1:11" ht="24.95" customHeight="1">
      <c r="A55" s="531">
        <v>5</v>
      </c>
      <c r="B55" s="531" t="s">
        <v>1143</v>
      </c>
      <c r="C55" s="531" t="s">
        <v>1144</v>
      </c>
      <c r="D55" s="534" t="s">
        <v>1078</v>
      </c>
      <c r="E55" s="531" t="s">
        <v>1145</v>
      </c>
      <c r="F55" s="247" t="s">
        <v>1146</v>
      </c>
      <c r="G55" s="247" t="s">
        <v>1095</v>
      </c>
      <c r="H55" s="253">
        <v>1</v>
      </c>
      <c r="I55" s="253">
        <v>115000</v>
      </c>
      <c r="J55" s="255">
        <v>115000</v>
      </c>
      <c r="K55" s="524">
        <f>ROUND(J69*0.8,0)</f>
        <v>440151</v>
      </c>
    </row>
    <row r="56" spans="1:11" ht="24.95" customHeight="1">
      <c r="A56" s="532"/>
      <c r="B56" s="532"/>
      <c r="C56" s="532"/>
      <c r="D56" s="535"/>
      <c r="E56" s="532"/>
      <c r="F56" s="247" t="s">
        <v>1092</v>
      </c>
      <c r="G56" s="248" t="s">
        <v>1053</v>
      </c>
      <c r="H56" s="253">
        <v>130</v>
      </c>
      <c r="I56" s="253">
        <v>150</v>
      </c>
      <c r="J56" s="255">
        <v>19500</v>
      </c>
      <c r="K56" s="524"/>
    </row>
    <row r="57" spans="1:11" ht="24.95" customHeight="1">
      <c r="A57" s="532"/>
      <c r="B57" s="532"/>
      <c r="C57" s="532"/>
      <c r="D57" s="535"/>
      <c r="E57" s="532"/>
      <c r="F57" s="247" t="s">
        <v>1091</v>
      </c>
      <c r="G57" s="248" t="s">
        <v>1053</v>
      </c>
      <c r="H57" s="253">
        <v>480</v>
      </c>
      <c r="I57" s="253">
        <v>245</v>
      </c>
      <c r="J57" s="255">
        <v>117600</v>
      </c>
      <c r="K57" s="524"/>
    </row>
    <row r="58" spans="1:11" ht="24.95" customHeight="1">
      <c r="A58" s="532"/>
      <c r="B58" s="532"/>
      <c r="C58" s="532"/>
      <c r="D58" s="535"/>
      <c r="E58" s="532"/>
      <c r="F58" s="247" t="s">
        <v>1090</v>
      </c>
      <c r="G58" s="248" t="s">
        <v>1053</v>
      </c>
      <c r="H58" s="253">
        <v>130</v>
      </c>
      <c r="I58" s="253">
        <v>257</v>
      </c>
      <c r="J58" s="255">
        <v>33410</v>
      </c>
      <c r="K58" s="524"/>
    </row>
    <row r="59" spans="1:11" ht="24.95" customHeight="1">
      <c r="A59" s="532"/>
      <c r="B59" s="532"/>
      <c r="C59" s="532"/>
      <c r="D59" s="535"/>
      <c r="E59" s="532"/>
      <c r="F59" s="247" t="s">
        <v>1093</v>
      </c>
      <c r="G59" s="248" t="s">
        <v>1053</v>
      </c>
      <c r="H59" s="253">
        <v>130</v>
      </c>
      <c r="I59" s="253">
        <v>226</v>
      </c>
      <c r="J59" s="255">
        <v>29380</v>
      </c>
      <c r="K59" s="524"/>
    </row>
    <row r="60" spans="1:11" ht="24.95" customHeight="1">
      <c r="A60" s="532"/>
      <c r="B60" s="532"/>
      <c r="C60" s="532"/>
      <c r="D60" s="535"/>
      <c r="E60" s="532"/>
      <c r="F60" s="247" t="s">
        <v>1100</v>
      </c>
      <c r="G60" s="247" t="s">
        <v>1053</v>
      </c>
      <c r="H60" s="253">
        <v>60</v>
      </c>
      <c r="I60" s="253">
        <v>150</v>
      </c>
      <c r="J60" s="255">
        <v>9000</v>
      </c>
      <c r="K60" s="524"/>
    </row>
    <row r="61" spans="1:11" ht="24.95" customHeight="1">
      <c r="A61" s="532"/>
      <c r="B61" s="532"/>
      <c r="C61" s="532"/>
      <c r="D61" s="535"/>
      <c r="E61" s="532"/>
      <c r="F61" s="247" t="s">
        <v>1147</v>
      </c>
      <c r="G61" s="248" t="s">
        <v>1095</v>
      </c>
      <c r="H61" s="253">
        <v>1</v>
      </c>
      <c r="I61" s="253">
        <v>21600</v>
      </c>
      <c r="J61" s="255">
        <v>21600</v>
      </c>
      <c r="K61" s="524"/>
    </row>
    <row r="62" spans="1:11" ht="24.95" customHeight="1">
      <c r="A62" s="532"/>
      <c r="B62" s="532"/>
      <c r="C62" s="532"/>
      <c r="D62" s="535"/>
      <c r="E62" s="531" t="s">
        <v>1148</v>
      </c>
      <c r="F62" s="247" t="s">
        <v>1124</v>
      </c>
      <c r="G62" s="248" t="s">
        <v>1053</v>
      </c>
      <c r="H62" s="253">
        <v>750</v>
      </c>
      <c r="I62" s="253">
        <v>36</v>
      </c>
      <c r="J62" s="255">
        <v>27000</v>
      </c>
      <c r="K62" s="524"/>
    </row>
    <row r="63" spans="1:11" ht="24.95" customHeight="1">
      <c r="A63" s="532"/>
      <c r="B63" s="532"/>
      <c r="C63" s="532"/>
      <c r="D63" s="535"/>
      <c r="E63" s="532"/>
      <c r="F63" s="247" t="s">
        <v>1149</v>
      </c>
      <c r="G63" s="248" t="s">
        <v>1053</v>
      </c>
      <c r="H63" s="253">
        <v>750</v>
      </c>
      <c r="I63" s="253">
        <v>129</v>
      </c>
      <c r="J63" s="255">
        <v>96750</v>
      </c>
      <c r="K63" s="524"/>
    </row>
    <row r="64" spans="1:11" ht="24.95" customHeight="1">
      <c r="A64" s="532"/>
      <c r="B64" s="532"/>
      <c r="C64" s="532"/>
      <c r="D64" s="535"/>
      <c r="E64" s="532"/>
      <c r="F64" s="247" t="s">
        <v>1137</v>
      </c>
      <c r="G64" s="248" t="s">
        <v>1053</v>
      </c>
      <c r="H64" s="253">
        <v>60</v>
      </c>
      <c r="I64" s="271">
        <v>50</v>
      </c>
      <c r="J64" s="255">
        <v>3000</v>
      </c>
      <c r="K64" s="524"/>
    </row>
    <row r="65" spans="1:11" ht="24.95" customHeight="1">
      <c r="A65" s="532"/>
      <c r="B65" s="532"/>
      <c r="C65" s="532"/>
      <c r="D65" s="535"/>
      <c r="E65" s="532"/>
      <c r="F65" s="247" t="s">
        <v>1150</v>
      </c>
      <c r="G65" s="266" t="s">
        <v>1058</v>
      </c>
      <c r="H65" s="253">
        <v>100</v>
      </c>
      <c r="I65" s="271">
        <v>30</v>
      </c>
      <c r="J65" s="255">
        <v>3000</v>
      </c>
      <c r="K65" s="524"/>
    </row>
    <row r="66" spans="1:11" ht="24.95" customHeight="1">
      <c r="A66" s="532"/>
      <c r="B66" s="532"/>
      <c r="C66" s="532"/>
      <c r="D66" s="535"/>
      <c r="E66" s="533"/>
      <c r="F66" s="247" t="s">
        <v>1139</v>
      </c>
      <c r="G66" s="266" t="s">
        <v>1058</v>
      </c>
      <c r="H66" s="253">
        <v>400</v>
      </c>
      <c r="I66" s="271">
        <v>40</v>
      </c>
      <c r="J66" s="255">
        <v>16000</v>
      </c>
      <c r="K66" s="524"/>
    </row>
    <row r="67" spans="1:11" ht="24.95" customHeight="1">
      <c r="A67" s="532"/>
      <c r="B67" s="532"/>
      <c r="C67" s="532"/>
      <c r="D67" s="535"/>
      <c r="E67" s="252" t="s">
        <v>1060</v>
      </c>
      <c r="F67" s="247"/>
      <c r="G67" s="247"/>
      <c r="H67" s="253"/>
      <c r="I67" s="253"/>
      <c r="J67" s="245">
        <v>491240</v>
      </c>
      <c r="K67" s="524"/>
    </row>
    <row r="68" spans="1:11" ht="24.95" customHeight="1">
      <c r="A68" s="532"/>
      <c r="B68" s="532"/>
      <c r="C68" s="532"/>
      <c r="D68" s="535"/>
      <c r="E68" s="268" t="s">
        <v>1105</v>
      </c>
      <c r="F68" s="247"/>
      <c r="G68" s="247"/>
      <c r="H68" s="253"/>
      <c r="I68" s="253"/>
      <c r="J68" s="254">
        <v>58948.800000000003</v>
      </c>
      <c r="K68" s="524"/>
    </row>
    <row r="69" spans="1:11" ht="24.95" customHeight="1">
      <c r="A69" s="533"/>
      <c r="B69" s="533"/>
      <c r="C69" s="533"/>
      <c r="D69" s="536"/>
      <c r="E69" s="252" t="s">
        <v>1062</v>
      </c>
      <c r="F69" s="247"/>
      <c r="G69" s="247"/>
      <c r="H69" s="253"/>
      <c r="I69" s="253"/>
      <c r="J69" s="254">
        <v>550188.80000000005</v>
      </c>
      <c r="K69" s="524"/>
    </row>
    <row r="70" spans="1:11" s="273" customFormat="1" ht="24.95" customHeight="1">
      <c r="A70" s="538">
        <v>6</v>
      </c>
      <c r="B70" s="527" t="s">
        <v>1151</v>
      </c>
      <c r="C70" s="531" t="s">
        <v>1152</v>
      </c>
      <c r="D70" s="534" t="s">
        <v>1078</v>
      </c>
      <c r="E70" s="531" t="s">
        <v>1153</v>
      </c>
      <c r="F70" s="266" t="s">
        <v>1154</v>
      </c>
      <c r="G70" s="248" t="s">
        <v>1053</v>
      </c>
      <c r="H70" s="270">
        <v>4679.1000000000004</v>
      </c>
      <c r="I70" s="270">
        <v>24</v>
      </c>
      <c r="J70" s="257">
        <v>112298.4</v>
      </c>
      <c r="K70" s="524">
        <f>ROUND(J120*0.8,0)</f>
        <v>1592837</v>
      </c>
    </row>
    <row r="71" spans="1:11" s="273" customFormat="1" ht="24.95" customHeight="1">
      <c r="A71" s="539"/>
      <c r="B71" s="527"/>
      <c r="C71" s="532"/>
      <c r="D71" s="535"/>
      <c r="E71" s="532"/>
      <c r="F71" s="274" t="s">
        <v>1155</v>
      </c>
      <c r="G71" s="248" t="s">
        <v>1053</v>
      </c>
      <c r="H71" s="275">
        <v>1371.6</v>
      </c>
      <c r="I71" s="270">
        <v>26</v>
      </c>
      <c r="J71" s="257">
        <v>35661.599999999999</v>
      </c>
      <c r="K71" s="524"/>
    </row>
    <row r="72" spans="1:11" s="273" customFormat="1" ht="24.95" customHeight="1">
      <c r="A72" s="539"/>
      <c r="B72" s="527"/>
      <c r="C72" s="532"/>
      <c r="D72" s="535"/>
      <c r="E72" s="532"/>
      <c r="F72" s="274" t="s">
        <v>1156</v>
      </c>
      <c r="G72" s="248" t="s">
        <v>1053</v>
      </c>
      <c r="H72" s="275">
        <v>1289.8599999999999</v>
      </c>
      <c r="I72" s="270">
        <v>23</v>
      </c>
      <c r="J72" s="257">
        <v>29666.78</v>
      </c>
      <c r="K72" s="524"/>
    </row>
    <row r="73" spans="1:11" s="273" customFormat="1" ht="24.95" customHeight="1">
      <c r="A73" s="539"/>
      <c r="B73" s="527"/>
      <c r="C73" s="532"/>
      <c r="D73" s="535"/>
      <c r="E73" s="532"/>
      <c r="F73" s="274" t="s">
        <v>1157</v>
      </c>
      <c r="G73" s="248" t="s">
        <v>1053</v>
      </c>
      <c r="H73" s="275">
        <v>801.8</v>
      </c>
      <c r="I73" s="270">
        <v>50</v>
      </c>
      <c r="J73" s="257">
        <v>40090</v>
      </c>
      <c r="K73" s="524"/>
    </row>
    <row r="74" spans="1:11" s="273" customFormat="1" ht="24.95" customHeight="1">
      <c r="A74" s="539"/>
      <c r="B74" s="527"/>
      <c r="C74" s="532"/>
      <c r="D74" s="535"/>
      <c r="E74" s="533"/>
      <c r="F74" s="274" t="s">
        <v>1158</v>
      </c>
      <c r="G74" s="248" t="s">
        <v>1053</v>
      </c>
      <c r="H74" s="275">
        <v>1215.8399999999999</v>
      </c>
      <c r="I74" s="270">
        <v>50</v>
      </c>
      <c r="J74" s="257">
        <v>60792</v>
      </c>
      <c r="K74" s="524"/>
    </row>
    <row r="75" spans="1:11" s="273" customFormat="1" ht="24.95" customHeight="1">
      <c r="A75" s="539"/>
      <c r="B75" s="527"/>
      <c r="C75" s="532"/>
      <c r="D75" s="535"/>
      <c r="E75" s="531" t="s">
        <v>1159</v>
      </c>
      <c r="F75" s="266" t="s">
        <v>1160</v>
      </c>
      <c r="G75" s="248" t="s">
        <v>1053</v>
      </c>
      <c r="H75" s="270">
        <v>1368.2</v>
      </c>
      <c r="I75" s="270">
        <v>60</v>
      </c>
      <c r="J75" s="257">
        <v>82092</v>
      </c>
      <c r="K75" s="524"/>
    </row>
    <row r="76" spans="1:11" s="273" customFormat="1" ht="24.95" customHeight="1">
      <c r="A76" s="539"/>
      <c r="B76" s="527"/>
      <c r="C76" s="532"/>
      <c r="D76" s="535"/>
      <c r="E76" s="533"/>
      <c r="F76" s="266" t="s">
        <v>1161</v>
      </c>
      <c r="G76" s="248" t="s">
        <v>1053</v>
      </c>
      <c r="H76" s="270">
        <v>1368.2</v>
      </c>
      <c r="I76" s="270">
        <v>23</v>
      </c>
      <c r="J76" s="257">
        <v>31468.6</v>
      </c>
      <c r="K76" s="524"/>
    </row>
    <row r="77" spans="1:11" s="273" customFormat="1" ht="24.95" customHeight="1">
      <c r="A77" s="539"/>
      <c r="B77" s="527"/>
      <c r="C77" s="532"/>
      <c r="D77" s="535"/>
      <c r="E77" s="531" t="s">
        <v>1162</v>
      </c>
      <c r="F77" s="266" t="s">
        <v>1163</v>
      </c>
      <c r="G77" s="248" t="s">
        <v>1053</v>
      </c>
      <c r="H77" s="270">
        <v>1796.63</v>
      </c>
      <c r="I77" s="270">
        <v>54</v>
      </c>
      <c r="J77" s="257">
        <v>97018.02</v>
      </c>
      <c r="K77" s="524"/>
    </row>
    <row r="78" spans="1:11" s="273" customFormat="1" ht="24.95" customHeight="1">
      <c r="A78" s="539"/>
      <c r="B78" s="527"/>
      <c r="C78" s="532"/>
      <c r="D78" s="535"/>
      <c r="E78" s="532"/>
      <c r="F78" s="266" t="s">
        <v>1164</v>
      </c>
      <c r="G78" s="266" t="s">
        <v>1058</v>
      </c>
      <c r="H78" s="270">
        <v>227.1</v>
      </c>
      <c r="I78" s="270">
        <v>85</v>
      </c>
      <c r="J78" s="257">
        <v>19303.5</v>
      </c>
      <c r="K78" s="524"/>
    </row>
    <row r="79" spans="1:11" s="273" customFormat="1" ht="24.95" customHeight="1">
      <c r="A79" s="539"/>
      <c r="B79" s="527"/>
      <c r="C79" s="532"/>
      <c r="D79" s="535"/>
      <c r="E79" s="533"/>
      <c r="F79" s="266" t="s">
        <v>1165</v>
      </c>
      <c r="G79" s="248" t="s">
        <v>1053</v>
      </c>
      <c r="H79" s="270">
        <v>1796.63</v>
      </c>
      <c r="I79" s="270">
        <v>136</v>
      </c>
      <c r="J79" s="257">
        <v>244341.68</v>
      </c>
      <c r="K79" s="524"/>
    </row>
    <row r="80" spans="1:11" s="273" customFormat="1" ht="24.95" customHeight="1">
      <c r="A80" s="539"/>
      <c r="B80" s="527"/>
      <c r="C80" s="532"/>
      <c r="D80" s="535"/>
      <c r="E80" s="531" t="s">
        <v>1166</v>
      </c>
      <c r="F80" s="266" t="s">
        <v>1167</v>
      </c>
      <c r="G80" s="248" t="s">
        <v>1053</v>
      </c>
      <c r="H80" s="270">
        <v>351.28</v>
      </c>
      <c r="I80" s="270">
        <v>54</v>
      </c>
      <c r="J80" s="257">
        <v>18969.12</v>
      </c>
      <c r="K80" s="524"/>
    </row>
    <row r="81" spans="1:11" s="273" customFormat="1" ht="24.95" customHeight="1">
      <c r="A81" s="539"/>
      <c r="B81" s="527"/>
      <c r="C81" s="532"/>
      <c r="D81" s="535"/>
      <c r="E81" s="532"/>
      <c r="F81" s="266" t="s">
        <v>1168</v>
      </c>
      <c r="G81" s="248" t="s">
        <v>1053</v>
      </c>
      <c r="H81" s="270">
        <v>61.63</v>
      </c>
      <c r="I81" s="270">
        <v>136</v>
      </c>
      <c r="J81" s="257">
        <v>8381.68</v>
      </c>
      <c r="K81" s="524"/>
    </row>
    <row r="82" spans="1:11" s="273" customFormat="1" ht="24.95" customHeight="1">
      <c r="A82" s="539"/>
      <c r="B82" s="527"/>
      <c r="C82" s="532"/>
      <c r="D82" s="535"/>
      <c r="E82" s="532"/>
      <c r="F82" s="266" t="s">
        <v>1169</v>
      </c>
      <c r="G82" s="248" t="s">
        <v>1053</v>
      </c>
      <c r="H82" s="270">
        <v>351.28</v>
      </c>
      <c r="I82" s="270">
        <v>136</v>
      </c>
      <c r="J82" s="257">
        <v>47774.080000000002</v>
      </c>
      <c r="K82" s="524"/>
    </row>
    <row r="83" spans="1:11" s="273" customFormat="1" ht="24.95" customHeight="1">
      <c r="A83" s="539"/>
      <c r="B83" s="527"/>
      <c r="C83" s="532"/>
      <c r="D83" s="535"/>
      <c r="E83" s="532"/>
      <c r="F83" s="266" t="s">
        <v>1170</v>
      </c>
      <c r="G83" s="274" t="s">
        <v>1171</v>
      </c>
      <c r="H83" s="270">
        <v>176</v>
      </c>
      <c r="I83" s="270">
        <v>136</v>
      </c>
      <c r="J83" s="257">
        <v>23936</v>
      </c>
      <c r="K83" s="524"/>
    </row>
    <row r="84" spans="1:11" s="273" customFormat="1" ht="24.95" customHeight="1">
      <c r="A84" s="539"/>
      <c r="B84" s="527"/>
      <c r="C84" s="532"/>
      <c r="D84" s="535"/>
      <c r="E84" s="532"/>
      <c r="F84" s="266" t="s">
        <v>1172</v>
      </c>
      <c r="G84" s="248" t="s">
        <v>1053</v>
      </c>
      <c r="H84" s="270">
        <v>97.82</v>
      </c>
      <c r="I84" s="270">
        <v>136</v>
      </c>
      <c r="J84" s="257">
        <v>13303.52</v>
      </c>
      <c r="K84" s="524"/>
    </row>
    <row r="85" spans="1:11" s="273" customFormat="1" ht="24.95" customHeight="1">
      <c r="A85" s="539"/>
      <c r="B85" s="527"/>
      <c r="C85" s="532"/>
      <c r="D85" s="535"/>
      <c r="E85" s="533"/>
      <c r="F85" s="266" t="s">
        <v>1173</v>
      </c>
      <c r="G85" s="266" t="s">
        <v>1058</v>
      </c>
      <c r="H85" s="270">
        <v>72</v>
      </c>
      <c r="I85" s="270">
        <v>450</v>
      </c>
      <c r="J85" s="257">
        <v>32400</v>
      </c>
      <c r="K85" s="524"/>
    </row>
    <row r="86" spans="1:11" s="273" customFormat="1" ht="24.95" customHeight="1">
      <c r="A86" s="539"/>
      <c r="B86" s="527"/>
      <c r="C86" s="532"/>
      <c r="D86" s="535"/>
      <c r="E86" s="259"/>
      <c r="F86" s="266" t="s">
        <v>1174</v>
      </c>
      <c r="G86" s="266" t="s">
        <v>1103</v>
      </c>
      <c r="H86" s="270">
        <v>77</v>
      </c>
      <c r="I86" s="270">
        <v>1600</v>
      </c>
      <c r="J86" s="257">
        <v>123200</v>
      </c>
      <c r="K86" s="524"/>
    </row>
    <row r="87" spans="1:11" s="273" customFormat="1" ht="24.95" customHeight="1">
      <c r="A87" s="539"/>
      <c r="B87" s="527"/>
      <c r="C87" s="532"/>
      <c r="D87" s="535"/>
      <c r="E87" s="531" t="s">
        <v>1175</v>
      </c>
      <c r="F87" s="266" t="s">
        <v>1176</v>
      </c>
      <c r="G87" s="266" t="s">
        <v>1177</v>
      </c>
      <c r="H87" s="270">
        <v>15</v>
      </c>
      <c r="I87" s="270">
        <v>500</v>
      </c>
      <c r="J87" s="257">
        <v>7500</v>
      </c>
      <c r="K87" s="524"/>
    </row>
    <row r="88" spans="1:11" s="273" customFormat="1" ht="24.95" customHeight="1">
      <c r="A88" s="539"/>
      <c r="B88" s="527"/>
      <c r="C88" s="532"/>
      <c r="D88" s="535"/>
      <c r="E88" s="532"/>
      <c r="F88" s="266" t="s">
        <v>1178</v>
      </c>
      <c r="G88" s="266" t="s">
        <v>1058</v>
      </c>
      <c r="H88" s="270">
        <v>129</v>
      </c>
      <c r="I88" s="270">
        <v>186</v>
      </c>
      <c r="J88" s="257">
        <v>23994</v>
      </c>
      <c r="K88" s="524"/>
    </row>
    <row r="89" spans="1:11" s="273" customFormat="1" ht="24.95" customHeight="1">
      <c r="A89" s="539"/>
      <c r="B89" s="527"/>
      <c r="C89" s="532"/>
      <c r="D89" s="535"/>
      <c r="E89" s="533"/>
      <c r="F89" s="266" t="s">
        <v>1179</v>
      </c>
      <c r="G89" s="248" t="s">
        <v>1053</v>
      </c>
      <c r="H89" s="270">
        <v>129</v>
      </c>
      <c r="I89" s="270">
        <v>88</v>
      </c>
      <c r="J89" s="257">
        <v>11352</v>
      </c>
      <c r="K89" s="524"/>
    </row>
    <row r="90" spans="1:11" s="273" customFormat="1" ht="24.95" customHeight="1">
      <c r="A90" s="539"/>
      <c r="B90" s="527"/>
      <c r="C90" s="532"/>
      <c r="D90" s="535"/>
      <c r="E90" s="534" t="s">
        <v>1180</v>
      </c>
      <c r="F90" s="266" t="s">
        <v>1181</v>
      </c>
      <c r="G90" s="248" t="s">
        <v>1053</v>
      </c>
      <c r="H90" s="270">
        <v>78.7</v>
      </c>
      <c r="I90" s="270">
        <v>54</v>
      </c>
      <c r="J90" s="257">
        <v>4249.8</v>
      </c>
      <c r="K90" s="524"/>
    </row>
    <row r="91" spans="1:11" s="273" customFormat="1" ht="24.95" customHeight="1">
      <c r="A91" s="539"/>
      <c r="B91" s="527"/>
      <c r="C91" s="532"/>
      <c r="D91" s="535"/>
      <c r="E91" s="535"/>
      <c r="F91" s="266" t="s">
        <v>1182</v>
      </c>
      <c r="G91" s="248" t="s">
        <v>1053</v>
      </c>
      <c r="H91" s="270">
        <v>9.36</v>
      </c>
      <c r="I91" s="270">
        <v>54</v>
      </c>
      <c r="J91" s="257">
        <v>505.44</v>
      </c>
      <c r="K91" s="524"/>
    </row>
    <row r="92" spans="1:11" s="273" customFormat="1" ht="24.95" customHeight="1">
      <c r="A92" s="539"/>
      <c r="B92" s="527"/>
      <c r="C92" s="532"/>
      <c r="D92" s="535"/>
      <c r="E92" s="535"/>
      <c r="F92" s="266" t="s">
        <v>1183</v>
      </c>
      <c r="G92" s="248" t="s">
        <v>1053</v>
      </c>
      <c r="H92" s="270">
        <v>78.7</v>
      </c>
      <c r="I92" s="270">
        <v>140</v>
      </c>
      <c r="J92" s="257">
        <v>11018</v>
      </c>
      <c r="K92" s="524"/>
    </row>
    <row r="93" spans="1:11" s="273" customFormat="1" ht="24.95" customHeight="1">
      <c r="A93" s="539"/>
      <c r="B93" s="527"/>
      <c r="C93" s="532"/>
      <c r="D93" s="535"/>
      <c r="E93" s="535"/>
      <c r="F93" s="266" t="s">
        <v>1184</v>
      </c>
      <c r="G93" s="266" t="s">
        <v>1058</v>
      </c>
      <c r="H93" s="270">
        <v>39.75</v>
      </c>
      <c r="I93" s="270">
        <v>100</v>
      </c>
      <c r="J93" s="257">
        <v>3975</v>
      </c>
      <c r="K93" s="524"/>
    </row>
    <row r="94" spans="1:11" s="273" customFormat="1" ht="24.95" customHeight="1">
      <c r="A94" s="539"/>
      <c r="B94" s="527"/>
      <c r="C94" s="532"/>
      <c r="D94" s="535"/>
      <c r="E94" s="535"/>
      <c r="F94" s="266" t="s">
        <v>1185</v>
      </c>
      <c r="G94" s="248" t="s">
        <v>1053</v>
      </c>
      <c r="H94" s="270">
        <v>9.36</v>
      </c>
      <c r="I94" s="270">
        <v>140</v>
      </c>
      <c r="J94" s="257">
        <v>1310.4000000000001</v>
      </c>
      <c r="K94" s="524"/>
    </row>
    <row r="95" spans="1:11" s="273" customFormat="1" ht="24.95" customHeight="1">
      <c r="A95" s="539"/>
      <c r="B95" s="527"/>
      <c r="C95" s="532"/>
      <c r="D95" s="535"/>
      <c r="E95" s="535"/>
      <c r="F95" s="266" t="s">
        <v>1186</v>
      </c>
      <c r="G95" s="266" t="s">
        <v>1058</v>
      </c>
      <c r="H95" s="270">
        <v>100</v>
      </c>
      <c r="I95" s="270">
        <v>100</v>
      </c>
      <c r="J95" s="257">
        <v>10000</v>
      </c>
      <c r="K95" s="524"/>
    </row>
    <row r="96" spans="1:11" s="273" customFormat="1" ht="24.95" customHeight="1">
      <c r="A96" s="539"/>
      <c r="B96" s="527"/>
      <c r="C96" s="532"/>
      <c r="D96" s="535"/>
      <c r="E96" s="535"/>
      <c r="F96" s="266" t="s">
        <v>1187</v>
      </c>
      <c r="G96" s="248" t="s">
        <v>1053</v>
      </c>
      <c r="H96" s="275">
        <v>660</v>
      </c>
      <c r="I96" s="270">
        <v>63</v>
      </c>
      <c r="J96" s="257">
        <v>41580</v>
      </c>
      <c r="K96" s="524"/>
    </row>
    <row r="97" spans="1:11" s="273" customFormat="1" ht="24.95" customHeight="1">
      <c r="A97" s="539"/>
      <c r="B97" s="527"/>
      <c r="C97" s="532"/>
      <c r="D97" s="535"/>
      <c r="E97" s="535"/>
      <c r="F97" s="266" t="s">
        <v>1188</v>
      </c>
      <c r="G97" s="266" t="s">
        <v>1058</v>
      </c>
      <c r="H97" s="270">
        <v>100</v>
      </c>
      <c r="I97" s="270">
        <v>65</v>
      </c>
      <c r="J97" s="257">
        <v>6500</v>
      </c>
      <c r="K97" s="524"/>
    </row>
    <row r="98" spans="1:11" s="273" customFormat="1" ht="24.95" customHeight="1">
      <c r="A98" s="539"/>
      <c r="B98" s="527"/>
      <c r="C98" s="532"/>
      <c r="D98" s="535"/>
      <c r="E98" s="535"/>
      <c r="F98" s="266" t="s">
        <v>1189</v>
      </c>
      <c r="G98" s="266" t="s">
        <v>1058</v>
      </c>
      <c r="H98" s="270">
        <v>100</v>
      </c>
      <c r="I98" s="270">
        <v>120</v>
      </c>
      <c r="J98" s="257">
        <v>12000</v>
      </c>
      <c r="K98" s="524"/>
    </row>
    <row r="99" spans="1:11" s="273" customFormat="1" ht="24.95" customHeight="1">
      <c r="A99" s="539"/>
      <c r="B99" s="527"/>
      <c r="C99" s="532"/>
      <c r="D99" s="535"/>
      <c r="E99" s="535"/>
      <c r="F99" s="266" t="s">
        <v>1190</v>
      </c>
      <c r="G99" s="266" t="s">
        <v>1058</v>
      </c>
      <c r="H99" s="270">
        <v>100</v>
      </c>
      <c r="I99" s="270">
        <v>160</v>
      </c>
      <c r="J99" s="257">
        <v>16000</v>
      </c>
      <c r="K99" s="524"/>
    </row>
    <row r="100" spans="1:11" s="273" customFormat="1" ht="24.95" customHeight="1">
      <c r="A100" s="539"/>
      <c r="B100" s="527"/>
      <c r="C100" s="532"/>
      <c r="D100" s="535"/>
      <c r="E100" s="535"/>
      <c r="F100" s="266" t="s">
        <v>1191</v>
      </c>
      <c r="G100" s="266" t="s">
        <v>1058</v>
      </c>
      <c r="H100" s="270">
        <v>100</v>
      </c>
      <c r="I100" s="270">
        <v>1450</v>
      </c>
      <c r="J100" s="257">
        <v>145000</v>
      </c>
      <c r="K100" s="524"/>
    </row>
    <row r="101" spans="1:11" s="273" customFormat="1" ht="24.95" customHeight="1">
      <c r="A101" s="539"/>
      <c r="B101" s="527"/>
      <c r="C101" s="532"/>
      <c r="D101" s="535"/>
      <c r="E101" s="535"/>
      <c r="F101" s="266" t="s">
        <v>1192</v>
      </c>
      <c r="G101" s="266" t="s">
        <v>1058</v>
      </c>
      <c r="H101" s="270">
        <v>235.5</v>
      </c>
      <c r="I101" s="270">
        <v>100</v>
      </c>
      <c r="J101" s="257">
        <v>23550</v>
      </c>
      <c r="K101" s="524"/>
    </row>
    <row r="102" spans="1:11" s="276" customFormat="1" ht="24.95" customHeight="1">
      <c r="A102" s="539"/>
      <c r="B102" s="527"/>
      <c r="C102" s="532"/>
      <c r="D102" s="535"/>
      <c r="E102" s="527" t="s">
        <v>1193</v>
      </c>
      <c r="F102" s="266" t="s">
        <v>1194</v>
      </c>
      <c r="G102" s="248" t="s">
        <v>1053</v>
      </c>
      <c r="H102" s="270">
        <v>273</v>
      </c>
      <c r="I102" s="270">
        <v>36</v>
      </c>
      <c r="J102" s="257">
        <v>9828</v>
      </c>
      <c r="K102" s="524"/>
    </row>
    <row r="103" spans="1:11" s="276" customFormat="1" ht="24.95" customHeight="1">
      <c r="A103" s="539"/>
      <c r="B103" s="527"/>
      <c r="C103" s="532"/>
      <c r="D103" s="535"/>
      <c r="E103" s="527"/>
      <c r="F103" s="266" t="s">
        <v>1195</v>
      </c>
      <c r="G103" s="266" t="s">
        <v>1058</v>
      </c>
      <c r="H103" s="270">
        <v>95</v>
      </c>
      <c r="I103" s="270">
        <v>30</v>
      </c>
      <c r="J103" s="257">
        <v>2850</v>
      </c>
      <c r="K103" s="524"/>
    </row>
    <row r="104" spans="1:11" s="276" customFormat="1" ht="24.95" customHeight="1">
      <c r="A104" s="539"/>
      <c r="B104" s="527"/>
      <c r="C104" s="532"/>
      <c r="D104" s="535"/>
      <c r="E104" s="527"/>
      <c r="F104" s="277" t="s">
        <v>1196</v>
      </c>
      <c r="G104" s="248" t="s">
        <v>1053</v>
      </c>
      <c r="H104" s="278">
        <v>1062.99</v>
      </c>
      <c r="I104" s="278">
        <v>20</v>
      </c>
      <c r="J104" s="257">
        <v>21259.8</v>
      </c>
      <c r="K104" s="524"/>
    </row>
    <row r="105" spans="1:11" s="279" customFormat="1" ht="24.95" customHeight="1">
      <c r="A105" s="539"/>
      <c r="B105" s="527"/>
      <c r="C105" s="532"/>
      <c r="D105" s="535"/>
      <c r="E105" s="527"/>
      <c r="F105" s="266" t="s">
        <v>1197</v>
      </c>
      <c r="G105" s="266" t="s">
        <v>1058</v>
      </c>
      <c r="H105" s="270">
        <v>28</v>
      </c>
      <c r="I105" s="270">
        <v>230</v>
      </c>
      <c r="J105" s="257">
        <v>6440</v>
      </c>
      <c r="K105" s="524"/>
    </row>
    <row r="106" spans="1:11" s="279" customFormat="1" ht="24.95" customHeight="1">
      <c r="A106" s="539"/>
      <c r="B106" s="527"/>
      <c r="C106" s="532"/>
      <c r="D106" s="535"/>
      <c r="E106" s="527"/>
      <c r="F106" s="266" t="s">
        <v>1198</v>
      </c>
      <c r="G106" s="248" t="s">
        <v>1053</v>
      </c>
      <c r="H106" s="270">
        <v>24.1</v>
      </c>
      <c r="I106" s="270">
        <v>100</v>
      </c>
      <c r="J106" s="257">
        <v>2410</v>
      </c>
      <c r="K106" s="524"/>
    </row>
    <row r="107" spans="1:11" s="279" customFormat="1" ht="24.95" customHeight="1">
      <c r="A107" s="539"/>
      <c r="B107" s="527"/>
      <c r="C107" s="532"/>
      <c r="D107" s="535"/>
      <c r="E107" s="527"/>
      <c r="F107" s="277" t="s">
        <v>1199</v>
      </c>
      <c r="G107" s="248" t="s">
        <v>1053</v>
      </c>
      <c r="H107" s="278">
        <v>271.60000000000002</v>
      </c>
      <c r="I107" s="270">
        <v>200</v>
      </c>
      <c r="J107" s="257">
        <v>54320</v>
      </c>
      <c r="K107" s="524"/>
    </row>
    <row r="108" spans="1:11" s="279" customFormat="1" ht="24.95" customHeight="1">
      <c r="A108" s="539"/>
      <c r="B108" s="527"/>
      <c r="C108" s="532"/>
      <c r="D108" s="535"/>
      <c r="E108" s="527"/>
      <c r="F108" s="277" t="s">
        <v>1200</v>
      </c>
      <c r="G108" s="248" t="s">
        <v>1053</v>
      </c>
      <c r="H108" s="278">
        <v>1062.99</v>
      </c>
      <c r="I108" s="270">
        <v>90</v>
      </c>
      <c r="J108" s="257">
        <v>95669.1</v>
      </c>
      <c r="K108" s="524"/>
    </row>
    <row r="109" spans="1:11" s="276" customFormat="1" ht="24.95" customHeight="1">
      <c r="A109" s="539"/>
      <c r="B109" s="527"/>
      <c r="C109" s="532"/>
      <c r="D109" s="535"/>
      <c r="E109" s="527"/>
      <c r="F109" s="266" t="s">
        <v>1201</v>
      </c>
      <c r="G109" s="248" t="s">
        <v>1053</v>
      </c>
      <c r="H109" s="270">
        <v>200</v>
      </c>
      <c r="I109" s="270">
        <v>168</v>
      </c>
      <c r="J109" s="257">
        <v>33600</v>
      </c>
      <c r="K109" s="524"/>
    </row>
    <row r="110" spans="1:11" s="276" customFormat="1" ht="24.95" customHeight="1">
      <c r="A110" s="539"/>
      <c r="B110" s="527"/>
      <c r="C110" s="532"/>
      <c r="D110" s="535"/>
      <c r="E110" s="527"/>
      <c r="F110" s="266" t="s">
        <v>1202</v>
      </c>
      <c r="G110" s="248" t="s">
        <v>1053</v>
      </c>
      <c r="H110" s="270">
        <v>251.4</v>
      </c>
      <c r="I110" s="270">
        <v>400</v>
      </c>
      <c r="J110" s="257">
        <v>100560</v>
      </c>
      <c r="K110" s="524"/>
    </row>
    <row r="111" spans="1:11" s="276" customFormat="1" ht="24.95" customHeight="1">
      <c r="A111" s="539"/>
      <c r="B111" s="527"/>
      <c r="C111" s="532"/>
      <c r="D111" s="535"/>
      <c r="E111" s="527"/>
      <c r="F111" s="266" t="s">
        <v>1203</v>
      </c>
      <c r="G111" s="266" t="s">
        <v>1058</v>
      </c>
      <c r="H111" s="270">
        <v>66.599999999999994</v>
      </c>
      <c r="I111" s="270">
        <v>200</v>
      </c>
      <c r="J111" s="257">
        <v>13320</v>
      </c>
      <c r="K111" s="524"/>
    </row>
    <row r="112" spans="1:11" s="276" customFormat="1" ht="24.95" customHeight="1">
      <c r="A112" s="539"/>
      <c r="B112" s="527"/>
      <c r="C112" s="532"/>
      <c r="D112" s="535"/>
      <c r="E112" s="527" t="s">
        <v>1204</v>
      </c>
      <c r="F112" s="266" t="s">
        <v>1205</v>
      </c>
      <c r="G112" s="274" t="s">
        <v>1177</v>
      </c>
      <c r="H112" s="270">
        <v>87</v>
      </c>
      <c r="I112" s="270">
        <v>200</v>
      </c>
      <c r="J112" s="257">
        <v>17400</v>
      </c>
      <c r="K112" s="524"/>
    </row>
    <row r="113" spans="1:12" s="276" customFormat="1" ht="24.95" customHeight="1">
      <c r="A113" s="539"/>
      <c r="B113" s="527"/>
      <c r="C113" s="532"/>
      <c r="D113" s="535"/>
      <c r="E113" s="527"/>
      <c r="F113" s="266" t="s">
        <v>1206</v>
      </c>
      <c r="G113" s="266" t="s">
        <v>1095</v>
      </c>
      <c r="H113" s="270">
        <v>1</v>
      </c>
      <c r="I113" s="270">
        <v>10000</v>
      </c>
      <c r="J113" s="257">
        <v>10000</v>
      </c>
      <c r="K113" s="524"/>
    </row>
    <row r="114" spans="1:12" s="276" customFormat="1" ht="24.95" customHeight="1">
      <c r="A114" s="539"/>
      <c r="B114" s="527"/>
      <c r="C114" s="532"/>
      <c r="D114" s="535"/>
      <c r="E114" s="247"/>
      <c r="F114" s="266" t="s">
        <v>1207</v>
      </c>
      <c r="G114" s="266" t="s">
        <v>1208</v>
      </c>
      <c r="H114" s="270">
        <v>4</v>
      </c>
      <c r="I114" s="270">
        <v>1000</v>
      </c>
      <c r="J114" s="257">
        <v>4000</v>
      </c>
      <c r="K114" s="524"/>
    </row>
    <row r="115" spans="1:12" ht="24.95" customHeight="1">
      <c r="A115" s="539"/>
      <c r="B115" s="527"/>
      <c r="C115" s="532"/>
      <c r="D115" s="535"/>
      <c r="E115" s="242" t="s">
        <v>1060</v>
      </c>
      <c r="F115" s="242"/>
      <c r="G115" s="242"/>
      <c r="H115" s="244"/>
      <c r="I115" s="244"/>
      <c r="J115" s="254">
        <v>1710888.52</v>
      </c>
      <c r="K115" s="524"/>
    </row>
    <row r="116" spans="1:12" ht="24.95" customHeight="1">
      <c r="A116" s="539"/>
      <c r="B116" s="527"/>
      <c r="C116" s="532"/>
      <c r="D116" s="535"/>
      <c r="E116" s="242" t="s">
        <v>1105</v>
      </c>
      <c r="F116" s="242"/>
      <c r="G116" s="242"/>
      <c r="H116" s="244"/>
      <c r="I116" s="244"/>
      <c r="J116" s="254">
        <v>171088.85200000001</v>
      </c>
      <c r="K116" s="524"/>
    </row>
    <row r="117" spans="1:12" ht="24.95" customHeight="1">
      <c r="A117" s="539"/>
      <c r="B117" s="527"/>
      <c r="C117" s="532"/>
      <c r="D117" s="535"/>
      <c r="E117" s="266" t="s">
        <v>1081</v>
      </c>
      <c r="F117" s="242"/>
      <c r="G117" s="266" t="s">
        <v>1082</v>
      </c>
      <c r="H117" s="270">
        <v>24</v>
      </c>
      <c r="I117" s="270">
        <v>1200</v>
      </c>
      <c r="J117" s="257">
        <v>28800</v>
      </c>
      <c r="K117" s="524"/>
    </row>
    <row r="118" spans="1:12" ht="24.95" customHeight="1">
      <c r="A118" s="539"/>
      <c r="B118" s="527"/>
      <c r="C118" s="532"/>
      <c r="D118" s="535"/>
      <c r="E118" s="266" t="s">
        <v>1142</v>
      </c>
      <c r="F118" s="242"/>
      <c r="G118" s="248" t="s">
        <v>1053</v>
      </c>
      <c r="H118" s="270">
        <v>4631.83</v>
      </c>
      <c r="I118" s="270">
        <v>16</v>
      </c>
      <c r="J118" s="257">
        <v>74109.279999999999</v>
      </c>
      <c r="K118" s="524"/>
    </row>
    <row r="119" spans="1:12" ht="24.95" customHeight="1">
      <c r="A119" s="539"/>
      <c r="B119" s="527"/>
      <c r="C119" s="532"/>
      <c r="D119" s="535"/>
      <c r="E119" s="266" t="s">
        <v>1141</v>
      </c>
      <c r="F119" s="242"/>
      <c r="G119" s="266" t="s">
        <v>1095</v>
      </c>
      <c r="H119" s="270">
        <v>1</v>
      </c>
      <c r="I119" s="270">
        <v>6159</v>
      </c>
      <c r="J119" s="257">
        <v>6159</v>
      </c>
      <c r="K119" s="524"/>
    </row>
    <row r="120" spans="1:12" ht="24.95" customHeight="1">
      <c r="A120" s="539"/>
      <c r="B120" s="527"/>
      <c r="C120" s="532"/>
      <c r="D120" s="535"/>
      <c r="E120" s="242" t="s">
        <v>1062</v>
      </c>
      <c r="F120" s="242"/>
      <c r="G120" s="266"/>
      <c r="H120" s="270"/>
      <c r="I120" s="270"/>
      <c r="J120" s="254">
        <v>1991045.652</v>
      </c>
      <c r="K120" s="524"/>
    </row>
    <row r="121" spans="1:12" ht="24.95" customHeight="1">
      <c r="A121" s="540"/>
      <c r="B121" s="527"/>
      <c r="C121" s="533"/>
      <c r="D121" s="536"/>
      <c r="E121" s="241" t="s">
        <v>21</v>
      </c>
      <c r="F121" s="262"/>
      <c r="G121" s="241"/>
      <c r="H121" s="243"/>
      <c r="I121" s="243"/>
      <c r="J121" s="280">
        <v>6365092.0920000002</v>
      </c>
      <c r="K121" s="334">
        <f>SUM(K3:K120)</f>
        <v>5092073</v>
      </c>
      <c r="L121" s="265">
        <f>J121-K121</f>
        <v>1273019.0920000002</v>
      </c>
    </row>
    <row r="130" spans="8:11" s="239" customFormat="1">
      <c r="H130" s="264"/>
      <c r="I130" s="264"/>
      <c r="J130" s="265"/>
      <c r="K130" s="332"/>
    </row>
    <row r="131" spans="8:11" s="239" customFormat="1">
      <c r="H131" s="264"/>
      <c r="I131" s="264"/>
      <c r="J131" s="265"/>
      <c r="K131" s="332"/>
    </row>
    <row r="132" spans="8:11" s="239" customFormat="1">
      <c r="H132" s="264"/>
      <c r="I132" s="264"/>
      <c r="J132" s="265"/>
      <c r="K132" s="332"/>
    </row>
    <row r="133" spans="8:11" s="239" customFormat="1">
      <c r="H133" s="264"/>
      <c r="I133" s="264"/>
      <c r="J133" s="265"/>
      <c r="K133" s="332"/>
    </row>
    <row r="134" spans="8:11" s="239" customFormat="1">
      <c r="H134" s="264"/>
      <c r="I134" s="264"/>
      <c r="J134" s="265"/>
      <c r="K134" s="332"/>
    </row>
    <row r="135" spans="8:11" s="239" customFormat="1">
      <c r="H135" s="264"/>
      <c r="I135" s="264"/>
      <c r="J135" s="265"/>
      <c r="K135" s="332"/>
    </row>
    <row r="136" spans="8:11" s="239" customFormat="1">
      <c r="H136" s="264"/>
      <c r="I136" s="264"/>
      <c r="J136" s="265"/>
      <c r="K136" s="332"/>
    </row>
  </sheetData>
  <mergeCells count="50">
    <mergeCell ref="K18:K28"/>
    <mergeCell ref="K29:K34"/>
    <mergeCell ref="K35:K54"/>
    <mergeCell ref="K55:K69"/>
    <mergeCell ref="K70:K120"/>
    <mergeCell ref="A70:A121"/>
    <mergeCell ref="B70:B121"/>
    <mergeCell ref="C70:C121"/>
    <mergeCell ref="D70:D121"/>
    <mergeCell ref="E70:E74"/>
    <mergeCell ref="E75:E76"/>
    <mergeCell ref="E77:E79"/>
    <mergeCell ref="E80:E85"/>
    <mergeCell ref="E87:E89"/>
    <mergeCell ref="E90:E94"/>
    <mergeCell ref="E95:E101"/>
    <mergeCell ref="E102:E111"/>
    <mergeCell ref="E112:E113"/>
    <mergeCell ref="A55:A69"/>
    <mergeCell ref="B55:B69"/>
    <mergeCell ref="C55:C69"/>
    <mergeCell ref="D55:D69"/>
    <mergeCell ref="E55:E61"/>
    <mergeCell ref="E62:E66"/>
    <mergeCell ref="A29:A34"/>
    <mergeCell ref="B29:B34"/>
    <mergeCell ref="C29:C34"/>
    <mergeCell ref="D29:D34"/>
    <mergeCell ref="E29:E30"/>
    <mergeCell ref="A35:A54"/>
    <mergeCell ref="B35:B54"/>
    <mergeCell ref="C35:C54"/>
    <mergeCell ref="D35:D54"/>
    <mergeCell ref="E35:E36"/>
    <mergeCell ref="E39:E44"/>
    <mergeCell ref="E45:E47"/>
    <mergeCell ref="E48:E49"/>
    <mergeCell ref="A18:A28"/>
    <mergeCell ref="B18:B28"/>
    <mergeCell ref="C18:C28"/>
    <mergeCell ref="D18:D28"/>
    <mergeCell ref="E18:E19"/>
    <mergeCell ref="E20:E23"/>
    <mergeCell ref="A1:K1"/>
    <mergeCell ref="A3:A17"/>
    <mergeCell ref="B3:B17"/>
    <mergeCell ref="C3:C17"/>
    <mergeCell ref="D3:D17"/>
    <mergeCell ref="E3:E14"/>
    <mergeCell ref="K3:K17"/>
  </mergeCells>
  <phoneticPr fontId="1" type="noConversion"/>
  <printOptions horizontalCentered="1"/>
  <pageMargins left="0.51181102362204722" right="0.51181102362204722" top="0.74803149606299213" bottom="0.74803149606299213" header="0.31496062992125984" footer="0.31496062992125984"/>
  <pageSetup paperSize="9" scale="80" orientation="portrait" r:id="rId1"/>
  <headerFooter>
    <oddFooter>第 &amp;P 页，共 &amp;N 页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>
  <dimension ref="A1:XEV166"/>
  <sheetViews>
    <sheetView topLeftCell="A154" workbookViewId="0">
      <selection activeCell="J178" sqref="J178"/>
    </sheetView>
  </sheetViews>
  <sheetFormatPr defaultColWidth="7.875" defaultRowHeight="13.5"/>
  <cols>
    <col min="1" max="1" width="4.5" style="290" customWidth="1"/>
    <col min="2" max="2" width="6.25" style="290" customWidth="1"/>
    <col min="3" max="3" width="6.375" style="290" customWidth="1"/>
    <col min="4" max="4" width="15" style="290" customWidth="1"/>
    <col min="5" max="5" width="20.25" style="290" customWidth="1"/>
    <col min="6" max="6" width="5.625" style="290" customWidth="1"/>
    <col min="7" max="7" width="7.5" style="348" customWidth="1"/>
    <col min="8" max="8" width="12" style="318" customWidth="1"/>
    <col min="9" max="9" width="16.125" style="319" customWidth="1"/>
    <col min="10" max="10" width="16" style="290" customWidth="1"/>
    <col min="11" max="11" width="13.875" style="290" customWidth="1"/>
    <col min="12" max="247" width="7.875" style="290" customWidth="1"/>
    <col min="248" max="248" width="4.5" style="290" customWidth="1"/>
    <col min="249" max="249" width="6.25" style="290" customWidth="1"/>
    <col min="250" max="250" width="5.75" style="290" customWidth="1"/>
    <col min="251" max="251" width="7" style="290" customWidth="1"/>
    <col min="252" max="252" width="14.75" style="290" customWidth="1"/>
    <col min="253" max="253" width="13.875" style="290" customWidth="1"/>
    <col min="254" max="254" width="5.5" style="290" customWidth="1"/>
    <col min="255" max="255" width="6" style="290" customWidth="1"/>
    <col min="256" max="256" width="7.75" style="290" customWidth="1"/>
    <col min="257" max="257" width="11.875" style="290" customWidth="1"/>
    <col min="258" max="258" width="12.5" style="290" customWidth="1"/>
    <col min="259" max="264" width="7.875" style="290" customWidth="1"/>
    <col min="265" max="265" width="11" style="290" customWidth="1"/>
    <col min="266" max="503" width="7.875" style="290" customWidth="1"/>
    <col min="504" max="504" width="4.5" style="290" customWidth="1"/>
    <col min="505" max="505" width="6.25" style="290" customWidth="1"/>
    <col min="506" max="506" width="5.75" style="290" customWidth="1"/>
    <col min="507" max="507" width="7" style="290" customWidth="1"/>
    <col min="508" max="508" width="14.75" style="290" customWidth="1"/>
    <col min="509" max="509" width="13.875" style="290" customWidth="1"/>
    <col min="510" max="510" width="5.5" style="290" customWidth="1"/>
    <col min="511" max="511" width="6" style="290" customWidth="1"/>
    <col min="512" max="512" width="7.75" style="290" customWidth="1"/>
    <col min="513" max="513" width="11.875" style="290" customWidth="1"/>
    <col min="514" max="514" width="12.5" style="290" customWidth="1"/>
    <col min="515" max="520" width="7.875" style="290" customWidth="1"/>
    <col min="521" max="521" width="11" style="290" customWidth="1"/>
    <col min="522" max="759" width="7.875" style="290" customWidth="1"/>
    <col min="760" max="760" width="4.5" style="290" customWidth="1"/>
    <col min="761" max="761" width="6.25" style="290" customWidth="1"/>
    <col min="762" max="762" width="5.75" style="290" customWidth="1"/>
    <col min="763" max="763" width="7" style="290" customWidth="1"/>
    <col min="764" max="764" width="14.75" style="290" customWidth="1"/>
    <col min="765" max="765" width="13.875" style="290" customWidth="1"/>
    <col min="766" max="766" width="5.5" style="290" customWidth="1"/>
    <col min="767" max="767" width="6" style="290" customWidth="1"/>
    <col min="768" max="768" width="7.75" style="290" customWidth="1"/>
    <col min="769" max="769" width="11.875" style="290" customWidth="1"/>
    <col min="770" max="770" width="12.5" style="290" customWidth="1"/>
    <col min="771" max="776" width="7.875" style="290" customWidth="1"/>
    <col min="777" max="777" width="11" style="290" customWidth="1"/>
    <col min="778" max="1015" width="7.875" style="290" customWidth="1"/>
    <col min="1016" max="1016" width="4.5" style="290" customWidth="1"/>
    <col min="1017" max="1017" width="6.25" style="290" customWidth="1"/>
    <col min="1018" max="1018" width="5.75" style="290" customWidth="1"/>
    <col min="1019" max="1019" width="7" style="290" customWidth="1"/>
    <col min="1020" max="1020" width="14.75" style="290" customWidth="1"/>
    <col min="1021" max="1021" width="13.875" style="290" customWidth="1"/>
    <col min="1022" max="1022" width="5.5" style="290" customWidth="1"/>
    <col min="1023" max="1023" width="6" style="290" customWidth="1"/>
    <col min="1024" max="1024" width="7.75" style="290" customWidth="1"/>
    <col min="1025" max="1025" width="11.875" style="290" customWidth="1"/>
    <col min="1026" max="1026" width="12.5" style="290" customWidth="1"/>
    <col min="1027" max="1032" width="7.875" style="290" customWidth="1"/>
    <col min="1033" max="1033" width="11" style="290" customWidth="1"/>
    <col min="1034" max="1271" width="7.875" style="290" customWidth="1"/>
    <col min="1272" max="1272" width="4.5" style="290" customWidth="1"/>
    <col min="1273" max="1273" width="6.25" style="290" customWidth="1"/>
    <col min="1274" max="1274" width="5.75" style="290" customWidth="1"/>
    <col min="1275" max="1275" width="7" style="290" customWidth="1"/>
    <col min="1276" max="1276" width="14.75" style="290" customWidth="1"/>
    <col min="1277" max="1277" width="13.875" style="290" customWidth="1"/>
    <col min="1278" max="1278" width="5.5" style="290" customWidth="1"/>
    <col min="1279" max="1279" width="6" style="290" customWidth="1"/>
    <col min="1280" max="1280" width="7.75" style="290" customWidth="1"/>
    <col min="1281" max="1281" width="11.875" style="290" customWidth="1"/>
    <col min="1282" max="1282" width="12.5" style="290" customWidth="1"/>
    <col min="1283" max="1288" width="7.875" style="290" customWidth="1"/>
    <col min="1289" max="1289" width="11" style="290" customWidth="1"/>
    <col min="1290" max="1527" width="7.875" style="290" customWidth="1"/>
    <col min="1528" max="1528" width="4.5" style="290" customWidth="1"/>
    <col min="1529" max="1529" width="6.25" style="290" customWidth="1"/>
    <col min="1530" max="1530" width="5.75" style="290" customWidth="1"/>
    <col min="1531" max="1531" width="7" style="290" customWidth="1"/>
    <col min="1532" max="1532" width="14.75" style="290" customWidth="1"/>
    <col min="1533" max="1533" width="13.875" style="290" customWidth="1"/>
    <col min="1534" max="1534" width="5.5" style="290" customWidth="1"/>
    <col min="1535" max="1535" width="6" style="290" customWidth="1"/>
    <col min="1536" max="1536" width="7.75" style="290" customWidth="1"/>
    <col min="1537" max="1537" width="11.875" style="290" customWidth="1"/>
    <col min="1538" max="1538" width="12.5" style="290" customWidth="1"/>
    <col min="1539" max="1544" width="7.875" style="290" customWidth="1"/>
    <col min="1545" max="1545" width="11" style="290" customWidth="1"/>
    <col min="1546" max="1783" width="7.875" style="290" customWidth="1"/>
    <col min="1784" max="1784" width="4.5" style="290" customWidth="1"/>
    <col min="1785" max="1785" width="6.25" style="290" customWidth="1"/>
    <col min="1786" max="1786" width="5.75" style="290" customWidth="1"/>
    <col min="1787" max="1787" width="7" style="290" customWidth="1"/>
    <col min="1788" max="1788" width="14.75" style="290" customWidth="1"/>
    <col min="1789" max="1789" width="13.875" style="290" customWidth="1"/>
    <col min="1790" max="1790" width="5.5" style="290" customWidth="1"/>
    <col min="1791" max="1791" width="6" style="290" customWidth="1"/>
    <col min="1792" max="1792" width="7.75" style="290" customWidth="1"/>
    <col min="1793" max="1793" width="11.875" style="290" customWidth="1"/>
    <col min="1794" max="1794" width="12.5" style="290" customWidth="1"/>
    <col min="1795" max="1800" width="7.875" style="290" customWidth="1"/>
    <col min="1801" max="1801" width="11" style="290" customWidth="1"/>
    <col min="1802" max="2039" width="7.875" style="290" customWidth="1"/>
    <col min="2040" max="2040" width="4.5" style="290" customWidth="1"/>
    <col min="2041" max="2041" width="6.25" style="290" customWidth="1"/>
    <col min="2042" max="2042" width="5.75" style="290" customWidth="1"/>
    <col min="2043" max="2043" width="7" style="290" customWidth="1"/>
    <col min="2044" max="2044" width="14.75" style="290" customWidth="1"/>
    <col min="2045" max="2045" width="13.875" style="290" customWidth="1"/>
    <col min="2046" max="2046" width="5.5" style="290" customWidth="1"/>
    <col min="2047" max="2047" width="6" style="290" customWidth="1"/>
    <col min="2048" max="2048" width="7.75" style="290" customWidth="1"/>
    <col min="2049" max="2049" width="11.875" style="290" customWidth="1"/>
    <col min="2050" max="2050" width="12.5" style="290" customWidth="1"/>
    <col min="2051" max="2056" width="7.875" style="290" customWidth="1"/>
    <col min="2057" max="2057" width="11" style="290" customWidth="1"/>
    <col min="2058" max="2295" width="7.875" style="290" customWidth="1"/>
    <col min="2296" max="2296" width="4.5" style="290" customWidth="1"/>
    <col min="2297" max="2297" width="6.25" style="290" customWidth="1"/>
    <col min="2298" max="2298" width="5.75" style="290" customWidth="1"/>
    <col min="2299" max="2299" width="7" style="290" customWidth="1"/>
    <col min="2300" max="2300" width="14.75" style="290" customWidth="1"/>
    <col min="2301" max="2301" width="13.875" style="290" customWidth="1"/>
    <col min="2302" max="2302" width="5.5" style="290" customWidth="1"/>
    <col min="2303" max="2303" width="6" style="290" customWidth="1"/>
    <col min="2304" max="2304" width="7.75" style="290" customWidth="1"/>
    <col min="2305" max="2305" width="11.875" style="290" customWidth="1"/>
    <col min="2306" max="2306" width="12.5" style="290" customWidth="1"/>
    <col min="2307" max="2312" width="7.875" style="290" customWidth="1"/>
    <col min="2313" max="2313" width="11" style="290" customWidth="1"/>
    <col min="2314" max="2551" width="7.875" style="290" customWidth="1"/>
    <col min="2552" max="2552" width="4.5" style="290" customWidth="1"/>
    <col min="2553" max="2553" width="6.25" style="290" customWidth="1"/>
    <col min="2554" max="2554" width="5.75" style="290" customWidth="1"/>
    <col min="2555" max="2555" width="7" style="290" customWidth="1"/>
    <col min="2556" max="2556" width="14.75" style="290" customWidth="1"/>
    <col min="2557" max="2557" width="13.875" style="290" customWidth="1"/>
    <col min="2558" max="2558" width="5.5" style="290" customWidth="1"/>
    <col min="2559" max="2559" width="6" style="290" customWidth="1"/>
    <col min="2560" max="2560" width="7.75" style="290" customWidth="1"/>
    <col min="2561" max="2561" width="11.875" style="290" customWidth="1"/>
    <col min="2562" max="2562" width="12.5" style="290" customWidth="1"/>
    <col min="2563" max="2568" width="7.875" style="290" customWidth="1"/>
    <col min="2569" max="2569" width="11" style="290" customWidth="1"/>
    <col min="2570" max="2807" width="7.875" style="290" customWidth="1"/>
    <col min="2808" max="2808" width="4.5" style="290" customWidth="1"/>
    <col min="2809" max="2809" width="6.25" style="290" customWidth="1"/>
    <col min="2810" max="2810" width="5.75" style="290" customWidth="1"/>
    <col min="2811" max="2811" width="7" style="290" customWidth="1"/>
    <col min="2812" max="2812" width="14.75" style="290" customWidth="1"/>
    <col min="2813" max="2813" width="13.875" style="290" customWidth="1"/>
    <col min="2814" max="2814" width="5.5" style="290" customWidth="1"/>
    <col min="2815" max="2815" width="6" style="290" customWidth="1"/>
    <col min="2816" max="2816" width="7.75" style="290" customWidth="1"/>
    <col min="2817" max="2817" width="11.875" style="290" customWidth="1"/>
    <col min="2818" max="2818" width="12.5" style="290" customWidth="1"/>
    <col min="2819" max="2824" width="7.875" style="290" customWidth="1"/>
    <col min="2825" max="2825" width="11" style="290" customWidth="1"/>
    <col min="2826" max="3063" width="7.875" style="290" customWidth="1"/>
    <col min="3064" max="3064" width="4.5" style="290" customWidth="1"/>
    <col min="3065" max="3065" width="6.25" style="290" customWidth="1"/>
    <col min="3066" max="3066" width="5.75" style="290" customWidth="1"/>
    <col min="3067" max="3067" width="7" style="290" customWidth="1"/>
    <col min="3068" max="3068" width="14.75" style="290" customWidth="1"/>
    <col min="3069" max="3069" width="13.875" style="290" customWidth="1"/>
    <col min="3070" max="3070" width="5.5" style="290" customWidth="1"/>
    <col min="3071" max="3071" width="6" style="290" customWidth="1"/>
    <col min="3072" max="3072" width="7.75" style="290" customWidth="1"/>
    <col min="3073" max="3073" width="11.875" style="290" customWidth="1"/>
    <col min="3074" max="3074" width="12.5" style="290" customWidth="1"/>
    <col min="3075" max="3080" width="7.875" style="290" customWidth="1"/>
    <col min="3081" max="3081" width="11" style="290" customWidth="1"/>
    <col min="3082" max="3319" width="7.875" style="290" customWidth="1"/>
    <col min="3320" max="3320" width="4.5" style="290" customWidth="1"/>
    <col min="3321" max="3321" width="6.25" style="290" customWidth="1"/>
    <col min="3322" max="3322" width="5.75" style="290" customWidth="1"/>
    <col min="3323" max="3323" width="7" style="290" customWidth="1"/>
    <col min="3324" max="3324" width="14.75" style="290" customWidth="1"/>
    <col min="3325" max="3325" width="13.875" style="290" customWidth="1"/>
    <col min="3326" max="3326" width="5.5" style="290" customWidth="1"/>
    <col min="3327" max="3327" width="6" style="290" customWidth="1"/>
    <col min="3328" max="3328" width="7.75" style="290" customWidth="1"/>
    <col min="3329" max="3329" width="11.875" style="290" customWidth="1"/>
    <col min="3330" max="3330" width="12.5" style="290" customWidth="1"/>
    <col min="3331" max="3336" width="7.875" style="290" customWidth="1"/>
    <col min="3337" max="3337" width="11" style="290" customWidth="1"/>
    <col min="3338" max="3575" width="7.875" style="290" customWidth="1"/>
    <col min="3576" max="3576" width="4.5" style="290" customWidth="1"/>
    <col min="3577" max="3577" width="6.25" style="290" customWidth="1"/>
    <col min="3578" max="3578" width="5.75" style="290" customWidth="1"/>
    <col min="3579" max="3579" width="7" style="290" customWidth="1"/>
    <col min="3580" max="3580" width="14.75" style="290" customWidth="1"/>
    <col min="3581" max="3581" width="13.875" style="290" customWidth="1"/>
    <col min="3582" max="3582" width="5.5" style="290" customWidth="1"/>
    <col min="3583" max="3583" width="6" style="290" customWidth="1"/>
    <col min="3584" max="3584" width="7.75" style="290" customWidth="1"/>
    <col min="3585" max="3585" width="11.875" style="290" customWidth="1"/>
    <col min="3586" max="3586" width="12.5" style="290" customWidth="1"/>
    <col min="3587" max="3592" width="7.875" style="290" customWidth="1"/>
    <col min="3593" max="3593" width="11" style="290" customWidth="1"/>
    <col min="3594" max="3831" width="7.875" style="290" customWidth="1"/>
    <col min="3832" max="3832" width="4.5" style="290" customWidth="1"/>
    <col min="3833" max="3833" width="6.25" style="290" customWidth="1"/>
    <col min="3834" max="3834" width="5.75" style="290" customWidth="1"/>
    <col min="3835" max="3835" width="7" style="290" customWidth="1"/>
    <col min="3836" max="3836" width="14.75" style="290" customWidth="1"/>
    <col min="3837" max="3837" width="13.875" style="290" customWidth="1"/>
    <col min="3838" max="3838" width="5.5" style="290" customWidth="1"/>
    <col min="3839" max="3839" width="6" style="290" customWidth="1"/>
    <col min="3840" max="3840" width="7.75" style="290" customWidth="1"/>
    <col min="3841" max="3841" width="11.875" style="290" customWidth="1"/>
    <col min="3842" max="3842" width="12.5" style="290" customWidth="1"/>
    <col min="3843" max="3848" width="7.875" style="290" customWidth="1"/>
    <col min="3849" max="3849" width="11" style="290" customWidth="1"/>
    <col min="3850" max="4087" width="7.875" style="290" customWidth="1"/>
    <col min="4088" max="4088" width="4.5" style="290" customWidth="1"/>
    <col min="4089" max="4089" width="6.25" style="290" customWidth="1"/>
    <col min="4090" max="4090" width="5.75" style="290" customWidth="1"/>
    <col min="4091" max="4091" width="7" style="290" customWidth="1"/>
    <col min="4092" max="4092" width="14.75" style="290" customWidth="1"/>
    <col min="4093" max="4093" width="13.875" style="290" customWidth="1"/>
    <col min="4094" max="4094" width="5.5" style="290" customWidth="1"/>
    <col min="4095" max="4095" width="6" style="290" customWidth="1"/>
    <col min="4096" max="4096" width="7.75" style="290" customWidth="1"/>
    <col min="4097" max="4097" width="11.875" style="290" customWidth="1"/>
    <col min="4098" max="4098" width="12.5" style="290" customWidth="1"/>
    <col min="4099" max="4104" width="7.875" style="290" customWidth="1"/>
    <col min="4105" max="4105" width="11" style="290" customWidth="1"/>
    <col min="4106" max="4343" width="7.875" style="290" customWidth="1"/>
    <col min="4344" max="4344" width="4.5" style="290" customWidth="1"/>
    <col min="4345" max="4345" width="6.25" style="290" customWidth="1"/>
    <col min="4346" max="4346" width="5.75" style="290" customWidth="1"/>
    <col min="4347" max="4347" width="7" style="290" customWidth="1"/>
    <col min="4348" max="4348" width="14.75" style="290" customWidth="1"/>
    <col min="4349" max="4349" width="13.875" style="290" customWidth="1"/>
    <col min="4350" max="4350" width="5.5" style="290" customWidth="1"/>
    <col min="4351" max="4351" width="6" style="290" customWidth="1"/>
    <col min="4352" max="4352" width="7.75" style="290" customWidth="1"/>
    <col min="4353" max="4353" width="11.875" style="290" customWidth="1"/>
    <col min="4354" max="4354" width="12.5" style="290" customWidth="1"/>
    <col min="4355" max="4360" width="7.875" style="290" customWidth="1"/>
    <col min="4361" max="4361" width="11" style="290" customWidth="1"/>
    <col min="4362" max="4599" width="7.875" style="290" customWidth="1"/>
    <col min="4600" max="4600" width="4.5" style="290" customWidth="1"/>
    <col min="4601" max="4601" width="6.25" style="290" customWidth="1"/>
    <col min="4602" max="4602" width="5.75" style="290" customWidth="1"/>
    <col min="4603" max="4603" width="7" style="290" customWidth="1"/>
    <col min="4604" max="4604" width="14.75" style="290" customWidth="1"/>
    <col min="4605" max="4605" width="13.875" style="290" customWidth="1"/>
    <col min="4606" max="4606" width="5.5" style="290" customWidth="1"/>
    <col min="4607" max="4607" width="6" style="290" customWidth="1"/>
    <col min="4608" max="4608" width="7.75" style="290" customWidth="1"/>
    <col min="4609" max="4609" width="11.875" style="290" customWidth="1"/>
    <col min="4610" max="4610" width="12.5" style="290" customWidth="1"/>
    <col min="4611" max="4616" width="7.875" style="290" customWidth="1"/>
    <col min="4617" max="4617" width="11" style="290" customWidth="1"/>
    <col min="4618" max="4855" width="7.875" style="290" customWidth="1"/>
    <col min="4856" max="4856" width="4.5" style="290" customWidth="1"/>
    <col min="4857" max="4857" width="6.25" style="290" customWidth="1"/>
    <col min="4858" max="4858" width="5.75" style="290" customWidth="1"/>
    <col min="4859" max="4859" width="7" style="290" customWidth="1"/>
    <col min="4860" max="4860" width="14.75" style="290" customWidth="1"/>
    <col min="4861" max="4861" width="13.875" style="290" customWidth="1"/>
    <col min="4862" max="4862" width="5.5" style="290" customWidth="1"/>
    <col min="4863" max="4863" width="6" style="290" customWidth="1"/>
    <col min="4864" max="4864" width="7.75" style="290" customWidth="1"/>
    <col min="4865" max="4865" width="11.875" style="290" customWidth="1"/>
    <col min="4866" max="4866" width="12.5" style="290" customWidth="1"/>
    <col min="4867" max="4872" width="7.875" style="290" customWidth="1"/>
    <col min="4873" max="4873" width="11" style="290" customWidth="1"/>
    <col min="4874" max="5111" width="7.875" style="290" customWidth="1"/>
    <col min="5112" max="5112" width="4.5" style="290" customWidth="1"/>
    <col min="5113" max="5113" width="6.25" style="290" customWidth="1"/>
    <col min="5114" max="5114" width="5.75" style="290" customWidth="1"/>
    <col min="5115" max="5115" width="7" style="290" customWidth="1"/>
    <col min="5116" max="5116" width="14.75" style="290" customWidth="1"/>
    <col min="5117" max="5117" width="13.875" style="290" customWidth="1"/>
    <col min="5118" max="5118" width="5.5" style="290" customWidth="1"/>
    <col min="5119" max="5119" width="6" style="290" customWidth="1"/>
    <col min="5120" max="5120" width="7.75" style="290" customWidth="1"/>
    <col min="5121" max="5121" width="11.875" style="290" customWidth="1"/>
    <col min="5122" max="5122" width="12.5" style="290" customWidth="1"/>
    <col min="5123" max="5128" width="7.875" style="290" customWidth="1"/>
    <col min="5129" max="5129" width="11" style="290" customWidth="1"/>
    <col min="5130" max="5367" width="7.875" style="290" customWidth="1"/>
    <col min="5368" max="5368" width="4.5" style="290" customWidth="1"/>
    <col min="5369" max="5369" width="6.25" style="290" customWidth="1"/>
    <col min="5370" max="5370" width="5.75" style="290" customWidth="1"/>
    <col min="5371" max="5371" width="7" style="290" customWidth="1"/>
    <col min="5372" max="5372" width="14.75" style="290" customWidth="1"/>
    <col min="5373" max="5373" width="13.875" style="290" customWidth="1"/>
    <col min="5374" max="5374" width="5.5" style="290" customWidth="1"/>
    <col min="5375" max="5375" width="6" style="290" customWidth="1"/>
    <col min="5376" max="5376" width="7.75" style="290" customWidth="1"/>
    <col min="5377" max="5377" width="11.875" style="290" customWidth="1"/>
    <col min="5378" max="5378" width="12.5" style="290" customWidth="1"/>
    <col min="5379" max="5384" width="7.875" style="290" customWidth="1"/>
    <col min="5385" max="5385" width="11" style="290" customWidth="1"/>
    <col min="5386" max="5623" width="7.875" style="290" customWidth="1"/>
    <col min="5624" max="5624" width="4.5" style="290" customWidth="1"/>
    <col min="5625" max="5625" width="6.25" style="290" customWidth="1"/>
    <col min="5626" max="5626" width="5.75" style="290" customWidth="1"/>
    <col min="5627" max="5627" width="7" style="290" customWidth="1"/>
    <col min="5628" max="5628" width="14.75" style="290" customWidth="1"/>
    <col min="5629" max="5629" width="13.875" style="290" customWidth="1"/>
    <col min="5630" max="5630" width="5.5" style="290" customWidth="1"/>
    <col min="5631" max="5631" width="6" style="290" customWidth="1"/>
    <col min="5632" max="5632" width="7.75" style="290" customWidth="1"/>
    <col min="5633" max="5633" width="11.875" style="290" customWidth="1"/>
    <col min="5634" max="5634" width="12.5" style="290" customWidth="1"/>
    <col min="5635" max="5640" width="7.875" style="290" customWidth="1"/>
    <col min="5641" max="5641" width="11" style="290" customWidth="1"/>
    <col min="5642" max="5879" width="7.875" style="290" customWidth="1"/>
    <col min="5880" max="5880" width="4.5" style="290" customWidth="1"/>
    <col min="5881" max="5881" width="6.25" style="290" customWidth="1"/>
    <col min="5882" max="5882" width="5.75" style="290" customWidth="1"/>
    <col min="5883" max="5883" width="7" style="290" customWidth="1"/>
    <col min="5884" max="5884" width="14.75" style="290" customWidth="1"/>
    <col min="5885" max="5885" width="13.875" style="290" customWidth="1"/>
    <col min="5886" max="5886" width="5.5" style="290" customWidth="1"/>
    <col min="5887" max="5887" width="6" style="290" customWidth="1"/>
    <col min="5888" max="5888" width="7.75" style="290" customWidth="1"/>
    <col min="5889" max="5889" width="11.875" style="290" customWidth="1"/>
    <col min="5890" max="5890" width="12.5" style="290" customWidth="1"/>
    <col min="5891" max="5896" width="7.875" style="290" customWidth="1"/>
    <col min="5897" max="5897" width="11" style="290" customWidth="1"/>
    <col min="5898" max="6135" width="7.875" style="290" customWidth="1"/>
    <col min="6136" max="6136" width="4.5" style="290" customWidth="1"/>
    <col min="6137" max="6137" width="6.25" style="290" customWidth="1"/>
    <col min="6138" max="6138" width="5.75" style="290" customWidth="1"/>
    <col min="6139" max="6139" width="7" style="290" customWidth="1"/>
    <col min="6140" max="6140" width="14.75" style="290" customWidth="1"/>
    <col min="6141" max="6141" width="13.875" style="290" customWidth="1"/>
    <col min="6142" max="6142" width="5.5" style="290" customWidth="1"/>
    <col min="6143" max="6143" width="6" style="290" customWidth="1"/>
    <col min="6144" max="6144" width="7.75" style="290" customWidth="1"/>
    <col min="6145" max="6145" width="11.875" style="290" customWidth="1"/>
    <col min="6146" max="6146" width="12.5" style="290" customWidth="1"/>
    <col min="6147" max="6152" width="7.875" style="290" customWidth="1"/>
    <col min="6153" max="6153" width="11" style="290" customWidth="1"/>
    <col min="6154" max="6391" width="7.875" style="290" customWidth="1"/>
    <col min="6392" max="6392" width="4.5" style="290" customWidth="1"/>
    <col min="6393" max="6393" width="6.25" style="290" customWidth="1"/>
    <col min="6394" max="6394" width="5.75" style="290" customWidth="1"/>
    <col min="6395" max="6395" width="7" style="290" customWidth="1"/>
    <col min="6396" max="6396" width="14.75" style="290" customWidth="1"/>
    <col min="6397" max="6397" width="13.875" style="290" customWidth="1"/>
    <col min="6398" max="6398" width="5.5" style="290" customWidth="1"/>
    <col min="6399" max="6399" width="6" style="290" customWidth="1"/>
    <col min="6400" max="6400" width="7.75" style="290" customWidth="1"/>
    <col min="6401" max="6401" width="11.875" style="290" customWidth="1"/>
    <col min="6402" max="6402" width="12.5" style="290" customWidth="1"/>
    <col min="6403" max="6408" width="7.875" style="290" customWidth="1"/>
    <col min="6409" max="6409" width="11" style="290" customWidth="1"/>
    <col min="6410" max="6647" width="7.875" style="290" customWidth="1"/>
    <col min="6648" max="6648" width="4.5" style="290" customWidth="1"/>
    <col min="6649" max="6649" width="6.25" style="290" customWidth="1"/>
    <col min="6650" max="6650" width="5.75" style="290" customWidth="1"/>
    <col min="6651" max="6651" width="7" style="290" customWidth="1"/>
    <col min="6652" max="6652" width="14.75" style="290" customWidth="1"/>
    <col min="6653" max="6653" width="13.875" style="290" customWidth="1"/>
    <col min="6654" max="6654" width="5.5" style="290" customWidth="1"/>
    <col min="6655" max="6655" width="6" style="290" customWidth="1"/>
    <col min="6656" max="6656" width="7.75" style="290" customWidth="1"/>
    <col min="6657" max="6657" width="11.875" style="290" customWidth="1"/>
    <col min="6658" max="6658" width="12.5" style="290" customWidth="1"/>
    <col min="6659" max="6664" width="7.875" style="290" customWidth="1"/>
    <col min="6665" max="6665" width="11" style="290" customWidth="1"/>
    <col min="6666" max="6903" width="7.875" style="290" customWidth="1"/>
    <col min="6904" max="6904" width="4.5" style="290" customWidth="1"/>
    <col min="6905" max="6905" width="6.25" style="290" customWidth="1"/>
    <col min="6906" max="6906" width="5.75" style="290" customWidth="1"/>
    <col min="6907" max="6907" width="7" style="290" customWidth="1"/>
    <col min="6908" max="6908" width="14.75" style="290" customWidth="1"/>
    <col min="6909" max="6909" width="13.875" style="290" customWidth="1"/>
    <col min="6910" max="6910" width="5.5" style="290" customWidth="1"/>
    <col min="6911" max="6911" width="6" style="290" customWidth="1"/>
    <col min="6912" max="6912" width="7.75" style="290" customWidth="1"/>
    <col min="6913" max="6913" width="11.875" style="290" customWidth="1"/>
    <col min="6914" max="6914" width="12.5" style="290" customWidth="1"/>
    <col min="6915" max="6920" width="7.875" style="290" customWidth="1"/>
    <col min="6921" max="6921" width="11" style="290" customWidth="1"/>
    <col min="6922" max="7159" width="7.875" style="290" customWidth="1"/>
    <col min="7160" max="7160" width="4.5" style="290" customWidth="1"/>
    <col min="7161" max="7161" width="6.25" style="290" customWidth="1"/>
    <col min="7162" max="7162" width="5.75" style="290" customWidth="1"/>
    <col min="7163" max="7163" width="7" style="290" customWidth="1"/>
    <col min="7164" max="7164" width="14.75" style="290" customWidth="1"/>
    <col min="7165" max="7165" width="13.875" style="290" customWidth="1"/>
    <col min="7166" max="7166" width="5.5" style="290" customWidth="1"/>
    <col min="7167" max="7167" width="6" style="290" customWidth="1"/>
    <col min="7168" max="7168" width="7.75" style="290" customWidth="1"/>
    <col min="7169" max="7169" width="11.875" style="290" customWidth="1"/>
    <col min="7170" max="7170" width="12.5" style="290" customWidth="1"/>
    <col min="7171" max="7176" width="7.875" style="290" customWidth="1"/>
    <col min="7177" max="7177" width="11" style="290" customWidth="1"/>
    <col min="7178" max="7415" width="7.875" style="290" customWidth="1"/>
    <col min="7416" max="7416" width="4.5" style="290" customWidth="1"/>
    <col min="7417" max="7417" width="6.25" style="290" customWidth="1"/>
    <col min="7418" max="7418" width="5.75" style="290" customWidth="1"/>
    <col min="7419" max="7419" width="7" style="290" customWidth="1"/>
    <col min="7420" max="7420" width="14.75" style="290" customWidth="1"/>
    <col min="7421" max="7421" width="13.875" style="290" customWidth="1"/>
    <col min="7422" max="7422" width="5.5" style="290" customWidth="1"/>
    <col min="7423" max="7423" width="6" style="290" customWidth="1"/>
    <col min="7424" max="7424" width="7.75" style="290" customWidth="1"/>
    <col min="7425" max="7425" width="11.875" style="290" customWidth="1"/>
    <col min="7426" max="7426" width="12.5" style="290" customWidth="1"/>
    <col min="7427" max="7432" width="7.875" style="290" customWidth="1"/>
    <col min="7433" max="7433" width="11" style="290" customWidth="1"/>
    <col min="7434" max="7671" width="7.875" style="290" customWidth="1"/>
    <col min="7672" max="7672" width="4.5" style="290" customWidth="1"/>
    <col min="7673" max="7673" width="6.25" style="290" customWidth="1"/>
    <col min="7674" max="7674" width="5.75" style="290" customWidth="1"/>
    <col min="7675" max="7675" width="7" style="290" customWidth="1"/>
    <col min="7676" max="7676" width="14.75" style="290" customWidth="1"/>
    <col min="7677" max="7677" width="13.875" style="290" customWidth="1"/>
    <col min="7678" max="7678" width="5.5" style="290" customWidth="1"/>
    <col min="7679" max="7679" width="6" style="290" customWidth="1"/>
    <col min="7680" max="7680" width="7.75" style="290" customWidth="1"/>
    <col min="7681" max="7681" width="11.875" style="290" customWidth="1"/>
    <col min="7682" max="7682" width="12.5" style="290" customWidth="1"/>
    <col min="7683" max="7688" width="7.875" style="290" customWidth="1"/>
    <col min="7689" max="7689" width="11" style="290" customWidth="1"/>
    <col min="7690" max="7927" width="7.875" style="290" customWidth="1"/>
    <col min="7928" max="7928" width="4.5" style="290" customWidth="1"/>
    <col min="7929" max="7929" width="6.25" style="290" customWidth="1"/>
    <col min="7930" max="7930" width="5.75" style="290" customWidth="1"/>
    <col min="7931" max="7931" width="7" style="290" customWidth="1"/>
    <col min="7932" max="7932" width="14.75" style="290" customWidth="1"/>
    <col min="7933" max="7933" width="13.875" style="290" customWidth="1"/>
    <col min="7934" max="7934" width="5.5" style="290" customWidth="1"/>
    <col min="7935" max="7935" width="6" style="290" customWidth="1"/>
    <col min="7936" max="7936" width="7.75" style="290" customWidth="1"/>
    <col min="7937" max="7937" width="11.875" style="290" customWidth="1"/>
    <col min="7938" max="7938" width="12.5" style="290" customWidth="1"/>
    <col min="7939" max="7944" width="7.875" style="290" customWidth="1"/>
    <col min="7945" max="7945" width="11" style="290" customWidth="1"/>
    <col min="7946" max="8183" width="7.875" style="290" customWidth="1"/>
    <col min="8184" max="8184" width="4.5" style="290" customWidth="1"/>
    <col min="8185" max="8185" width="6.25" style="290" customWidth="1"/>
    <col min="8186" max="8186" width="5.75" style="290" customWidth="1"/>
    <col min="8187" max="8187" width="7" style="290" customWidth="1"/>
    <col min="8188" max="8188" width="14.75" style="290" customWidth="1"/>
    <col min="8189" max="8189" width="13.875" style="290" customWidth="1"/>
    <col min="8190" max="8190" width="5.5" style="290" customWidth="1"/>
    <col min="8191" max="8191" width="6" style="290" customWidth="1"/>
    <col min="8192" max="8192" width="7.75" style="290" customWidth="1"/>
    <col min="8193" max="8193" width="11.875" style="290" customWidth="1"/>
    <col min="8194" max="8194" width="12.5" style="290" customWidth="1"/>
    <col min="8195" max="8200" width="7.875" style="290" customWidth="1"/>
    <col min="8201" max="8201" width="11" style="290" customWidth="1"/>
    <col min="8202" max="8439" width="7.875" style="290" customWidth="1"/>
    <col min="8440" max="8440" width="4.5" style="290" customWidth="1"/>
    <col min="8441" max="8441" width="6.25" style="290" customWidth="1"/>
    <col min="8442" max="8442" width="5.75" style="290" customWidth="1"/>
    <col min="8443" max="8443" width="7" style="290" customWidth="1"/>
    <col min="8444" max="8444" width="14.75" style="290" customWidth="1"/>
    <col min="8445" max="8445" width="13.875" style="290" customWidth="1"/>
    <col min="8446" max="8446" width="5.5" style="290" customWidth="1"/>
    <col min="8447" max="8447" width="6" style="290" customWidth="1"/>
    <col min="8448" max="8448" width="7.75" style="290" customWidth="1"/>
    <col min="8449" max="8449" width="11.875" style="290" customWidth="1"/>
    <col min="8450" max="8450" width="12.5" style="290" customWidth="1"/>
    <col min="8451" max="8456" width="7.875" style="290" customWidth="1"/>
    <col min="8457" max="8457" width="11" style="290" customWidth="1"/>
    <col min="8458" max="8695" width="7.875" style="290" customWidth="1"/>
    <col min="8696" max="8696" width="4.5" style="290" customWidth="1"/>
    <col min="8697" max="8697" width="6.25" style="290" customWidth="1"/>
    <col min="8698" max="8698" width="5.75" style="290" customWidth="1"/>
    <col min="8699" max="8699" width="7" style="290" customWidth="1"/>
    <col min="8700" max="8700" width="14.75" style="290" customWidth="1"/>
    <col min="8701" max="8701" width="13.875" style="290" customWidth="1"/>
    <col min="8702" max="8702" width="5.5" style="290" customWidth="1"/>
    <col min="8703" max="8703" width="6" style="290" customWidth="1"/>
    <col min="8704" max="8704" width="7.75" style="290" customWidth="1"/>
    <col min="8705" max="8705" width="11.875" style="290" customWidth="1"/>
    <col min="8706" max="8706" width="12.5" style="290" customWidth="1"/>
    <col min="8707" max="8712" width="7.875" style="290" customWidth="1"/>
    <col min="8713" max="8713" width="11" style="290" customWidth="1"/>
    <col min="8714" max="8951" width="7.875" style="290" customWidth="1"/>
    <col min="8952" max="8952" width="4.5" style="290" customWidth="1"/>
    <col min="8953" max="8953" width="6.25" style="290" customWidth="1"/>
    <col min="8954" max="8954" width="5.75" style="290" customWidth="1"/>
    <col min="8955" max="8955" width="7" style="290" customWidth="1"/>
    <col min="8956" max="8956" width="14.75" style="290" customWidth="1"/>
    <col min="8957" max="8957" width="13.875" style="290" customWidth="1"/>
    <col min="8958" max="8958" width="5.5" style="290" customWidth="1"/>
    <col min="8959" max="8959" width="6" style="290" customWidth="1"/>
    <col min="8960" max="8960" width="7.75" style="290" customWidth="1"/>
    <col min="8961" max="8961" width="11.875" style="290" customWidth="1"/>
    <col min="8962" max="8962" width="12.5" style="290" customWidth="1"/>
    <col min="8963" max="8968" width="7.875" style="290" customWidth="1"/>
    <col min="8969" max="8969" width="11" style="290" customWidth="1"/>
    <col min="8970" max="9207" width="7.875" style="290" customWidth="1"/>
    <col min="9208" max="9208" width="4.5" style="290" customWidth="1"/>
    <col min="9209" max="9209" width="6.25" style="290" customWidth="1"/>
    <col min="9210" max="9210" width="5.75" style="290" customWidth="1"/>
    <col min="9211" max="9211" width="7" style="290" customWidth="1"/>
    <col min="9212" max="9212" width="14.75" style="290" customWidth="1"/>
    <col min="9213" max="9213" width="13.875" style="290" customWidth="1"/>
    <col min="9214" max="9214" width="5.5" style="290" customWidth="1"/>
    <col min="9215" max="9215" width="6" style="290" customWidth="1"/>
    <col min="9216" max="9216" width="7.75" style="290" customWidth="1"/>
    <col min="9217" max="9217" width="11.875" style="290" customWidth="1"/>
    <col min="9218" max="9218" width="12.5" style="290" customWidth="1"/>
    <col min="9219" max="9224" width="7.875" style="290" customWidth="1"/>
    <col min="9225" max="9225" width="11" style="290" customWidth="1"/>
    <col min="9226" max="9463" width="7.875" style="290" customWidth="1"/>
    <col min="9464" max="9464" width="4.5" style="290" customWidth="1"/>
    <col min="9465" max="9465" width="6.25" style="290" customWidth="1"/>
    <col min="9466" max="9466" width="5.75" style="290" customWidth="1"/>
    <col min="9467" max="9467" width="7" style="290" customWidth="1"/>
    <col min="9468" max="9468" width="14.75" style="290" customWidth="1"/>
    <col min="9469" max="9469" width="13.875" style="290" customWidth="1"/>
    <col min="9470" max="9470" width="5.5" style="290" customWidth="1"/>
    <col min="9471" max="9471" width="6" style="290" customWidth="1"/>
    <col min="9472" max="9472" width="7.75" style="290" customWidth="1"/>
    <col min="9473" max="9473" width="11.875" style="290" customWidth="1"/>
    <col min="9474" max="9474" width="12.5" style="290" customWidth="1"/>
    <col min="9475" max="9480" width="7.875" style="290" customWidth="1"/>
    <col min="9481" max="9481" width="11" style="290" customWidth="1"/>
    <col min="9482" max="9719" width="7.875" style="290" customWidth="1"/>
    <col min="9720" max="9720" width="4.5" style="290" customWidth="1"/>
    <col min="9721" max="9721" width="6.25" style="290" customWidth="1"/>
    <col min="9722" max="9722" width="5.75" style="290" customWidth="1"/>
    <col min="9723" max="9723" width="7" style="290" customWidth="1"/>
    <col min="9724" max="9724" width="14.75" style="290" customWidth="1"/>
    <col min="9725" max="9725" width="13.875" style="290" customWidth="1"/>
    <col min="9726" max="9726" width="5.5" style="290" customWidth="1"/>
    <col min="9727" max="9727" width="6" style="290" customWidth="1"/>
    <col min="9728" max="9728" width="7.75" style="290" customWidth="1"/>
    <col min="9729" max="9729" width="11.875" style="290" customWidth="1"/>
    <col min="9730" max="9730" width="12.5" style="290" customWidth="1"/>
    <col min="9731" max="9736" width="7.875" style="290" customWidth="1"/>
    <col min="9737" max="9737" width="11" style="290" customWidth="1"/>
    <col min="9738" max="9975" width="7.875" style="290" customWidth="1"/>
    <col min="9976" max="9976" width="4.5" style="290" customWidth="1"/>
    <col min="9977" max="9977" width="6.25" style="290" customWidth="1"/>
    <col min="9978" max="9978" width="5.75" style="290" customWidth="1"/>
    <col min="9979" max="9979" width="7" style="290" customWidth="1"/>
    <col min="9980" max="9980" width="14.75" style="290" customWidth="1"/>
    <col min="9981" max="9981" width="13.875" style="290" customWidth="1"/>
    <col min="9982" max="9982" width="5.5" style="290" customWidth="1"/>
    <col min="9983" max="9983" width="6" style="290" customWidth="1"/>
    <col min="9984" max="9984" width="7.75" style="290" customWidth="1"/>
    <col min="9985" max="9985" width="11.875" style="290" customWidth="1"/>
    <col min="9986" max="9986" width="12.5" style="290" customWidth="1"/>
    <col min="9987" max="9992" width="7.875" style="290" customWidth="1"/>
    <col min="9993" max="9993" width="11" style="290" customWidth="1"/>
    <col min="9994" max="10231" width="7.875" style="290" customWidth="1"/>
    <col min="10232" max="10232" width="4.5" style="290" customWidth="1"/>
    <col min="10233" max="10233" width="6.25" style="290" customWidth="1"/>
    <col min="10234" max="10234" width="5.75" style="290" customWidth="1"/>
    <col min="10235" max="10235" width="7" style="290" customWidth="1"/>
    <col min="10236" max="10236" width="14.75" style="290" customWidth="1"/>
    <col min="10237" max="10237" width="13.875" style="290" customWidth="1"/>
    <col min="10238" max="10238" width="5.5" style="290" customWidth="1"/>
    <col min="10239" max="10239" width="6" style="290" customWidth="1"/>
    <col min="10240" max="10240" width="7.75" style="290" customWidth="1"/>
    <col min="10241" max="10241" width="11.875" style="290" customWidth="1"/>
    <col min="10242" max="10242" width="12.5" style="290" customWidth="1"/>
    <col min="10243" max="10248" width="7.875" style="290" customWidth="1"/>
    <col min="10249" max="10249" width="11" style="290" customWidth="1"/>
    <col min="10250" max="10487" width="7.875" style="290" customWidth="1"/>
    <col min="10488" max="10488" width="4.5" style="290" customWidth="1"/>
    <col min="10489" max="10489" width="6.25" style="290" customWidth="1"/>
    <col min="10490" max="10490" width="5.75" style="290" customWidth="1"/>
    <col min="10491" max="10491" width="7" style="290" customWidth="1"/>
    <col min="10492" max="10492" width="14.75" style="290" customWidth="1"/>
    <col min="10493" max="10493" width="13.875" style="290" customWidth="1"/>
    <col min="10494" max="10494" width="5.5" style="290" customWidth="1"/>
    <col min="10495" max="10495" width="6" style="290" customWidth="1"/>
    <col min="10496" max="10496" width="7.75" style="290" customWidth="1"/>
    <col min="10497" max="10497" width="11.875" style="290" customWidth="1"/>
    <col min="10498" max="10498" width="12.5" style="290" customWidth="1"/>
    <col min="10499" max="10504" width="7.875" style="290" customWidth="1"/>
    <col min="10505" max="10505" width="11" style="290" customWidth="1"/>
    <col min="10506" max="10743" width="7.875" style="290" customWidth="1"/>
    <col min="10744" max="10744" width="4.5" style="290" customWidth="1"/>
    <col min="10745" max="10745" width="6.25" style="290" customWidth="1"/>
    <col min="10746" max="10746" width="5.75" style="290" customWidth="1"/>
    <col min="10747" max="10747" width="7" style="290" customWidth="1"/>
    <col min="10748" max="10748" width="14.75" style="290" customWidth="1"/>
    <col min="10749" max="10749" width="13.875" style="290" customWidth="1"/>
    <col min="10750" max="10750" width="5.5" style="290" customWidth="1"/>
    <col min="10751" max="10751" width="6" style="290" customWidth="1"/>
    <col min="10752" max="10752" width="7.75" style="290" customWidth="1"/>
    <col min="10753" max="10753" width="11.875" style="290" customWidth="1"/>
    <col min="10754" max="10754" width="12.5" style="290" customWidth="1"/>
    <col min="10755" max="10760" width="7.875" style="290" customWidth="1"/>
    <col min="10761" max="10761" width="11" style="290" customWidth="1"/>
    <col min="10762" max="10999" width="7.875" style="290" customWidth="1"/>
    <col min="11000" max="11000" width="4.5" style="290" customWidth="1"/>
    <col min="11001" max="11001" width="6.25" style="290" customWidth="1"/>
    <col min="11002" max="11002" width="5.75" style="290" customWidth="1"/>
    <col min="11003" max="11003" width="7" style="290" customWidth="1"/>
    <col min="11004" max="11004" width="14.75" style="290" customWidth="1"/>
    <col min="11005" max="11005" width="13.875" style="290" customWidth="1"/>
    <col min="11006" max="11006" width="5.5" style="290" customWidth="1"/>
    <col min="11007" max="11007" width="6" style="290" customWidth="1"/>
    <col min="11008" max="11008" width="7.75" style="290" customWidth="1"/>
    <col min="11009" max="11009" width="11.875" style="290" customWidth="1"/>
    <col min="11010" max="11010" width="12.5" style="290" customWidth="1"/>
    <col min="11011" max="11016" width="7.875" style="290" customWidth="1"/>
    <col min="11017" max="11017" width="11" style="290" customWidth="1"/>
    <col min="11018" max="11255" width="7.875" style="290" customWidth="1"/>
    <col min="11256" max="11256" width="4.5" style="290" customWidth="1"/>
    <col min="11257" max="11257" width="6.25" style="290" customWidth="1"/>
    <col min="11258" max="11258" width="5.75" style="290" customWidth="1"/>
    <col min="11259" max="11259" width="7" style="290" customWidth="1"/>
    <col min="11260" max="11260" width="14.75" style="290" customWidth="1"/>
    <col min="11261" max="11261" width="13.875" style="290" customWidth="1"/>
    <col min="11262" max="11262" width="5.5" style="290" customWidth="1"/>
    <col min="11263" max="11263" width="6" style="290" customWidth="1"/>
    <col min="11264" max="11264" width="7.75" style="290" customWidth="1"/>
    <col min="11265" max="11265" width="11.875" style="290" customWidth="1"/>
    <col min="11266" max="11266" width="12.5" style="290" customWidth="1"/>
    <col min="11267" max="11272" width="7.875" style="290" customWidth="1"/>
    <col min="11273" max="11273" width="11" style="290" customWidth="1"/>
    <col min="11274" max="11511" width="7.875" style="290" customWidth="1"/>
    <col min="11512" max="11512" width="4.5" style="290" customWidth="1"/>
    <col min="11513" max="11513" width="6.25" style="290" customWidth="1"/>
    <col min="11514" max="11514" width="5.75" style="290" customWidth="1"/>
    <col min="11515" max="11515" width="7" style="290" customWidth="1"/>
    <col min="11516" max="11516" width="14.75" style="290" customWidth="1"/>
    <col min="11517" max="11517" width="13.875" style="290" customWidth="1"/>
    <col min="11518" max="11518" width="5.5" style="290" customWidth="1"/>
    <col min="11519" max="11519" width="6" style="290" customWidth="1"/>
    <col min="11520" max="11520" width="7.75" style="290" customWidth="1"/>
    <col min="11521" max="11521" width="11.875" style="290" customWidth="1"/>
    <col min="11522" max="11522" width="12.5" style="290" customWidth="1"/>
    <col min="11523" max="11528" width="7.875" style="290" customWidth="1"/>
    <col min="11529" max="11529" width="11" style="290" customWidth="1"/>
    <col min="11530" max="11767" width="7.875" style="290" customWidth="1"/>
    <col min="11768" max="11768" width="4.5" style="290" customWidth="1"/>
    <col min="11769" max="11769" width="6.25" style="290" customWidth="1"/>
    <col min="11770" max="11770" width="5.75" style="290" customWidth="1"/>
    <col min="11771" max="11771" width="7" style="290" customWidth="1"/>
    <col min="11772" max="11772" width="14.75" style="290" customWidth="1"/>
    <col min="11773" max="11773" width="13.875" style="290" customWidth="1"/>
    <col min="11774" max="11774" width="5.5" style="290" customWidth="1"/>
    <col min="11775" max="11775" width="6" style="290" customWidth="1"/>
    <col min="11776" max="11776" width="7.75" style="290" customWidth="1"/>
    <col min="11777" max="11777" width="11.875" style="290" customWidth="1"/>
    <col min="11778" max="11778" width="12.5" style="290" customWidth="1"/>
    <col min="11779" max="11784" width="7.875" style="290" customWidth="1"/>
    <col min="11785" max="11785" width="11" style="290" customWidth="1"/>
    <col min="11786" max="12023" width="7.875" style="290" customWidth="1"/>
    <col min="12024" max="12024" width="4.5" style="290" customWidth="1"/>
    <col min="12025" max="12025" width="6.25" style="290" customWidth="1"/>
    <col min="12026" max="12026" width="5.75" style="290" customWidth="1"/>
    <col min="12027" max="12027" width="7" style="290" customWidth="1"/>
    <col min="12028" max="12028" width="14.75" style="290" customWidth="1"/>
    <col min="12029" max="12029" width="13.875" style="290" customWidth="1"/>
    <col min="12030" max="12030" width="5.5" style="290" customWidth="1"/>
    <col min="12031" max="12031" width="6" style="290" customWidth="1"/>
    <col min="12032" max="12032" width="7.75" style="290" customWidth="1"/>
    <col min="12033" max="12033" width="11.875" style="290" customWidth="1"/>
    <col min="12034" max="12034" width="12.5" style="290" customWidth="1"/>
    <col min="12035" max="12040" width="7.875" style="290" customWidth="1"/>
    <col min="12041" max="12041" width="11" style="290" customWidth="1"/>
    <col min="12042" max="12279" width="7.875" style="290" customWidth="1"/>
    <col min="12280" max="12280" width="4.5" style="290" customWidth="1"/>
    <col min="12281" max="12281" width="6.25" style="290" customWidth="1"/>
    <col min="12282" max="12282" width="5.75" style="290" customWidth="1"/>
    <col min="12283" max="12283" width="7" style="290" customWidth="1"/>
    <col min="12284" max="12284" width="14.75" style="290" customWidth="1"/>
    <col min="12285" max="12285" width="13.875" style="290" customWidth="1"/>
    <col min="12286" max="12286" width="5.5" style="290" customWidth="1"/>
    <col min="12287" max="12287" width="6" style="290" customWidth="1"/>
    <col min="12288" max="12288" width="7.75" style="290" customWidth="1"/>
    <col min="12289" max="12289" width="11.875" style="290" customWidth="1"/>
    <col min="12290" max="12290" width="12.5" style="290" customWidth="1"/>
    <col min="12291" max="12296" width="7.875" style="290" customWidth="1"/>
    <col min="12297" max="12297" width="11" style="290" customWidth="1"/>
    <col min="12298" max="12535" width="7.875" style="290" customWidth="1"/>
    <col min="12536" max="12536" width="4.5" style="290" customWidth="1"/>
    <col min="12537" max="12537" width="6.25" style="290" customWidth="1"/>
    <col min="12538" max="12538" width="5.75" style="290" customWidth="1"/>
    <col min="12539" max="12539" width="7" style="290" customWidth="1"/>
    <col min="12540" max="12540" width="14.75" style="290" customWidth="1"/>
    <col min="12541" max="12541" width="13.875" style="290" customWidth="1"/>
    <col min="12542" max="12542" width="5.5" style="290" customWidth="1"/>
    <col min="12543" max="12543" width="6" style="290" customWidth="1"/>
    <col min="12544" max="12544" width="7.75" style="290" customWidth="1"/>
    <col min="12545" max="12545" width="11.875" style="290" customWidth="1"/>
    <col min="12546" max="12546" width="12.5" style="290" customWidth="1"/>
    <col min="12547" max="12552" width="7.875" style="290" customWidth="1"/>
    <col min="12553" max="12553" width="11" style="290" customWidth="1"/>
    <col min="12554" max="12791" width="7.875" style="290" customWidth="1"/>
    <col min="12792" max="12792" width="4.5" style="290" customWidth="1"/>
    <col min="12793" max="12793" width="6.25" style="290" customWidth="1"/>
    <col min="12794" max="12794" width="5.75" style="290" customWidth="1"/>
    <col min="12795" max="12795" width="7" style="290" customWidth="1"/>
    <col min="12796" max="12796" width="14.75" style="290" customWidth="1"/>
    <col min="12797" max="12797" width="13.875" style="290" customWidth="1"/>
    <col min="12798" max="12798" width="5.5" style="290" customWidth="1"/>
    <col min="12799" max="12799" width="6" style="290" customWidth="1"/>
    <col min="12800" max="12800" width="7.75" style="290" customWidth="1"/>
    <col min="12801" max="12801" width="11.875" style="290" customWidth="1"/>
    <col min="12802" max="12802" width="12.5" style="290" customWidth="1"/>
    <col min="12803" max="12808" width="7.875" style="290" customWidth="1"/>
    <col min="12809" max="12809" width="11" style="290" customWidth="1"/>
    <col min="12810" max="13047" width="7.875" style="290" customWidth="1"/>
    <col min="13048" max="13048" width="4.5" style="290" customWidth="1"/>
    <col min="13049" max="13049" width="6.25" style="290" customWidth="1"/>
    <col min="13050" max="13050" width="5.75" style="290" customWidth="1"/>
    <col min="13051" max="13051" width="7" style="290" customWidth="1"/>
    <col min="13052" max="13052" width="14.75" style="290" customWidth="1"/>
    <col min="13053" max="13053" width="13.875" style="290" customWidth="1"/>
    <col min="13054" max="13054" width="5.5" style="290" customWidth="1"/>
    <col min="13055" max="13055" width="6" style="290" customWidth="1"/>
    <col min="13056" max="13056" width="7.75" style="290" customWidth="1"/>
    <col min="13057" max="13057" width="11.875" style="290" customWidth="1"/>
    <col min="13058" max="13058" width="12.5" style="290" customWidth="1"/>
    <col min="13059" max="13064" width="7.875" style="290" customWidth="1"/>
    <col min="13065" max="13065" width="11" style="290" customWidth="1"/>
    <col min="13066" max="13303" width="7.875" style="290" customWidth="1"/>
    <col min="13304" max="13304" width="4.5" style="290" customWidth="1"/>
    <col min="13305" max="13305" width="6.25" style="290" customWidth="1"/>
    <col min="13306" max="13306" width="5.75" style="290" customWidth="1"/>
    <col min="13307" max="13307" width="7" style="290" customWidth="1"/>
    <col min="13308" max="13308" width="14.75" style="290" customWidth="1"/>
    <col min="13309" max="13309" width="13.875" style="290" customWidth="1"/>
    <col min="13310" max="13310" width="5.5" style="290" customWidth="1"/>
    <col min="13311" max="13311" width="6" style="290" customWidth="1"/>
    <col min="13312" max="13312" width="7.75" style="290" customWidth="1"/>
    <col min="13313" max="13313" width="11.875" style="290" customWidth="1"/>
    <col min="13314" max="13314" width="12.5" style="290" customWidth="1"/>
    <col min="13315" max="13320" width="7.875" style="290" customWidth="1"/>
    <col min="13321" max="13321" width="11" style="290" customWidth="1"/>
    <col min="13322" max="13559" width="7.875" style="290" customWidth="1"/>
    <col min="13560" max="13560" width="4.5" style="290" customWidth="1"/>
    <col min="13561" max="13561" width="6.25" style="290" customWidth="1"/>
    <col min="13562" max="13562" width="5.75" style="290" customWidth="1"/>
    <col min="13563" max="13563" width="7" style="290" customWidth="1"/>
    <col min="13564" max="13564" width="14.75" style="290" customWidth="1"/>
    <col min="13565" max="13565" width="13.875" style="290" customWidth="1"/>
    <col min="13566" max="13566" width="5.5" style="290" customWidth="1"/>
    <col min="13567" max="13567" width="6" style="290" customWidth="1"/>
    <col min="13568" max="13568" width="7.75" style="290" customWidth="1"/>
    <col min="13569" max="13569" width="11.875" style="290" customWidth="1"/>
    <col min="13570" max="13570" width="12.5" style="290" customWidth="1"/>
    <col min="13571" max="13576" width="7.875" style="290" customWidth="1"/>
    <col min="13577" max="13577" width="11" style="290" customWidth="1"/>
    <col min="13578" max="13815" width="7.875" style="290" customWidth="1"/>
    <col min="13816" max="13816" width="4.5" style="290" customWidth="1"/>
    <col min="13817" max="13817" width="6.25" style="290" customWidth="1"/>
    <col min="13818" max="13818" width="5.75" style="290" customWidth="1"/>
    <col min="13819" max="13819" width="7" style="290" customWidth="1"/>
    <col min="13820" max="13820" width="14.75" style="290" customWidth="1"/>
    <col min="13821" max="13821" width="13.875" style="290" customWidth="1"/>
    <col min="13822" max="13822" width="5.5" style="290" customWidth="1"/>
    <col min="13823" max="13823" width="6" style="290" customWidth="1"/>
    <col min="13824" max="13824" width="7.75" style="290" customWidth="1"/>
    <col min="13825" max="13825" width="11.875" style="290" customWidth="1"/>
    <col min="13826" max="13826" width="12.5" style="290" customWidth="1"/>
    <col min="13827" max="13832" width="7.875" style="290" customWidth="1"/>
    <col min="13833" max="13833" width="11" style="290" customWidth="1"/>
    <col min="13834" max="14071" width="7.875" style="290" customWidth="1"/>
    <col min="14072" max="14072" width="4.5" style="290" customWidth="1"/>
    <col min="14073" max="14073" width="6.25" style="290" customWidth="1"/>
    <col min="14074" max="14074" width="5.75" style="290" customWidth="1"/>
    <col min="14075" max="14075" width="7" style="290" customWidth="1"/>
    <col min="14076" max="14076" width="14.75" style="290" customWidth="1"/>
    <col min="14077" max="14077" width="13.875" style="290" customWidth="1"/>
    <col min="14078" max="14078" width="5.5" style="290" customWidth="1"/>
    <col min="14079" max="14079" width="6" style="290" customWidth="1"/>
    <col min="14080" max="14080" width="7.75" style="290" customWidth="1"/>
    <col min="14081" max="14081" width="11.875" style="290" customWidth="1"/>
    <col min="14082" max="14082" width="12.5" style="290" customWidth="1"/>
    <col min="14083" max="14088" width="7.875" style="290" customWidth="1"/>
    <col min="14089" max="14089" width="11" style="290" customWidth="1"/>
    <col min="14090" max="14327" width="7.875" style="290" customWidth="1"/>
    <col min="14328" max="14328" width="4.5" style="290" customWidth="1"/>
    <col min="14329" max="14329" width="6.25" style="290" customWidth="1"/>
    <col min="14330" max="14330" width="5.75" style="290" customWidth="1"/>
    <col min="14331" max="14331" width="7" style="290" customWidth="1"/>
    <col min="14332" max="14332" width="14.75" style="290" customWidth="1"/>
    <col min="14333" max="14333" width="13.875" style="290" customWidth="1"/>
    <col min="14334" max="14334" width="5.5" style="290" customWidth="1"/>
    <col min="14335" max="14335" width="6" style="290" customWidth="1"/>
    <col min="14336" max="14336" width="7.75" style="290" customWidth="1"/>
    <col min="14337" max="14337" width="11.875" style="290" customWidth="1"/>
    <col min="14338" max="14338" width="12.5" style="290" customWidth="1"/>
    <col min="14339" max="14344" width="7.875" style="290" customWidth="1"/>
    <col min="14345" max="14345" width="11" style="290" customWidth="1"/>
    <col min="14346" max="14583" width="7.875" style="290" customWidth="1"/>
    <col min="14584" max="14584" width="4.5" style="290" customWidth="1"/>
    <col min="14585" max="14585" width="6.25" style="290" customWidth="1"/>
    <col min="14586" max="14586" width="5.75" style="290" customWidth="1"/>
    <col min="14587" max="14587" width="7" style="290" customWidth="1"/>
    <col min="14588" max="14588" width="14.75" style="290" customWidth="1"/>
    <col min="14589" max="14589" width="13.875" style="290" customWidth="1"/>
    <col min="14590" max="14590" width="5.5" style="290" customWidth="1"/>
    <col min="14591" max="14591" width="6" style="290" customWidth="1"/>
    <col min="14592" max="14592" width="7.75" style="290" customWidth="1"/>
    <col min="14593" max="14593" width="11.875" style="290" customWidth="1"/>
    <col min="14594" max="14594" width="12.5" style="290" customWidth="1"/>
    <col min="14595" max="14600" width="7.875" style="290" customWidth="1"/>
    <col min="14601" max="14601" width="11" style="290" customWidth="1"/>
    <col min="14602" max="14839" width="7.875" style="290" customWidth="1"/>
    <col min="14840" max="14840" width="4.5" style="290" customWidth="1"/>
    <col min="14841" max="14841" width="6.25" style="290" customWidth="1"/>
    <col min="14842" max="14842" width="5.75" style="290" customWidth="1"/>
    <col min="14843" max="14843" width="7" style="290" customWidth="1"/>
    <col min="14844" max="14844" width="14.75" style="290" customWidth="1"/>
    <col min="14845" max="14845" width="13.875" style="290" customWidth="1"/>
    <col min="14846" max="14846" width="5.5" style="290" customWidth="1"/>
    <col min="14847" max="14847" width="6" style="290" customWidth="1"/>
    <col min="14848" max="14848" width="7.75" style="290" customWidth="1"/>
    <col min="14849" max="14849" width="11.875" style="290" customWidth="1"/>
    <col min="14850" max="14850" width="12.5" style="290" customWidth="1"/>
    <col min="14851" max="14856" width="7.875" style="290" customWidth="1"/>
    <col min="14857" max="14857" width="11" style="290" customWidth="1"/>
    <col min="14858" max="15095" width="7.875" style="290" customWidth="1"/>
    <col min="15096" max="15096" width="4.5" style="290" customWidth="1"/>
    <col min="15097" max="15097" width="6.25" style="290" customWidth="1"/>
    <col min="15098" max="15098" width="5.75" style="290" customWidth="1"/>
    <col min="15099" max="15099" width="7" style="290" customWidth="1"/>
    <col min="15100" max="15100" width="14.75" style="290" customWidth="1"/>
    <col min="15101" max="15101" width="13.875" style="290" customWidth="1"/>
    <col min="15102" max="15102" width="5.5" style="290" customWidth="1"/>
    <col min="15103" max="15103" width="6" style="290" customWidth="1"/>
    <col min="15104" max="15104" width="7.75" style="290" customWidth="1"/>
    <col min="15105" max="15105" width="11.875" style="290" customWidth="1"/>
    <col min="15106" max="15106" width="12.5" style="290" customWidth="1"/>
    <col min="15107" max="15112" width="7.875" style="290" customWidth="1"/>
    <col min="15113" max="15113" width="11" style="290" customWidth="1"/>
    <col min="15114" max="15351" width="7.875" style="290" customWidth="1"/>
    <col min="15352" max="15352" width="4.5" style="290" customWidth="1"/>
    <col min="15353" max="15353" width="6.25" style="290" customWidth="1"/>
    <col min="15354" max="15354" width="5.75" style="290" customWidth="1"/>
    <col min="15355" max="15355" width="7" style="290" customWidth="1"/>
    <col min="15356" max="15356" width="14.75" style="290" customWidth="1"/>
    <col min="15357" max="15357" width="13.875" style="290" customWidth="1"/>
    <col min="15358" max="15358" width="5.5" style="290" customWidth="1"/>
    <col min="15359" max="15359" width="6" style="290" customWidth="1"/>
    <col min="15360" max="15360" width="7.75" style="290" customWidth="1"/>
    <col min="15361" max="15361" width="11.875" style="290" customWidth="1"/>
    <col min="15362" max="15362" width="12.5" style="290" customWidth="1"/>
    <col min="15363" max="15368" width="7.875" style="290" customWidth="1"/>
    <col min="15369" max="15369" width="11" style="290" customWidth="1"/>
    <col min="15370" max="15607" width="7.875" style="290" customWidth="1"/>
    <col min="15608" max="15608" width="4.5" style="290" customWidth="1"/>
    <col min="15609" max="15609" width="6.25" style="290" customWidth="1"/>
    <col min="15610" max="15610" width="5.75" style="290" customWidth="1"/>
    <col min="15611" max="15611" width="7" style="290" customWidth="1"/>
    <col min="15612" max="15612" width="14.75" style="290" customWidth="1"/>
    <col min="15613" max="15613" width="13.875" style="290" customWidth="1"/>
    <col min="15614" max="15614" width="5.5" style="290" customWidth="1"/>
    <col min="15615" max="15615" width="6" style="290" customWidth="1"/>
    <col min="15616" max="15616" width="7.75" style="290" customWidth="1"/>
    <col min="15617" max="15617" width="11.875" style="290" customWidth="1"/>
    <col min="15618" max="15618" width="12.5" style="290" customWidth="1"/>
    <col min="15619" max="15624" width="7.875" style="290" customWidth="1"/>
    <col min="15625" max="15625" width="11" style="290" customWidth="1"/>
    <col min="15626" max="15863" width="7.875" style="290" customWidth="1"/>
    <col min="15864" max="15864" width="4.5" style="290" customWidth="1"/>
    <col min="15865" max="15865" width="6.25" style="290" customWidth="1"/>
    <col min="15866" max="15866" width="5.75" style="290" customWidth="1"/>
    <col min="15867" max="15867" width="7" style="290" customWidth="1"/>
    <col min="15868" max="15868" width="14.75" style="290" customWidth="1"/>
    <col min="15869" max="15869" width="13.875" style="290" customWidth="1"/>
    <col min="15870" max="15870" width="5.5" style="290" customWidth="1"/>
    <col min="15871" max="15871" width="6" style="290" customWidth="1"/>
    <col min="15872" max="15872" width="7.75" style="290" customWidth="1"/>
    <col min="15873" max="15873" width="11.875" style="290" customWidth="1"/>
    <col min="15874" max="15874" width="12.5" style="290" customWidth="1"/>
    <col min="15875" max="15880" width="7.875" style="290" customWidth="1"/>
    <col min="15881" max="15881" width="11" style="290" customWidth="1"/>
    <col min="15882" max="16119" width="7.875" style="290" customWidth="1"/>
    <col min="16120" max="16120" width="4.5" style="290" customWidth="1"/>
    <col min="16121" max="16121" width="6.25" style="290" customWidth="1"/>
    <col min="16122" max="16122" width="5.75" style="290" customWidth="1"/>
    <col min="16123" max="16123" width="7" style="290" customWidth="1"/>
    <col min="16124" max="16124" width="14.75" style="290" customWidth="1"/>
    <col min="16125" max="16125" width="13.875" style="290" customWidth="1"/>
    <col min="16126" max="16126" width="5.5" style="290" customWidth="1"/>
    <col min="16127" max="16127" width="6" style="290" customWidth="1"/>
    <col min="16128" max="16128" width="7.75" style="290" customWidth="1"/>
    <col min="16129" max="16129" width="11.875" style="290" customWidth="1"/>
    <col min="16130" max="16130" width="12.5" style="290" customWidth="1"/>
    <col min="16131" max="16136" width="7.875" style="290" customWidth="1"/>
    <col min="16137" max="16137" width="11" style="290" customWidth="1"/>
    <col min="16138" max="16376" width="7.875" style="290" customWidth="1"/>
    <col min="16377" max="16384" width="7.875" style="240"/>
  </cols>
  <sheetData>
    <row r="1" spans="1:10" s="295" customFormat="1" ht="30" customHeight="1">
      <c r="A1" s="525" t="s">
        <v>1562</v>
      </c>
      <c r="B1" s="501"/>
      <c r="C1" s="501"/>
      <c r="D1" s="501"/>
      <c r="E1" s="501"/>
      <c r="F1" s="501"/>
      <c r="G1" s="501"/>
      <c r="H1" s="501"/>
      <c r="I1" s="501"/>
      <c r="J1" s="501"/>
    </row>
    <row r="2" spans="1:10" s="295" customFormat="1" ht="24.95" customHeight="1">
      <c r="A2" s="291" t="s">
        <v>12</v>
      </c>
      <c r="B2" s="291" t="s">
        <v>1040</v>
      </c>
      <c r="C2" s="291" t="s">
        <v>1042</v>
      </c>
      <c r="D2" s="291" t="s">
        <v>1043</v>
      </c>
      <c r="E2" s="291" t="s">
        <v>1044</v>
      </c>
      <c r="F2" s="291" t="s">
        <v>1</v>
      </c>
      <c r="G2" s="338" t="s">
        <v>1045</v>
      </c>
      <c r="H2" s="293" t="s">
        <v>1275</v>
      </c>
      <c r="I2" s="294" t="s">
        <v>1276</v>
      </c>
      <c r="J2" s="241" t="s">
        <v>1416</v>
      </c>
    </row>
    <row r="3" spans="1:10" ht="24.95" customHeight="1">
      <c r="A3" s="529">
        <v>1</v>
      </c>
      <c r="B3" s="529" t="s">
        <v>259</v>
      </c>
      <c r="C3" s="541" t="s">
        <v>1078</v>
      </c>
      <c r="D3" s="529" t="s">
        <v>1334</v>
      </c>
      <c r="E3" s="296" t="s">
        <v>1420</v>
      </c>
      <c r="F3" s="296" t="s">
        <v>1281</v>
      </c>
      <c r="G3" s="297">
        <v>1863</v>
      </c>
      <c r="H3" s="297">
        <v>209.7</v>
      </c>
      <c r="I3" s="298">
        <v>390671.1</v>
      </c>
      <c r="J3" s="530">
        <f>ROUND(I9*0.8,0)</f>
        <v>908440</v>
      </c>
    </row>
    <row r="4" spans="1:10" ht="24.95" customHeight="1">
      <c r="A4" s="529"/>
      <c r="B4" s="529"/>
      <c r="C4" s="541"/>
      <c r="D4" s="529"/>
      <c r="E4" s="296" t="s">
        <v>1421</v>
      </c>
      <c r="F4" s="296" t="s">
        <v>1281</v>
      </c>
      <c r="G4" s="297">
        <v>2052</v>
      </c>
      <c r="H4" s="297">
        <v>275.39999999999998</v>
      </c>
      <c r="I4" s="298">
        <v>565120.80000000005</v>
      </c>
      <c r="J4" s="530"/>
    </row>
    <row r="5" spans="1:10" ht="24.95" customHeight="1">
      <c r="A5" s="529"/>
      <c r="B5" s="529"/>
      <c r="C5" s="541"/>
      <c r="D5" s="529"/>
      <c r="E5" s="296" t="s">
        <v>1422</v>
      </c>
      <c r="F5" s="296" t="s">
        <v>1281</v>
      </c>
      <c r="G5" s="297">
        <v>37</v>
      </c>
      <c r="H5" s="297">
        <v>122.18</v>
      </c>
      <c r="I5" s="298">
        <v>4520.66</v>
      </c>
      <c r="J5" s="530"/>
    </row>
    <row r="6" spans="1:10" ht="24.95" customHeight="1">
      <c r="A6" s="529"/>
      <c r="B6" s="529"/>
      <c r="C6" s="541"/>
      <c r="D6" s="305" t="s">
        <v>1060</v>
      </c>
      <c r="E6" s="296"/>
      <c r="F6" s="296"/>
      <c r="G6" s="297"/>
      <c r="H6" s="297"/>
      <c r="I6" s="294">
        <v>960312.56</v>
      </c>
      <c r="J6" s="530"/>
    </row>
    <row r="7" spans="1:10" ht="24.95" customHeight="1">
      <c r="A7" s="529"/>
      <c r="B7" s="529"/>
      <c r="C7" s="541"/>
      <c r="D7" s="268" t="s">
        <v>1423</v>
      </c>
      <c r="E7" s="296"/>
      <c r="F7" s="296"/>
      <c r="G7" s="297"/>
      <c r="H7" s="297"/>
      <c r="I7" s="349">
        <v>115237.50719999999</v>
      </c>
      <c r="J7" s="530"/>
    </row>
    <row r="8" spans="1:10" ht="24.95" customHeight="1">
      <c r="A8" s="529"/>
      <c r="B8" s="529"/>
      <c r="C8" s="541"/>
      <c r="D8" s="256" t="s">
        <v>1318</v>
      </c>
      <c r="E8" s="296"/>
      <c r="F8" s="296" t="s">
        <v>1095</v>
      </c>
      <c r="G8" s="297">
        <v>2</v>
      </c>
      <c r="H8" s="297">
        <v>30000</v>
      </c>
      <c r="I8" s="350">
        <v>60000</v>
      </c>
      <c r="J8" s="530"/>
    </row>
    <row r="9" spans="1:10" ht="24.95" customHeight="1">
      <c r="A9" s="529"/>
      <c r="B9" s="529"/>
      <c r="C9" s="541"/>
      <c r="D9" s="305" t="s">
        <v>1062</v>
      </c>
      <c r="E9" s="296"/>
      <c r="F9" s="296"/>
      <c r="G9" s="297"/>
      <c r="H9" s="297"/>
      <c r="I9" s="294">
        <v>1135550.0671999999</v>
      </c>
      <c r="J9" s="530"/>
    </row>
    <row r="10" spans="1:10" ht="24.95" customHeight="1">
      <c r="A10" s="529">
        <v>2</v>
      </c>
      <c r="B10" s="529" t="s">
        <v>270</v>
      </c>
      <c r="C10" s="541" t="s">
        <v>1118</v>
      </c>
      <c r="D10" s="296" t="s">
        <v>1334</v>
      </c>
      <c r="E10" s="296" t="s">
        <v>1424</v>
      </c>
      <c r="F10" s="296" t="s">
        <v>1281</v>
      </c>
      <c r="G10" s="297">
        <v>1045</v>
      </c>
      <c r="H10" s="297">
        <v>288.2</v>
      </c>
      <c r="I10" s="298">
        <v>301169</v>
      </c>
      <c r="J10" s="530">
        <f>ROUND(I14*0.8,0)</f>
        <v>293847</v>
      </c>
    </row>
    <row r="11" spans="1:10" ht="24.95" customHeight="1">
      <c r="A11" s="529"/>
      <c r="B11" s="529"/>
      <c r="C11" s="541"/>
      <c r="D11" s="305" t="s">
        <v>1060</v>
      </c>
      <c r="E11" s="296"/>
      <c r="F11" s="296"/>
      <c r="G11" s="297"/>
      <c r="H11" s="297"/>
      <c r="I11" s="294">
        <v>301169</v>
      </c>
      <c r="J11" s="530"/>
    </row>
    <row r="12" spans="1:10" ht="24.95" customHeight="1">
      <c r="A12" s="529"/>
      <c r="B12" s="529"/>
      <c r="C12" s="541"/>
      <c r="D12" s="268" t="s">
        <v>1423</v>
      </c>
      <c r="E12" s="296"/>
      <c r="F12" s="296"/>
      <c r="G12" s="297"/>
      <c r="H12" s="297"/>
      <c r="I12" s="349">
        <v>36140.28</v>
      </c>
      <c r="J12" s="530"/>
    </row>
    <row r="13" spans="1:10" ht="24.95" customHeight="1">
      <c r="A13" s="529"/>
      <c r="B13" s="529"/>
      <c r="C13" s="541"/>
      <c r="D13" s="256" t="s">
        <v>1318</v>
      </c>
      <c r="E13" s="296"/>
      <c r="F13" s="296" t="s">
        <v>1095</v>
      </c>
      <c r="G13" s="297">
        <v>1</v>
      </c>
      <c r="H13" s="297">
        <v>30000</v>
      </c>
      <c r="I13" s="350">
        <v>30000</v>
      </c>
      <c r="J13" s="530"/>
    </row>
    <row r="14" spans="1:10" ht="24.95" customHeight="1">
      <c r="A14" s="529"/>
      <c r="B14" s="529"/>
      <c r="C14" s="541"/>
      <c r="D14" s="305" t="s">
        <v>1062</v>
      </c>
      <c r="E14" s="296"/>
      <c r="F14" s="296"/>
      <c r="G14" s="297"/>
      <c r="H14" s="297"/>
      <c r="I14" s="294">
        <v>367309.28</v>
      </c>
      <c r="J14" s="530"/>
    </row>
    <row r="15" spans="1:10" ht="24.95" customHeight="1">
      <c r="A15" s="529">
        <v>3</v>
      </c>
      <c r="B15" s="529" t="s">
        <v>793</v>
      </c>
      <c r="C15" s="541" t="s">
        <v>1078</v>
      </c>
      <c r="D15" s="529" t="s">
        <v>1334</v>
      </c>
      <c r="E15" s="296" t="s">
        <v>1425</v>
      </c>
      <c r="F15" s="296" t="s">
        <v>1281</v>
      </c>
      <c r="G15" s="297">
        <v>2702</v>
      </c>
      <c r="H15" s="297">
        <v>238.125</v>
      </c>
      <c r="I15" s="298">
        <v>643413.75</v>
      </c>
      <c r="J15" s="530">
        <f>ROUND(I20*0.8,0)</f>
        <v>1290395</v>
      </c>
    </row>
    <row r="16" spans="1:10" ht="24.95" customHeight="1">
      <c r="A16" s="529"/>
      <c r="B16" s="529"/>
      <c r="C16" s="541"/>
      <c r="D16" s="529"/>
      <c r="E16" s="296" t="s">
        <v>1426</v>
      </c>
      <c r="F16" s="296" t="s">
        <v>1281</v>
      </c>
      <c r="G16" s="297">
        <v>3545</v>
      </c>
      <c r="H16" s="297">
        <v>217.2</v>
      </c>
      <c r="I16" s="298">
        <v>769974</v>
      </c>
      <c r="J16" s="530"/>
    </row>
    <row r="17" spans="1:10" ht="24.95" customHeight="1">
      <c r="A17" s="529"/>
      <c r="B17" s="529"/>
      <c r="C17" s="541"/>
      <c r="D17" s="305" t="s">
        <v>1060</v>
      </c>
      <c r="E17" s="305"/>
      <c r="F17" s="305"/>
      <c r="G17" s="340"/>
      <c r="H17" s="340"/>
      <c r="I17" s="294">
        <v>1413387.75</v>
      </c>
      <c r="J17" s="530"/>
    </row>
    <row r="18" spans="1:10" ht="24.95" customHeight="1">
      <c r="A18" s="529"/>
      <c r="B18" s="529"/>
      <c r="C18" s="541"/>
      <c r="D18" s="268" t="s">
        <v>1423</v>
      </c>
      <c r="E18" s="305"/>
      <c r="F18" s="305"/>
      <c r="G18" s="340"/>
      <c r="H18" s="340"/>
      <c r="I18" s="349">
        <v>169606.53</v>
      </c>
      <c r="J18" s="530"/>
    </row>
    <row r="19" spans="1:10" ht="24.95" customHeight="1">
      <c r="A19" s="529"/>
      <c r="B19" s="529"/>
      <c r="C19" s="541"/>
      <c r="D19" s="256" t="s">
        <v>1318</v>
      </c>
      <c r="E19" s="296"/>
      <c r="F19" s="296" t="s">
        <v>1095</v>
      </c>
      <c r="G19" s="297">
        <v>1</v>
      </c>
      <c r="H19" s="297">
        <v>30000</v>
      </c>
      <c r="I19" s="350">
        <v>30000</v>
      </c>
      <c r="J19" s="530"/>
    </row>
    <row r="20" spans="1:10" ht="24.95" customHeight="1">
      <c r="A20" s="529"/>
      <c r="B20" s="529"/>
      <c r="C20" s="541"/>
      <c r="D20" s="305" t="s">
        <v>1062</v>
      </c>
      <c r="E20" s="296"/>
      <c r="F20" s="296"/>
      <c r="G20" s="297"/>
      <c r="H20" s="297"/>
      <c r="I20" s="294">
        <v>1612994.28</v>
      </c>
      <c r="J20" s="530"/>
    </row>
    <row r="21" spans="1:10" ht="24.95" customHeight="1">
      <c r="A21" s="542">
        <v>4</v>
      </c>
      <c r="B21" s="541" t="s">
        <v>1427</v>
      </c>
      <c r="C21" s="542" t="s">
        <v>1428</v>
      </c>
      <c r="D21" s="541" t="s">
        <v>1429</v>
      </c>
      <c r="E21" s="341" t="s">
        <v>1430</v>
      </c>
      <c r="F21" s="341" t="s">
        <v>1053</v>
      </c>
      <c r="G21" s="270">
        <v>477.58</v>
      </c>
      <c r="H21" s="309">
        <v>176</v>
      </c>
      <c r="I21" s="334">
        <v>84054.080000000002</v>
      </c>
      <c r="J21" s="530">
        <f>ROUND(I56*0.8,0)</f>
        <v>1519436</v>
      </c>
    </row>
    <row r="22" spans="1:10" ht="24.95" customHeight="1">
      <c r="A22" s="542"/>
      <c r="B22" s="541"/>
      <c r="C22" s="542"/>
      <c r="D22" s="541"/>
      <c r="E22" s="341" t="s">
        <v>1431</v>
      </c>
      <c r="F22" s="342" t="s">
        <v>1053</v>
      </c>
      <c r="G22" s="270">
        <v>187.02</v>
      </c>
      <c r="H22" s="309">
        <v>226</v>
      </c>
      <c r="I22" s="334">
        <v>42266.52</v>
      </c>
      <c r="J22" s="530"/>
    </row>
    <row r="23" spans="1:10" ht="24.95" customHeight="1">
      <c r="A23" s="542"/>
      <c r="B23" s="541"/>
      <c r="C23" s="542"/>
      <c r="D23" s="541"/>
      <c r="E23" s="341" t="s">
        <v>1432</v>
      </c>
      <c r="F23" s="342" t="s">
        <v>1053</v>
      </c>
      <c r="G23" s="270">
        <v>250</v>
      </c>
      <c r="H23" s="309">
        <v>50</v>
      </c>
      <c r="I23" s="334">
        <v>12500</v>
      </c>
      <c r="J23" s="530"/>
    </row>
    <row r="24" spans="1:10" ht="24.95" customHeight="1">
      <c r="A24" s="542"/>
      <c r="B24" s="541"/>
      <c r="C24" s="542"/>
      <c r="D24" s="541"/>
      <c r="E24" s="341" t="s">
        <v>1433</v>
      </c>
      <c r="F24" s="342" t="s">
        <v>1053</v>
      </c>
      <c r="G24" s="270">
        <v>141.5</v>
      </c>
      <c r="H24" s="309">
        <v>260</v>
      </c>
      <c r="I24" s="334">
        <v>36790</v>
      </c>
      <c r="J24" s="530"/>
    </row>
    <row r="25" spans="1:10" ht="24.95" customHeight="1">
      <c r="A25" s="542"/>
      <c r="B25" s="541"/>
      <c r="C25" s="542"/>
      <c r="D25" s="541"/>
      <c r="E25" s="341" t="s">
        <v>1434</v>
      </c>
      <c r="F25" s="342" t="s">
        <v>1053</v>
      </c>
      <c r="G25" s="270">
        <v>10</v>
      </c>
      <c r="H25" s="309">
        <v>677.7</v>
      </c>
      <c r="I25" s="334">
        <v>6777</v>
      </c>
      <c r="J25" s="530"/>
    </row>
    <row r="26" spans="1:10" ht="24.95" customHeight="1">
      <c r="A26" s="542"/>
      <c r="B26" s="541"/>
      <c r="C26" s="542"/>
      <c r="D26" s="541" t="s">
        <v>1435</v>
      </c>
      <c r="E26" s="341" t="s">
        <v>1436</v>
      </c>
      <c r="F26" s="341" t="s">
        <v>1053</v>
      </c>
      <c r="G26" s="270">
        <v>374.76</v>
      </c>
      <c r="H26" s="309">
        <v>205</v>
      </c>
      <c r="I26" s="334">
        <v>76825.8</v>
      </c>
      <c r="J26" s="530"/>
    </row>
    <row r="27" spans="1:10" ht="24.95" customHeight="1">
      <c r="A27" s="542"/>
      <c r="B27" s="541"/>
      <c r="C27" s="542"/>
      <c r="D27" s="541"/>
      <c r="E27" s="296" t="s">
        <v>1437</v>
      </c>
      <c r="F27" s="341" t="s">
        <v>1053</v>
      </c>
      <c r="G27" s="270">
        <v>181.8</v>
      </c>
      <c r="H27" s="309">
        <v>168</v>
      </c>
      <c r="I27" s="334">
        <v>30542.400000000001</v>
      </c>
      <c r="J27" s="530"/>
    </row>
    <row r="28" spans="1:10" ht="24.95" customHeight="1">
      <c r="A28" s="542"/>
      <c r="B28" s="541"/>
      <c r="C28" s="542"/>
      <c r="D28" s="541" t="s">
        <v>1438</v>
      </c>
      <c r="E28" s="342" t="s">
        <v>1439</v>
      </c>
      <c r="F28" s="341" t="s">
        <v>1053</v>
      </c>
      <c r="G28" s="270">
        <v>94</v>
      </c>
      <c r="H28" s="309">
        <v>151</v>
      </c>
      <c r="I28" s="298">
        <v>14194</v>
      </c>
      <c r="J28" s="530"/>
    </row>
    <row r="29" spans="1:10" ht="24.95" customHeight="1">
      <c r="A29" s="542"/>
      <c r="B29" s="541"/>
      <c r="C29" s="542"/>
      <c r="D29" s="541"/>
      <c r="E29" s="342" t="s">
        <v>1440</v>
      </c>
      <c r="F29" s="341" t="s">
        <v>1053</v>
      </c>
      <c r="G29" s="270">
        <v>94</v>
      </c>
      <c r="H29" s="309">
        <v>50</v>
      </c>
      <c r="I29" s="298">
        <v>4700</v>
      </c>
      <c r="J29" s="530"/>
    </row>
    <row r="30" spans="1:10" ht="24.95" customHeight="1">
      <c r="A30" s="542"/>
      <c r="B30" s="541"/>
      <c r="C30" s="542"/>
      <c r="D30" s="541"/>
      <c r="E30" s="342" t="s">
        <v>1441</v>
      </c>
      <c r="F30" s="341" t="s">
        <v>1053</v>
      </c>
      <c r="G30" s="270">
        <v>12</v>
      </c>
      <c r="H30" s="309">
        <v>400</v>
      </c>
      <c r="I30" s="298">
        <v>4800</v>
      </c>
      <c r="J30" s="530"/>
    </row>
    <row r="31" spans="1:10" ht="24.95" customHeight="1">
      <c r="A31" s="542"/>
      <c r="B31" s="541"/>
      <c r="C31" s="542"/>
      <c r="D31" s="541"/>
      <c r="E31" s="341" t="s">
        <v>1442</v>
      </c>
      <c r="F31" s="342" t="s">
        <v>1302</v>
      </c>
      <c r="G31" s="270">
        <v>6</v>
      </c>
      <c r="H31" s="309">
        <v>750</v>
      </c>
      <c r="I31" s="334">
        <v>4500</v>
      </c>
      <c r="J31" s="530"/>
    </row>
    <row r="32" spans="1:10" ht="24.95" customHeight="1">
      <c r="A32" s="542"/>
      <c r="B32" s="541"/>
      <c r="C32" s="542"/>
      <c r="D32" s="541"/>
      <c r="E32" s="341" t="s">
        <v>1443</v>
      </c>
      <c r="F32" s="342" t="s">
        <v>1067</v>
      </c>
      <c r="G32" s="270">
        <v>6</v>
      </c>
      <c r="H32" s="309">
        <v>600</v>
      </c>
      <c r="I32" s="334">
        <v>3600</v>
      </c>
      <c r="J32" s="530"/>
    </row>
    <row r="33" spans="1:10" ht="24.95" customHeight="1">
      <c r="A33" s="542"/>
      <c r="B33" s="541"/>
      <c r="C33" s="542"/>
      <c r="D33" s="541"/>
      <c r="E33" s="341" t="s">
        <v>1444</v>
      </c>
      <c r="F33" s="341" t="s">
        <v>1095</v>
      </c>
      <c r="G33" s="270">
        <v>1</v>
      </c>
      <c r="H33" s="270">
        <v>5000</v>
      </c>
      <c r="I33" s="298">
        <v>5000</v>
      </c>
      <c r="J33" s="530"/>
    </row>
    <row r="34" spans="1:10" ht="24.95" customHeight="1">
      <c r="A34" s="542"/>
      <c r="B34" s="541"/>
      <c r="C34" s="542"/>
      <c r="D34" s="541" t="s">
        <v>1445</v>
      </c>
      <c r="E34" s="341" t="s">
        <v>1446</v>
      </c>
      <c r="F34" s="341" t="s">
        <v>1053</v>
      </c>
      <c r="G34" s="270">
        <v>500</v>
      </c>
      <c r="H34" s="309">
        <v>205</v>
      </c>
      <c r="I34" s="334">
        <v>102500</v>
      </c>
      <c r="J34" s="530"/>
    </row>
    <row r="35" spans="1:10" ht="24.95" customHeight="1">
      <c r="A35" s="542"/>
      <c r="B35" s="541"/>
      <c r="C35" s="542"/>
      <c r="D35" s="541"/>
      <c r="E35" s="296" t="s">
        <v>1447</v>
      </c>
      <c r="F35" s="341" t="s">
        <v>1053</v>
      </c>
      <c r="G35" s="270">
        <v>1364.46</v>
      </c>
      <c r="H35" s="309">
        <v>168</v>
      </c>
      <c r="I35" s="334">
        <v>229229.28</v>
      </c>
      <c r="J35" s="530"/>
    </row>
    <row r="36" spans="1:10" ht="24.95" customHeight="1">
      <c r="A36" s="542"/>
      <c r="B36" s="541"/>
      <c r="C36" s="542"/>
      <c r="D36" s="541"/>
      <c r="E36" s="296" t="s">
        <v>1448</v>
      </c>
      <c r="F36" s="341" t="s">
        <v>1067</v>
      </c>
      <c r="G36" s="270">
        <v>6</v>
      </c>
      <c r="H36" s="309">
        <v>2500</v>
      </c>
      <c r="I36" s="334">
        <v>15000</v>
      </c>
      <c r="J36" s="530"/>
    </row>
    <row r="37" spans="1:10" ht="24.95" customHeight="1">
      <c r="A37" s="542"/>
      <c r="B37" s="541"/>
      <c r="C37" s="542"/>
      <c r="D37" s="541"/>
      <c r="E37" s="296" t="s">
        <v>1449</v>
      </c>
      <c r="F37" s="341" t="s">
        <v>1053</v>
      </c>
      <c r="G37" s="270">
        <v>1500</v>
      </c>
      <c r="H37" s="309">
        <v>50</v>
      </c>
      <c r="I37" s="334">
        <v>75000</v>
      </c>
      <c r="J37" s="530"/>
    </row>
    <row r="38" spans="1:10" ht="24.95" customHeight="1">
      <c r="A38" s="542"/>
      <c r="B38" s="541"/>
      <c r="C38" s="542"/>
      <c r="D38" s="541" t="s">
        <v>1450</v>
      </c>
      <c r="E38" s="342" t="s">
        <v>1451</v>
      </c>
      <c r="F38" s="342" t="s">
        <v>1053</v>
      </c>
      <c r="G38" s="270">
        <v>47.86</v>
      </c>
      <c r="H38" s="309">
        <v>221.2</v>
      </c>
      <c r="I38" s="334">
        <v>10586.632</v>
      </c>
      <c r="J38" s="530"/>
    </row>
    <row r="39" spans="1:10" ht="24.95" customHeight="1">
      <c r="A39" s="542"/>
      <c r="B39" s="541"/>
      <c r="C39" s="542"/>
      <c r="D39" s="541"/>
      <c r="E39" s="342" t="s">
        <v>1452</v>
      </c>
      <c r="F39" s="342" t="s">
        <v>1053</v>
      </c>
      <c r="G39" s="270">
        <v>47.86</v>
      </c>
      <c r="H39" s="309">
        <v>560</v>
      </c>
      <c r="I39" s="334">
        <v>26801.599999999999</v>
      </c>
      <c r="J39" s="530"/>
    </row>
    <row r="40" spans="1:10" ht="24.95" customHeight="1">
      <c r="A40" s="542"/>
      <c r="B40" s="541"/>
      <c r="C40" s="542"/>
      <c r="D40" s="341"/>
      <c r="E40" s="342" t="s">
        <v>1453</v>
      </c>
      <c r="F40" s="342" t="s">
        <v>1053</v>
      </c>
      <c r="G40" s="339">
        <v>61.65</v>
      </c>
      <c r="H40" s="343">
        <v>126</v>
      </c>
      <c r="I40" s="351">
        <v>7767.9</v>
      </c>
      <c r="J40" s="530"/>
    </row>
    <row r="41" spans="1:10" ht="24.95" customHeight="1">
      <c r="A41" s="542"/>
      <c r="B41" s="541"/>
      <c r="C41" s="542"/>
      <c r="D41" s="541" t="s">
        <v>1454</v>
      </c>
      <c r="E41" s="342" t="s">
        <v>1455</v>
      </c>
      <c r="F41" s="342" t="s">
        <v>1053</v>
      </c>
      <c r="G41" s="270">
        <v>100</v>
      </c>
      <c r="H41" s="309">
        <v>50</v>
      </c>
      <c r="I41" s="334">
        <v>5000</v>
      </c>
      <c r="J41" s="530"/>
    </row>
    <row r="42" spans="1:10" ht="24.95" customHeight="1">
      <c r="A42" s="542"/>
      <c r="B42" s="541"/>
      <c r="C42" s="542"/>
      <c r="D42" s="541"/>
      <c r="E42" s="342" t="s">
        <v>1456</v>
      </c>
      <c r="F42" s="342" t="s">
        <v>1053</v>
      </c>
      <c r="G42" s="270">
        <v>3</v>
      </c>
      <c r="H42" s="309">
        <v>677.7</v>
      </c>
      <c r="I42" s="334">
        <v>2033.1</v>
      </c>
      <c r="J42" s="530"/>
    </row>
    <row r="43" spans="1:10" ht="24.95" customHeight="1">
      <c r="A43" s="542"/>
      <c r="B43" s="541"/>
      <c r="C43" s="542"/>
      <c r="D43" s="296" t="s">
        <v>1457</v>
      </c>
      <c r="E43" s="342" t="s">
        <v>1458</v>
      </c>
      <c r="F43" s="342" t="s">
        <v>1053</v>
      </c>
      <c r="G43" s="343">
        <v>478</v>
      </c>
      <c r="H43" s="343">
        <v>110</v>
      </c>
      <c r="I43" s="351">
        <v>52580</v>
      </c>
      <c r="J43" s="530"/>
    </row>
    <row r="44" spans="1:10" ht="24.95" customHeight="1">
      <c r="A44" s="542"/>
      <c r="B44" s="541"/>
      <c r="C44" s="541" t="s">
        <v>1459</v>
      </c>
      <c r="D44" s="529" t="s">
        <v>1460</v>
      </c>
      <c r="E44" s="341" t="s">
        <v>1461</v>
      </c>
      <c r="F44" s="341" t="s">
        <v>1053</v>
      </c>
      <c r="G44" s="309">
        <v>1023.9</v>
      </c>
      <c r="H44" s="270">
        <v>180</v>
      </c>
      <c r="I44" s="351">
        <v>184302</v>
      </c>
      <c r="J44" s="530"/>
    </row>
    <row r="45" spans="1:10" ht="24.95" customHeight="1">
      <c r="A45" s="542"/>
      <c r="B45" s="541"/>
      <c r="C45" s="541"/>
      <c r="D45" s="529"/>
      <c r="E45" s="342" t="s">
        <v>1462</v>
      </c>
      <c r="F45" s="341" t="s">
        <v>1095</v>
      </c>
      <c r="G45" s="270">
        <v>1</v>
      </c>
      <c r="H45" s="270">
        <v>150000</v>
      </c>
      <c r="I45" s="334">
        <v>150000</v>
      </c>
      <c r="J45" s="530"/>
    </row>
    <row r="46" spans="1:10" ht="24.95" customHeight="1">
      <c r="A46" s="542"/>
      <c r="B46" s="541"/>
      <c r="C46" s="541"/>
      <c r="D46" s="529"/>
      <c r="E46" s="296" t="s">
        <v>1424</v>
      </c>
      <c r="F46" s="341" t="s">
        <v>1053</v>
      </c>
      <c r="G46" s="309">
        <v>1500</v>
      </c>
      <c r="H46" s="270">
        <v>268</v>
      </c>
      <c r="I46" s="334">
        <v>402000</v>
      </c>
      <c r="J46" s="530"/>
    </row>
    <row r="47" spans="1:10" ht="24.95" customHeight="1">
      <c r="A47" s="542"/>
      <c r="B47" s="541"/>
      <c r="C47" s="541"/>
      <c r="D47" s="529"/>
      <c r="E47" s="341" t="s">
        <v>1463</v>
      </c>
      <c r="F47" s="341" t="s">
        <v>1095</v>
      </c>
      <c r="G47" s="339">
        <v>1</v>
      </c>
      <c r="H47" s="339">
        <v>10000</v>
      </c>
      <c r="I47" s="351">
        <v>10000</v>
      </c>
      <c r="J47" s="530"/>
    </row>
    <row r="48" spans="1:10" ht="24.95" customHeight="1">
      <c r="A48" s="542"/>
      <c r="B48" s="541"/>
      <c r="C48" s="541"/>
      <c r="D48" s="529"/>
      <c r="E48" s="296" t="s">
        <v>1464</v>
      </c>
      <c r="F48" s="341" t="s">
        <v>1095</v>
      </c>
      <c r="G48" s="339">
        <v>1</v>
      </c>
      <c r="H48" s="339">
        <v>20000</v>
      </c>
      <c r="I48" s="351">
        <v>20000</v>
      </c>
      <c r="J48" s="530"/>
    </row>
    <row r="49" spans="1:10" ht="24.95" customHeight="1">
      <c r="A49" s="542"/>
      <c r="B49" s="541"/>
      <c r="C49" s="541"/>
      <c r="D49" s="529"/>
      <c r="E49" s="341" t="s">
        <v>1465</v>
      </c>
      <c r="F49" s="341" t="s">
        <v>1095</v>
      </c>
      <c r="G49" s="270">
        <v>1</v>
      </c>
      <c r="H49" s="270">
        <v>50000</v>
      </c>
      <c r="I49" s="334">
        <v>50000</v>
      </c>
      <c r="J49" s="530"/>
    </row>
    <row r="50" spans="1:10" ht="24.95" customHeight="1">
      <c r="A50" s="542"/>
      <c r="B50" s="541"/>
      <c r="C50" s="342"/>
      <c r="D50" s="305" t="s">
        <v>1466</v>
      </c>
      <c r="E50" s="296"/>
      <c r="F50" s="296"/>
      <c r="G50" s="297"/>
      <c r="H50" s="297"/>
      <c r="I50" s="294">
        <v>1669350.3119999999</v>
      </c>
      <c r="J50" s="530"/>
    </row>
    <row r="51" spans="1:10" ht="24.95" customHeight="1">
      <c r="A51" s="542"/>
      <c r="B51" s="541"/>
      <c r="C51" s="342"/>
      <c r="D51" s="305" t="s">
        <v>1467</v>
      </c>
      <c r="E51" s="341"/>
      <c r="F51" s="342"/>
      <c r="G51" s="309"/>
      <c r="H51" s="309"/>
      <c r="I51" s="280">
        <v>166935.0312</v>
      </c>
      <c r="J51" s="530"/>
    </row>
    <row r="52" spans="1:10" ht="24.95" customHeight="1">
      <c r="A52" s="542"/>
      <c r="B52" s="541"/>
      <c r="C52" s="541"/>
      <c r="D52" s="342" t="s">
        <v>1141</v>
      </c>
      <c r="E52" s="342"/>
      <c r="F52" s="341" t="s">
        <v>1095</v>
      </c>
      <c r="G52" s="270">
        <v>1</v>
      </c>
      <c r="H52" s="270">
        <v>6009.6611231999996</v>
      </c>
      <c r="I52" s="334">
        <v>6009.6611231999996</v>
      </c>
      <c r="J52" s="530"/>
    </row>
    <row r="53" spans="1:10" ht="24.95" customHeight="1">
      <c r="A53" s="542"/>
      <c r="B53" s="541"/>
      <c r="C53" s="541"/>
      <c r="D53" s="342" t="s">
        <v>1115</v>
      </c>
      <c r="E53" s="342"/>
      <c r="F53" s="341" t="s">
        <v>1095</v>
      </c>
      <c r="G53" s="270">
        <v>1</v>
      </c>
      <c r="H53" s="270">
        <v>30000</v>
      </c>
      <c r="I53" s="334">
        <v>30000</v>
      </c>
      <c r="J53" s="530"/>
    </row>
    <row r="54" spans="1:10" ht="24.95" customHeight="1">
      <c r="A54" s="542"/>
      <c r="B54" s="541"/>
      <c r="C54" s="541"/>
      <c r="D54" s="342" t="s">
        <v>1468</v>
      </c>
      <c r="E54" s="342"/>
      <c r="F54" s="341" t="s">
        <v>1095</v>
      </c>
      <c r="G54" s="270"/>
      <c r="H54" s="270"/>
      <c r="I54" s="334"/>
      <c r="J54" s="530"/>
    </row>
    <row r="55" spans="1:10" ht="24.95" customHeight="1">
      <c r="A55" s="542"/>
      <c r="B55" s="541"/>
      <c r="C55" s="541"/>
      <c r="D55" s="296" t="s">
        <v>1081</v>
      </c>
      <c r="E55" s="296"/>
      <c r="F55" s="341" t="s">
        <v>1095</v>
      </c>
      <c r="G55" s="270">
        <v>30</v>
      </c>
      <c r="H55" s="270">
        <v>900</v>
      </c>
      <c r="I55" s="334">
        <v>27000</v>
      </c>
      <c r="J55" s="530"/>
    </row>
    <row r="56" spans="1:10" ht="24.95" customHeight="1">
      <c r="A56" s="542"/>
      <c r="B56" s="541"/>
      <c r="C56" s="320"/>
      <c r="D56" s="320" t="s">
        <v>1062</v>
      </c>
      <c r="E56" s="320"/>
      <c r="F56" s="320"/>
      <c r="G56" s="306"/>
      <c r="H56" s="306"/>
      <c r="I56" s="294">
        <v>1899295.0043232001</v>
      </c>
      <c r="J56" s="530"/>
    </row>
    <row r="57" spans="1:10" ht="24.95" customHeight="1">
      <c r="A57" s="529">
        <v>5</v>
      </c>
      <c r="B57" s="541" t="s">
        <v>1469</v>
      </c>
      <c r="C57" s="541" t="s">
        <v>1078</v>
      </c>
      <c r="D57" s="529" t="s">
        <v>1470</v>
      </c>
      <c r="E57" s="242" t="s">
        <v>1471</v>
      </c>
      <c r="F57" s="262"/>
      <c r="G57" s="343"/>
      <c r="H57" s="343"/>
      <c r="I57" s="351"/>
      <c r="J57" s="530">
        <f>ROUND(I86*0.8,0)</f>
        <v>646437</v>
      </c>
    </row>
    <row r="58" spans="1:10" ht="24.95" customHeight="1">
      <c r="A58" s="529"/>
      <c r="B58" s="541"/>
      <c r="C58" s="541"/>
      <c r="D58" s="529"/>
      <c r="E58" s="266" t="s">
        <v>1472</v>
      </c>
      <c r="F58" s="262" t="s">
        <v>1053</v>
      </c>
      <c r="G58" s="343">
        <v>140</v>
      </c>
      <c r="H58" s="343">
        <v>220</v>
      </c>
      <c r="I58" s="351">
        <v>30800</v>
      </c>
      <c r="J58" s="530"/>
    </row>
    <row r="59" spans="1:10" ht="24.95" customHeight="1">
      <c r="A59" s="529"/>
      <c r="B59" s="541"/>
      <c r="C59" s="541"/>
      <c r="D59" s="529"/>
      <c r="E59" s="266" t="s">
        <v>1473</v>
      </c>
      <c r="F59" s="262" t="s">
        <v>1053</v>
      </c>
      <c r="G59" s="343">
        <v>350</v>
      </c>
      <c r="H59" s="343">
        <v>189.9</v>
      </c>
      <c r="I59" s="351">
        <v>66465</v>
      </c>
      <c r="J59" s="530"/>
    </row>
    <row r="60" spans="1:10" ht="24.95" customHeight="1">
      <c r="A60" s="529"/>
      <c r="B60" s="541"/>
      <c r="C60" s="541"/>
      <c r="D60" s="529"/>
      <c r="E60" s="266" t="s">
        <v>1474</v>
      </c>
      <c r="F60" s="262" t="s">
        <v>1053</v>
      </c>
      <c r="G60" s="343">
        <v>504</v>
      </c>
      <c r="H60" s="343">
        <v>235.75</v>
      </c>
      <c r="I60" s="351">
        <v>118818</v>
      </c>
      <c r="J60" s="530"/>
    </row>
    <row r="61" spans="1:10" ht="24.95" customHeight="1">
      <c r="A61" s="529"/>
      <c r="B61" s="541"/>
      <c r="C61" s="541"/>
      <c r="D61" s="529"/>
      <c r="E61" s="266" t="s">
        <v>1475</v>
      </c>
      <c r="F61" s="262" t="s">
        <v>1053</v>
      </c>
      <c r="G61" s="343">
        <v>360</v>
      </c>
      <c r="H61" s="343">
        <v>150</v>
      </c>
      <c r="I61" s="351">
        <v>54000</v>
      </c>
      <c r="J61" s="530"/>
    </row>
    <row r="62" spans="1:10" ht="24.95" customHeight="1">
      <c r="A62" s="529"/>
      <c r="B62" s="541"/>
      <c r="C62" s="541"/>
      <c r="D62" s="529"/>
      <c r="E62" s="266" t="s">
        <v>1476</v>
      </c>
      <c r="F62" s="262" t="s">
        <v>1053</v>
      </c>
      <c r="G62" s="343">
        <v>395</v>
      </c>
      <c r="H62" s="343">
        <v>210</v>
      </c>
      <c r="I62" s="351">
        <v>82950</v>
      </c>
      <c r="J62" s="530"/>
    </row>
    <row r="63" spans="1:10" ht="24.95" customHeight="1">
      <c r="A63" s="529"/>
      <c r="B63" s="541"/>
      <c r="C63" s="541"/>
      <c r="D63" s="529"/>
      <c r="E63" s="266" t="s">
        <v>1477</v>
      </c>
      <c r="F63" s="262" t="s">
        <v>1053</v>
      </c>
      <c r="G63" s="343">
        <v>395</v>
      </c>
      <c r="H63" s="343">
        <v>90</v>
      </c>
      <c r="I63" s="351">
        <v>35550</v>
      </c>
      <c r="J63" s="530"/>
    </row>
    <row r="64" spans="1:10" ht="24.95" customHeight="1">
      <c r="A64" s="529"/>
      <c r="B64" s="541"/>
      <c r="C64" s="541"/>
      <c r="D64" s="529"/>
      <c r="E64" s="266" t="s">
        <v>1478</v>
      </c>
      <c r="F64" s="262" t="s">
        <v>1103</v>
      </c>
      <c r="G64" s="343">
        <v>10</v>
      </c>
      <c r="H64" s="343">
        <v>1600</v>
      </c>
      <c r="I64" s="351">
        <v>16000</v>
      </c>
      <c r="J64" s="530"/>
    </row>
    <row r="65" spans="1:10" ht="24.95" customHeight="1">
      <c r="A65" s="529"/>
      <c r="B65" s="541"/>
      <c r="C65" s="541"/>
      <c r="D65" s="529"/>
      <c r="E65" s="266" t="s">
        <v>1479</v>
      </c>
      <c r="F65" s="262" t="s">
        <v>1103</v>
      </c>
      <c r="G65" s="343">
        <v>4</v>
      </c>
      <c r="H65" s="343">
        <v>2500</v>
      </c>
      <c r="I65" s="351">
        <v>10000</v>
      </c>
      <c r="J65" s="530"/>
    </row>
    <row r="66" spans="1:10" ht="24.95" customHeight="1">
      <c r="A66" s="529"/>
      <c r="B66" s="541"/>
      <c r="C66" s="541"/>
      <c r="D66" s="529"/>
      <c r="E66" s="266" t="s">
        <v>1480</v>
      </c>
      <c r="F66" s="262" t="s">
        <v>1053</v>
      </c>
      <c r="G66" s="343">
        <v>30</v>
      </c>
      <c r="H66" s="343">
        <v>677.7</v>
      </c>
      <c r="I66" s="351">
        <v>20331</v>
      </c>
      <c r="J66" s="530"/>
    </row>
    <row r="67" spans="1:10" ht="24.95" customHeight="1">
      <c r="A67" s="529"/>
      <c r="B67" s="541"/>
      <c r="C67" s="541"/>
      <c r="D67" s="529"/>
      <c r="E67" s="266" t="s">
        <v>1481</v>
      </c>
      <c r="F67" s="262" t="s">
        <v>1302</v>
      </c>
      <c r="G67" s="343">
        <v>38</v>
      </c>
      <c r="H67" s="343">
        <v>230</v>
      </c>
      <c r="I67" s="351">
        <v>8740</v>
      </c>
      <c r="J67" s="530"/>
    </row>
    <row r="68" spans="1:10" ht="24.95" customHeight="1">
      <c r="A68" s="529"/>
      <c r="B68" s="541"/>
      <c r="C68" s="541"/>
      <c r="D68" s="529"/>
      <c r="E68" s="242" t="s">
        <v>1482</v>
      </c>
      <c r="F68" s="262"/>
      <c r="G68" s="343"/>
      <c r="H68" s="343"/>
      <c r="I68" s="351"/>
      <c r="J68" s="530"/>
    </row>
    <row r="69" spans="1:10" ht="24.95" customHeight="1">
      <c r="A69" s="529"/>
      <c r="B69" s="541"/>
      <c r="C69" s="541"/>
      <c r="D69" s="529"/>
      <c r="E69" s="266" t="s">
        <v>1473</v>
      </c>
      <c r="F69" s="262" t="s">
        <v>1053</v>
      </c>
      <c r="G69" s="343">
        <v>135</v>
      </c>
      <c r="H69" s="343">
        <v>210</v>
      </c>
      <c r="I69" s="351">
        <v>28350</v>
      </c>
      <c r="J69" s="530"/>
    </row>
    <row r="70" spans="1:10" ht="24.95" customHeight="1">
      <c r="A70" s="529"/>
      <c r="B70" s="541"/>
      <c r="C70" s="541"/>
      <c r="D70" s="529"/>
      <c r="E70" s="266" t="s">
        <v>1474</v>
      </c>
      <c r="F70" s="262" t="s">
        <v>1053</v>
      </c>
      <c r="G70" s="343">
        <v>80</v>
      </c>
      <c r="H70" s="343">
        <v>235.75</v>
      </c>
      <c r="I70" s="351">
        <v>18860</v>
      </c>
      <c r="J70" s="530"/>
    </row>
    <row r="71" spans="1:10" ht="24.95" customHeight="1">
      <c r="A71" s="529"/>
      <c r="B71" s="541"/>
      <c r="C71" s="541"/>
      <c r="D71" s="529"/>
      <c r="E71" s="266" t="s">
        <v>1483</v>
      </c>
      <c r="F71" s="262" t="s">
        <v>1053</v>
      </c>
      <c r="G71" s="343">
        <v>210</v>
      </c>
      <c r="H71" s="343">
        <v>47.5</v>
      </c>
      <c r="I71" s="351">
        <v>9975</v>
      </c>
      <c r="J71" s="530"/>
    </row>
    <row r="72" spans="1:10" ht="24.95" customHeight="1">
      <c r="A72" s="529"/>
      <c r="B72" s="541"/>
      <c r="C72" s="541"/>
      <c r="D72" s="529"/>
      <c r="E72" s="266" t="s">
        <v>1484</v>
      </c>
      <c r="F72" s="262" t="s">
        <v>1053</v>
      </c>
      <c r="G72" s="343">
        <v>110</v>
      </c>
      <c r="H72" s="343">
        <v>181.2</v>
      </c>
      <c r="I72" s="351">
        <v>19932</v>
      </c>
      <c r="J72" s="530"/>
    </row>
    <row r="73" spans="1:10" ht="24.95" customHeight="1">
      <c r="A73" s="529"/>
      <c r="B73" s="541"/>
      <c r="C73" s="541"/>
      <c r="D73" s="529"/>
      <c r="E73" s="266" t="s">
        <v>1476</v>
      </c>
      <c r="F73" s="262" t="s">
        <v>1053</v>
      </c>
      <c r="G73" s="343">
        <v>450</v>
      </c>
      <c r="H73" s="343">
        <v>210</v>
      </c>
      <c r="I73" s="351">
        <v>94500</v>
      </c>
      <c r="J73" s="530"/>
    </row>
    <row r="74" spans="1:10" ht="24.95" customHeight="1">
      <c r="A74" s="529"/>
      <c r="B74" s="541"/>
      <c r="C74" s="541"/>
      <c r="D74" s="529"/>
      <c r="E74" s="266" t="s">
        <v>1479</v>
      </c>
      <c r="F74" s="262" t="s">
        <v>1103</v>
      </c>
      <c r="G74" s="343">
        <v>3</v>
      </c>
      <c r="H74" s="343">
        <v>2500</v>
      </c>
      <c r="I74" s="351">
        <v>7500</v>
      </c>
      <c r="J74" s="530"/>
    </row>
    <row r="75" spans="1:10" ht="24.95" customHeight="1">
      <c r="A75" s="529"/>
      <c r="B75" s="541"/>
      <c r="C75" s="541"/>
      <c r="D75" s="529"/>
      <c r="E75" s="266" t="s">
        <v>1480</v>
      </c>
      <c r="F75" s="262" t="s">
        <v>1053</v>
      </c>
      <c r="G75" s="343"/>
      <c r="H75" s="343"/>
      <c r="I75" s="351"/>
      <c r="J75" s="530"/>
    </row>
    <row r="76" spans="1:10" ht="24.95" customHeight="1">
      <c r="A76" s="529"/>
      <c r="B76" s="541"/>
      <c r="C76" s="541"/>
      <c r="D76" s="529"/>
      <c r="E76" s="242" t="s">
        <v>1485</v>
      </c>
      <c r="F76" s="241"/>
      <c r="G76" s="343"/>
      <c r="H76" s="343"/>
      <c r="I76" s="351"/>
      <c r="J76" s="530"/>
    </row>
    <row r="77" spans="1:10" ht="24.95" customHeight="1">
      <c r="A77" s="529"/>
      <c r="B77" s="541"/>
      <c r="C77" s="541"/>
      <c r="D77" s="529"/>
      <c r="E77" s="266" t="s">
        <v>1486</v>
      </c>
      <c r="F77" s="266" t="s">
        <v>1344</v>
      </c>
      <c r="G77" s="343">
        <v>18</v>
      </c>
      <c r="H77" s="343">
        <v>300</v>
      </c>
      <c r="I77" s="351">
        <v>5400</v>
      </c>
      <c r="J77" s="530"/>
    </row>
    <row r="78" spans="1:10" ht="24.95" customHeight="1">
      <c r="A78" s="529"/>
      <c r="B78" s="541"/>
      <c r="C78" s="541"/>
      <c r="D78" s="529"/>
      <c r="E78" s="266" t="s">
        <v>1487</v>
      </c>
      <c r="F78" s="266" t="s">
        <v>1344</v>
      </c>
      <c r="G78" s="343">
        <v>8</v>
      </c>
      <c r="H78" s="343">
        <v>300</v>
      </c>
      <c r="I78" s="351">
        <v>2400</v>
      </c>
      <c r="J78" s="530"/>
    </row>
    <row r="79" spans="1:10" ht="24.95" customHeight="1">
      <c r="A79" s="529"/>
      <c r="B79" s="541"/>
      <c r="C79" s="541"/>
      <c r="D79" s="529"/>
      <c r="E79" s="266" t="s">
        <v>1488</v>
      </c>
      <c r="F79" s="266" t="s">
        <v>1058</v>
      </c>
      <c r="G79" s="343">
        <v>3</v>
      </c>
      <c r="H79" s="343">
        <v>420</v>
      </c>
      <c r="I79" s="351">
        <v>1260</v>
      </c>
      <c r="J79" s="530"/>
    </row>
    <row r="80" spans="1:10" ht="24.95" customHeight="1">
      <c r="A80" s="529"/>
      <c r="B80" s="541"/>
      <c r="C80" s="541"/>
      <c r="D80" s="529"/>
      <c r="E80" s="344" t="s">
        <v>1489</v>
      </c>
      <c r="F80" s="262"/>
      <c r="G80" s="343"/>
      <c r="H80" s="339"/>
      <c r="I80" s="351"/>
      <c r="J80" s="530"/>
    </row>
    <row r="81" spans="1:10" ht="24.95" customHeight="1">
      <c r="A81" s="529"/>
      <c r="B81" s="541"/>
      <c r="C81" s="541"/>
      <c r="D81" s="529"/>
      <c r="E81" s="266" t="s">
        <v>1490</v>
      </c>
      <c r="F81" s="262" t="s">
        <v>1095</v>
      </c>
      <c r="G81" s="343">
        <v>1</v>
      </c>
      <c r="H81" s="339">
        <v>19000</v>
      </c>
      <c r="I81" s="351">
        <v>19000</v>
      </c>
      <c r="J81" s="530"/>
    </row>
    <row r="82" spans="1:10" ht="24.95" customHeight="1">
      <c r="A82" s="529"/>
      <c r="B82" s="541"/>
      <c r="C82" s="541"/>
      <c r="D82" s="529"/>
      <c r="E82" s="296" t="s">
        <v>1491</v>
      </c>
      <c r="F82" s="296" t="s">
        <v>1095</v>
      </c>
      <c r="G82" s="343">
        <v>1</v>
      </c>
      <c r="H82" s="297">
        <v>52782</v>
      </c>
      <c r="I82" s="351">
        <v>52782</v>
      </c>
      <c r="J82" s="530"/>
    </row>
    <row r="83" spans="1:10" ht="24.95" customHeight="1">
      <c r="A83" s="529"/>
      <c r="B83" s="541"/>
      <c r="C83" s="541"/>
      <c r="D83" s="305" t="s">
        <v>1060</v>
      </c>
      <c r="E83" s="305"/>
      <c r="F83" s="345" t="s">
        <v>1344</v>
      </c>
      <c r="G83" s="340"/>
      <c r="H83" s="340"/>
      <c r="I83" s="294">
        <v>703613</v>
      </c>
      <c r="J83" s="530"/>
    </row>
    <row r="84" spans="1:10" ht="24.95" customHeight="1">
      <c r="A84" s="529"/>
      <c r="B84" s="541"/>
      <c r="C84" s="541"/>
      <c r="D84" s="346" t="s">
        <v>1423</v>
      </c>
      <c r="E84" s="305"/>
      <c r="F84" s="305"/>
      <c r="G84" s="340"/>
      <c r="H84" s="340"/>
      <c r="I84" s="349">
        <v>84433.56</v>
      </c>
      <c r="J84" s="530"/>
    </row>
    <row r="85" spans="1:10" ht="24.95" customHeight="1">
      <c r="A85" s="529"/>
      <c r="B85" s="541"/>
      <c r="C85" s="541"/>
      <c r="D85" s="347" t="s">
        <v>1492</v>
      </c>
      <c r="E85" s="296"/>
      <c r="F85" s="296"/>
      <c r="G85" s="297"/>
      <c r="H85" s="297"/>
      <c r="I85" s="350">
        <v>20000</v>
      </c>
      <c r="J85" s="530"/>
    </row>
    <row r="86" spans="1:10" ht="24.95" customHeight="1">
      <c r="A86" s="529"/>
      <c r="B86" s="541"/>
      <c r="C86" s="541"/>
      <c r="D86" s="305" t="s">
        <v>1062</v>
      </c>
      <c r="E86" s="296"/>
      <c r="F86" s="296"/>
      <c r="G86" s="297"/>
      <c r="H86" s="297"/>
      <c r="I86" s="294">
        <v>808046.56</v>
      </c>
      <c r="J86" s="530"/>
    </row>
    <row r="87" spans="1:10" ht="24.95" customHeight="1">
      <c r="A87" s="542">
        <v>6</v>
      </c>
      <c r="B87" s="541" t="s">
        <v>1493</v>
      </c>
      <c r="C87" s="542" t="s">
        <v>1078</v>
      </c>
      <c r="D87" s="529" t="s">
        <v>1494</v>
      </c>
      <c r="E87" s="266" t="s">
        <v>1495</v>
      </c>
      <c r="F87" s="266" t="s">
        <v>1053</v>
      </c>
      <c r="G87" s="270">
        <v>461.20800000000003</v>
      </c>
      <c r="H87" s="309">
        <v>50</v>
      </c>
      <c r="I87" s="298">
        <v>23060.400000000001</v>
      </c>
      <c r="J87" s="530">
        <f>ROUND(I134*0.8,0)</f>
        <v>4532967</v>
      </c>
    </row>
    <row r="88" spans="1:10" ht="24.95" customHeight="1">
      <c r="A88" s="542"/>
      <c r="B88" s="541"/>
      <c r="C88" s="542"/>
      <c r="D88" s="529"/>
      <c r="E88" s="266" t="s">
        <v>1496</v>
      </c>
      <c r="F88" s="266" t="s">
        <v>1053</v>
      </c>
      <c r="G88" s="270">
        <v>4930.866</v>
      </c>
      <c r="H88" s="309">
        <v>35</v>
      </c>
      <c r="I88" s="298">
        <v>172580.31</v>
      </c>
      <c r="J88" s="530"/>
    </row>
    <row r="89" spans="1:10" ht="24.95" customHeight="1">
      <c r="A89" s="542"/>
      <c r="B89" s="541"/>
      <c r="C89" s="542"/>
      <c r="D89" s="529"/>
      <c r="E89" s="266" t="s">
        <v>1497</v>
      </c>
      <c r="F89" s="266" t="s">
        <v>1053</v>
      </c>
      <c r="G89" s="270">
        <v>374.76</v>
      </c>
      <c r="H89" s="309">
        <v>260</v>
      </c>
      <c r="I89" s="298">
        <v>97437.6</v>
      </c>
      <c r="J89" s="530"/>
    </row>
    <row r="90" spans="1:10" ht="24.95" customHeight="1">
      <c r="A90" s="542"/>
      <c r="B90" s="541"/>
      <c r="C90" s="542"/>
      <c r="D90" s="296" t="s">
        <v>1498</v>
      </c>
      <c r="E90" s="266" t="s">
        <v>1499</v>
      </c>
      <c r="F90" s="266" t="s">
        <v>1053</v>
      </c>
      <c r="G90" s="270">
        <v>2085</v>
      </c>
      <c r="H90" s="309">
        <v>32</v>
      </c>
      <c r="I90" s="298">
        <v>66720</v>
      </c>
      <c r="J90" s="530"/>
    </row>
    <row r="91" spans="1:10" ht="24.95" customHeight="1">
      <c r="A91" s="542"/>
      <c r="B91" s="541"/>
      <c r="C91" s="542"/>
      <c r="D91" s="296" t="s">
        <v>1500</v>
      </c>
      <c r="E91" s="266" t="s">
        <v>1501</v>
      </c>
      <c r="F91" s="266" t="s">
        <v>1053</v>
      </c>
      <c r="G91" s="270">
        <v>2259.1999999999998</v>
      </c>
      <c r="H91" s="309">
        <v>100</v>
      </c>
      <c r="I91" s="298">
        <v>225920</v>
      </c>
      <c r="J91" s="530"/>
    </row>
    <row r="92" spans="1:10" ht="24.95" customHeight="1">
      <c r="A92" s="542"/>
      <c r="B92" s="541"/>
      <c r="C92" s="542"/>
      <c r="D92" s="529" t="s">
        <v>1502</v>
      </c>
      <c r="E92" s="266" t="s">
        <v>1503</v>
      </c>
      <c r="F92" s="266" t="s">
        <v>1053</v>
      </c>
      <c r="G92" s="270">
        <v>2085</v>
      </c>
      <c r="H92" s="309">
        <v>85</v>
      </c>
      <c r="I92" s="334">
        <v>177225</v>
      </c>
      <c r="J92" s="530"/>
    </row>
    <row r="93" spans="1:10" ht="24.95" customHeight="1">
      <c r="A93" s="542"/>
      <c r="B93" s="541"/>
      <c r="C93" s="542"/>
      <c r="D93" s="529"/>
      <c r="E93" s="266" t="s">
        <v>1504</v>
      </c>
      <c r="F93" s="262" t="s">
        <v>1053</v>
      </c>
      <c r="G93" s="270">
        <v>4000</v>
      </c>
      <c r="H93" s="309">
        <v>85</v>
      </c>
      <c r="I93" s="334">
        <v>340000</v>
      </c>
      <c r="J93" s="530"/>
    </row>
    <row r="94" spans="1:10" ht="24.95" customHeight="1">
      <c r="A94" s="542"/>
      <c r="B94" s="541"/>
      <c r="C94" s="542"/>
      <c r="D94" s="529"/>
      <c r="E94" s="266" t="s">
        <v>1505</v>
      </c>
      <c r="F94" s="262" t="s">
        <v>1053</v>
      </c>
      <c r="G94" s="270">
        <v>5479</v>
      </c>
      <c r="H94" s="309">
        <v>25</v>
      </c>
      <c r="I94" s="334">
        <v>136975</v>
      </c>
      <c r="J94" s="530"/>
    </row>
    <row r="95" spans="1:10" ht="24.95" customHeight="1">
      <c r="A95" s="542"/>
      <c r="B95" s="541"/>
      <c r="C95" s="542"/>
      <c r="D95" s="529"/>
      <c r="E95" s="266" t="s">
        <v>1506</v>
      </c>
      <c r="F95" s="266" t="s">
        <v>1095</v>
      </c>
      <c r="G95" s="270">
        <v>6</v>
      </c>
      <c r="H95" s="309">
        <v>300</v>
      </c>
      <c r="I95" s="334">
        <v>1800</v>
      </c>
      <c r="J95" s="530"/>
    </row>
    <row r="96" spans="1:10" ht="24.95" customHeight="1">
      <c r="A96" s="542"/>
      <c r="B96" s="541"/>
      <c r="C96" s="542"/>
      <c r="D96" s="529"/>
      <c r="E96" s="266" t="s">
        <v>1507</v>
      </c>
      <c r="F96" s="262" t="s">
        <v>1053</v>
      </c>
      <c r="G96" s="270">
        <v>4931.1000000000004</v>
      </c>
      <c r="H96" s="309">
        <v>25</v>
      </c>
      <c r="I96" s="334">
        <v>123277.5</v>
      </c>
      <c r="J96" s="530"/>
    </row>
    <row r="97" spans="1:10" ht="24.95" customHeight="1">
      <c r="A97" s="542"/>
      <c r="B97" s="541"/>
      <c r="C97" s="542"/>
      <c r="D97" s="529" t="s">
        <v>1508</v>
      </c>
      <c r="E97" s="266" t="s">
        <v>1439</v>
      </c>
      <c r="F97" s="266" t="s">
        <v>1053</v>
      </c>
      <c r="G97" s="270">
        <v>199.71</v>
      </c>
      <c r="H97" s="309">
        <v>160</v>
      </c>
      <c r="I97" s="298">
        <v>31953.599999999999</v>
      </c>
      <c r="J97" s="530"/>
    </row>
    <row r="98" spans="1:10" ht="24.95" customHeight="1">
      <c r="A98" s="542"/>
      <c r="B98" s="541"/>
      <c r="C98" s="542"/>
      <c r="D98" s="529"/>
      <c r="E98" s="266" t="s">
        <v>1509</v>
      </c>
      <c r="F98" s="266" t="s">
        <v>1053</v>
      </c>
      <c r="G98" s="270">
        <v>199.71</v>
      </c>
      <c r="H98" s="309">
        <v>50</v>
      </c>
      <c r="I98" s="298">
        <v>9985.5</v>
      </c>
      <c r="J98" s="530"/>
    </row>
    <row r="99" spans="1:10" ht="24.95" customHeight="1">
      <c r="A99" s="542"/>
      <c r="B99" s="541"/>
      <c r="C99" s="542"/>
      <c r="D99" s="529"/>
      <c r="E99" s="266" t="s">
        <v>1510</v>
      </c>
      <c r="F99" s="266" t="s">
        <v>1053</v>
      </c>
      <c r="G99" s="270">
        <v>3625.3209999999999</v>
      </c>
      <c r="H99" s="309">
        <v>25</v>
      </c>
      <c r="I99" s="298">
        <v>90633.024999999994</v>
      </c>
      <c r="J99" s="530"/>
    </row>
    <row r="100" spans="1:10" ht="24.95" customHeight="1">
      <c r="A100" s="542"/>
      <c r="B100" s="541"/>
      <c r="C100" s="542"/>
      <c r="D100" s="529" t="s">
        <v>1511</v>
      </c>
      <c r="E100" s="296" t="s">
        <v>1512</v>
      </c>
      <c r="F100" s="266" t="s">
        <v>1053</v>
      </c>
      <c r="G100" s="270">
        <v>819.46900000000005</v>
      </c>
      <c r="H100" s="309">
        <v>168</v>
      </c>
      <c r="I100" s="334">
        <v>137670.79199999999</v>
      </c>
      <c r="J100" s="530"/>
    </row>
    <row r="101" spans="1:10" ht="24.95" customHeight="1">
      <c r="A101" s="542"/>
      <c r="B101" s="541"/>
      <c r="C101" s="542"/>
      <c r="D101" s="529"/>
      <c r="E101" s="296" t="s">
        <v>1513</v>
      </c>
      <c r="F101" s="266" t="s">
        <v>1053</v>
      </c>
      <c r="G101" s="270">
        <v>1272.24</v>
      </c>
      <c r="H101" s="309">
        <v>189.9</v>
      </c>
      <c r="I101" s="334">
        <v>241598.37599999999</v>
      </c>
      <c r="J101" s="530"/>
    </row>
    <row r="102" spans="1:10" ht="24.95" customHeight="1">
      <c r="A102" s="542"/>
      <c r="B102" s="541"/>
      <c r="C102" s="542"/>
      <c r="D102" s="529" t="s">
        <v>1514</v>
      </c>
      <c r="E102" s="266" t="s">
        <v>1515</v>
      </c>
      <c r="F102" s="266" t="s">
        <v>1053</v>
      </c>
      <c r="G102" s="270">
        <v>3507.623</v>
      </c>
      <c r="H102" s="309">
        <v>47.5</v>
      </c>
      <c r="I102" s="334">
        <v>166612.0925</v>
      </c>
      <c r="J102" s="530"/>
    </row>
    <row r="103" spans="1:10" ht="24.95" customHeight="1">
      <c r="A103" s="542"/>
      <c r="B103" s="541"/>
      <c r="C103" s="542"/>
      <c r="D103" s="529"/>
      <c r="E103" s="266" t="s">
        <v>1516</v>
      </c>
      <c r="F103" s="266" t="s">
        <v>1053</v>
      </c>
      <c r="G103" s="270">
        <v>714.07</v>
      </c>
      <c r="H103" s="309">
        <v>214</v>
      </c>
      <c r="I103" s="334">
        <v>152810.98000000001</v>
      </c>
      <c r="J103" s="530"/>
    </row>
    <row r="104" spans="1:10" ht="24.95" customHeight="1">
      <c r="A104" s="542"/>
      <c r="B104" s="541"/>
      <c r="C104" s="542"/>
      <c r="D104" s="529"/>
      <c r="E104" s="266" t="s">
        <v>1517</v>
      </c>
      <c r="F104" s="266" t="s">
        <v>1053</v>
      </c>
      <c r="G104" s="270">
        <v>503.58</v>
      </c>
      <c r="H104" s="309">
        <v>214</v>
      </c>
      <c r="I104" s="334">
        <v>107766.12</v>
      </c>
      <c r="J104" s="530"/>
    </row>
    <row r="105" spans="1:10" ht="24.95" customHeight="1">
      <c r="A105" s="542"/>
      <c r="B105" s="541"/>
      <c r="C105" s="542"/>
      <c r="D105" s="529" t="s">
        <v>1518</v>
      </c>
      <c r="E105" s="266" t="s">
        <v>1519</v>
      </c>
      <c r="F105" s="262" t="s">
        <v>1103</v>
      </c>
      <c r="G105" s="309">
        <v>41</v>
      </c>
      <c r="H105" s="309">
        <v>1600</v>
      </c>
      <c r="I105" s="334">
        <v>65600</v>
      </c>
      <c r="J105" s="530"/>
    </row>
    <row r="106" spans="1:10" ht="24.95" customHeight="1">
      <c r="A106" s="542"/>
      <c r="B106" s="541"/>
      <c r="C106" s="542"/>
      <c r="D106" s="529"/>
      <c r="E106" s="266" t="s">
        <v>1520</v>
      </c>
      <c r="F106" s="262" t="s">
        <v>1103</v>
      </c>
      <c r="G106" s="309">
        <v>25</v>
      </c>
      <c r="H106" s="309">
        <v>1600</v>
      </c>
      <c r="I106" s="334">
        <v>40000</v>
      </c>
      <c r="J106" s="530"/>
    </row>
    <row r="107" spans="1:10" ht="24.95" customHeight="1">
      <c r="A107" s="542"/>
      <c r="B107" s="541"/>
      <c r="C107" s="542"/>
      <c r="D107" s="296" t="s">
        <v>1521</v>
      </c>
      <c r="E107" s="266" t="s">
        <v>1522</v>
      </c>
      <c r="F107" s="262" t="s">
        <v>1053</v>
      </c>
      <c r="G107" s="270">
        <v>4930.866</v>
      </c>
      <c r="H107" s="309">
        <v>130</v>
      </c>
      <c r="I107" s="334">
        <v>641012.57999999996</v>
      </c>
      <c r="J107" s="530"/>
    </row>
    <row r="108" spans="1:10" ht="24.95" customHeight="1">
      <c r="A108" s="542"/>
      <c r="B108" s="541"/>
      <c r="C108" s="542"/>
      <c r="D108" s="529" t="s">
        <v>1523</v>
      </c>
      <c r="E108" s="266" t="s">
        <v>1430</v>
      </c>
      <c r="F108" s="262" t="s">
        <v>1053</v>
      </c>
      <c r="G108" s="309">
        <v>905.36</v>
      </c>
      <c r="H108" s="309">
        <v>222.3</v>
      </c>
      <c r="I108" s="334">
        <v>201261.52799999999</v>
      </c>
      <c r="J108" s="530"/>
    </row>
    <row r="109" spans="1:10" ht="24.95" customHeight="1">
      <c r="A109" s="542"/>
      <c r="B109" s="541"/>
      <c r="C109" s="542"/>
      <c r="D109" s="529"/>
      <c r="E109" s="266" t="s">
        <v>1524</v>
      </c>
      <c r="F109" s="262" t="s">
        <v>1053</v>
      </c>
      <c r="G109" s="270">
        <v>771.96</v>
      </c>
      <c r="H109" s="309">
        <v>50</v>
      </c>
      <c r="I109" s="334">
        <v>38598</v>
      </c>
      <c r="J109" s="530"/>
    </row>
    <row r="110" spans="1:10" ht="24.95" customHeight="1">
      <c r="A110" s="542"/>
      <c r="B110" s="541"/>
      <c r="C110" s="542"/>
      <c r="D110" s="529"/>
      <c r="E110" s="266" t="s">
        <v>1508</v>
      </c>
      <c r="F110" s="262" t="s">
        <v>1053</v>
      </c>
      <c r="G110" s="270">
        <v>335</v>
      </c>
      <c r="H110" s="309">
        <v>150</v>
      </c>
      <c r="I110" s="334">
        <v>50250</v>
      </c>
      <c r="J110" s="530"/>
    </row>
    <row r="111" spans="1:10" ht="24.95" customHeight="1">
      <c r="A111" s="542"/>
      <c r="B111" s="541"/>
      <c r="C111" s="542"/>
      <c r="D111" s="529"/>
      <c r="E111" s="266" t="s">
        <v>1525</v>
      </c>
      <c r="F111" s="262" t="s">
        <v>1053</v>
      </c>
      <c r="G111" s="270">
        <v>247.8</v>
      </c>
      <c r="H111" s="309">
        <v>320</v>
      </c>
      <c r="I111" s="334">
        <v>79296</v>
      </c>
      <c r="J111" s="530"/>
    </row>
    <row r="112" spans="1:10" ht="24.95" customHeight="1">
      <c r="A112" s="542"/>
      <c r="B112" s="541"/>
      <c r="C112" s="542"/>
      <c r="D112" s="529"/>
      <c r="E112" s="266" t="s">
        <v>1526</v>
      </c>
      <c r="F112" s="262" t="s">
        <v>1053</v>
      </c>
      <c r="G112" s="309">
        <v>20</v>
      </c>
      <c r="H112" s="309">
        <v>750</v>
      </c>
      <c r="I112" s="334">
        <v>15000</v>
      </c>
      <c r="J112" s="530"/>
    </row>
    <row r="113" spans="1:10" ht="24.95" customHeight="1">
      <c r="A113" s="542"/>
      <c r="B113" s="541"/>
      <c r="C113" s="542"/>
      <c r="D113" s="529"/>
      <c r="E113" s="266" t="s">
        <v>1527</v>
      </c>
      <c r="F113" s="262" t="s">
        <v>1053</v>
      </c>
      <c r="G113" s="309">
        <v>27</v>
      </c>
      <c r="H113" s="309">
        <v>750</v>
      </c>
      <c r="I113" s="334">
        <v>20250</v>
      </c>
      <c r="J113" s="530"/>
    </row>
    <row r="114" spans="1:10" ht="24.95" customHeight="1">
      <c r="A114" s="542"/>
      <c r="B114" s="541"/>
      <c r="C114" s="542"/>
      <c r="D114" s="529"/>
      <c r="E114" s="266" t="s">
        <v>1528</v>
      </c>
      <c r="F114" s="262" t="s">
        <v>1302</v>
      </c>
      <c r="G114" s="270">
        <v>37.5</v>
      </c>
      <c r="H114" s="309">
        <v>950</v>
      </c>
      <c r="I114" s="334">
        <v>35625</v>
      </c>
      <c r="J114" s="530"/>
    </row>
    <row r="115" spans="1:10" ht="24.95" customHeight="1">
      <c r="A115" s="542"/>
      <c r="B115" s="541"/>
      <c r="C115" s="542"/>
      <c r="D115" s="529"/>
      <c r="E115" s="266" t="s">
        <v>1529</v>
      </c>
      <c r="F115" s="262" t="s">
        <v>1067</v>
      </c>
      <c r="G115" s="270">
        <v>36</v>
      </c>
      <c r="H115" s="309">
        <v>1000</v>
      </c>
      <c r="I115" s="334">
        <v>36000</v>
      </c>
      <c r="J115" s="530"/>
    </row>
    <row r="116" spans="1:10" ht="24.95" customHeight="1">
      <c r="A116" s="542"/>
      <c r="B116" s="541"/>
      <c r="C116" s="542"/>
      <c r="D116" s="529"/>
      <c r="E116" s="266" t="s">
        <v>1530</v>
      </c>
      <c r="F116" s="262" t="s">
        <v>1177</v>
      </c>
      <c r="G116" s="270">
        <v>6</v>
      </c>
      <c r="H116" s="309">
        <v>600</v>
      </c>
      <c r="I116" s="334">
        <v>3600</v>
      </c>
      <c r="J116" s="530"/>
    </row>
    <row r="117" spans="1:10" ht="24.95" customHeight="1">
      <c r="A117" s="542"/>
      <c r="B117" s="541"/>
      <c r="C117" s="542"/>
      <c r="D117" s="529"/>
      <c r="E117" s="266" t="s">
        <v>1431</v>
      </c>
      <c r="F117" s="262" t="s">
        <v>1053</v>
      </c>
      <c r="G117" s="270">
        <v>284.16000000000003</v>
      </c>
      <c r="H117" s="309">
        <v>225.6</v>
      </c>
      <c r="I117" s="334">
        <v>64106.495999999999</v>
      </c>
      <c r="J117" s="530"/>
    </row>
    <row r="118" spans="1:10" ht="24.95" customHeight="1">
      <c r="A118" s="542"/>
      <c r="B118" s="541"/>
      <c r="C118" s="542"/>
      <c r="D118" s="296" t="s">
        <v>1531</v>
      </c>
      <c r="E118" s="266" t="s">
        <v>1532</v>
      </c>
      <c r="F118" s="262" t="s">
        <v>1053</v>
      </c>
      <c r="G118" s="270">
        <v>4930.866</v>
      </c>
      <c r="H118" s="309">
        <v>35</v>
      </c>
      <c r="I118" s="334">
        <v>172580.31</v>
      </c>
      <c r="J118" s="530"/>
    </row>
    <row r="119" spans="1:10" ht="24.95" customHeight="1">
      <c r="A119" s="542"/>
      <c r="B119" s="541"/>
      <c r="C119" s="542"/>
      <c r="D119" s="529" t="s">
        <v>1533</v>
      </c>
      <c r="E119" s="266" t="s">
        <v>1534</v>
      </c>
      <c r="F119" s="266" t="s">
        <v>1053</v>
      </c>
      <c r="G119" s="270">
        <v>4930.866</v>
      </c>
      <c r="H119" s="309">
        <v>85</v>
      </c>
      <c r="I119" s="334">
        <v>419123.61</v>
      </c>
      <c r="J119" s="530"/>
    </row>
    <row r="120" spans="1:10" ht="24.95" customHeight="1">
      <c r="A120" s="542"/>
      <c r="B120" s="541"/>
      <c r="C120" s="542"/>
      <c r="D120" s="529"/>
      <c r="E120" s="266" t="s">
        <v>1535</v>
      </c>
      <c r="F120" s="266" t="s">
        <v>1095</v>
      </c>
      <c r="G120" s="270">
        <v>1</v>
      </c>
      <c r="H120" s="309">
        <v>27000</v>
      </c>
      <c r="I120" s="334">
        <v>27000</v>
      </c>
      <c r="J120" s="530"/>
    </row>
    <row r="121" spans="1:10" ht="24.95" customHeight="1">
      <c r="A121" s="542"/>
      <c r="B121" s="541"/>
      <c r="C121" s="542"/>
      <c r="D121" s="529"/>
      <c r="E121" s="266" t="s">
        <v>1536</v>
      </c>
      <c r="F121" s="266" t="s">
        <v>1095</v>
      </c>
      <c r="G121" s="270">
        <v>1</v>
      </c>
      <c r="H121" s="309">
        <v>27000</v>
      </c>
      <c r="I121" s="334">
        <v>27000</v>
      </c>
      <c r="J121" s="530"/>
    </row>
    <row r="122" spans="1:10" ht="24.95" customHeight="1">
      <c r="A122" s="542"/>
      <c r="B122" s="541"/>
      <c r="C122" s="542"/>
      <c r="D122" s="529"/>
      <c r="E122" s="266" t="s">
        <v>1537</v>
      </c>
      <c r="F122" s="266" t="s">
        <v>1538</v>
      </c>
      <c r="G122" s="270">
        <v>12</v>
      </c>
      <c r="H122" s="309">
        <v>2880</v>
      </c>
      <c r="I122" s="334">
        <v>34560</v>
      </c>
      <c r="J122" s="530"/>
    </row>
    <row r="123" spans="1:10" ht="24.95" customHeight="1">
      <c r="A123" s="542"/>
      <c r="B123" s="541"/>
      <c r="C123" s="542"/>
      <c r="D123" s="529"/>
      <c r="E123" s="266" t="s">
        <v>1539</v>
      </c>
      <c r="F123" s="266" t="s">
        <v>1095</v>
      </c>
      <c r="G123" s="270">
        <v>1</v>
      </c>
      <c r="H123" s="309"/>
      <c r="I123" s="334">
        <v>20000</v>
      </c>
      <c r="J123" s="530"/>
    </row>
    <row r="124" spans="1:10" ht="24.95" customHeight="1">
      <c r="A124" s="542"/>
      <c r="B124" s="541"/>
      <c r="C124" s="542"/>
      <c r="D124" s="529"/>
      <c r="E124" s="266" t="s">
        <v>1540</v>
      </c>
      <c r="F124" s="266" t="s">
        <v>1095</v>
      </c>
      <c r="G124" s="270">
        <v>2</v>
      </c>
      <c r="H124" s="309">
        <v>4500</v>
      </c>
      <c r="I124" s="334">
        <v>10000</v>
      </c>
      <c r="J124" s="530"/>
    </row>
    <row r="125" spans="1:10" ht="24.95" customHeight="1">
      <c r="A125" s="542"/>
      <c r="B125" s="541"/>
      <c r="C125" s="542"/>
      <c r="D125" s="529"/>
      <c r="E125" s="266" t="s">
        <v>1541</v>
      </c>
      <c r="F125" s="266" t="s">
        <v>1095</v>
      </c>
      <c r="G125" s="270">
        <v>1</v>
      </c>
      <c r="H125" s="309">
        <v>7500</v>
      </c>
      <c r="I125" s="334">
        <v>7500</v>
      </c>
      <c r="J125" s="530"/>
    </row>
    <row r="126" spans="1:10" ht="24.95" customHeight="1">
      <c r="A126" s="542"/>
      <c r="B126" s="541"/>
      <c r="C126" s="542"/>
      <c r="D126" s="529" t="s">
        <v>1542</v>
      </c>
      <c r="E126" s="266" t="s">
        <v>1543</v>
      </c>
      <c r="F126" s="266" t="s">
        <v>1053</v>
      </c>
      <c r="G126" s="309">
        <v>1797.8</v>
      </c>
      <c r="H126" s="270">
        <v>180</v>
      </c>
      <c r="I126" s="334">
        <v>323604</v>
      </c>
      <c r="J126" s="530"/>
    </row>
    <row r="127" spans="1:10" ht="24.95" customHeight="1">
      <c r="A127" s="542"/>
      <c r="B127" s="541"/>
      <c r="C127" s="542"/>
      <c r="D127" s="529"/>
      <c r="E127" s="296" t="s">
        <v>1424</v>
      </c>
      <c r="F127" s="266" t="s">
        <v>1053</v>
      </c>
      <c r="G127" s="309">
        <v>1134.1199999999999</v>
      </c>
      <c r="H127" s="270">
        <v>318</v>
      </c>
      <c r="I127" s="334">
        <v>360650.16</v>
      </c>
      <c r="J127" s="530"/>
    </row>
    <row r="128" spans="1:10" ht="24.95" customHeight="1">
      <c r="A128" s="542"/>
      <c r="B128" s="541"/>
      <c r="C128" s="542"/>
      <c r="D128" s="305" t="s">
        <v>1466</v>
      </c>
      <c r="E128" s="296"/>
      <c r="F128" s="296"/>
      <c r="G128" s="297"/>
      <c r="H128" s="297"/>
      <c r="I128" s="294">
        <v>4996643.9795000004</v>
      </c>
      <c r="J128" s="530"/>
    </row>
    <row r="129" spans="1:10" ht="24.95" customHeight="1">
      <c r="A129" s="542"/>
      <c r="B129" s="541"/>
      <c r="C129" s="542"/>
      <c r="D129" s="305" t="s">
        <v>1467</v>
      </c>
      <c r="E129" s="266"/>
      <c r="F129" s="262"/>
      <c r="G129" s="309"/>
      <c r="H129" s="309"/>
      <c r="I129" s="280">
        <v>499664.39795000001</v>
      </c>
      <c r="J129" s="530"/>
    </row>
    <row r="130" spans="1:10" ht="24.95" customHeight="1">
      <c r="A130" s="542"/>
      <c r="B130" s="541"/>
      <c r="C130" s="542"/>
      <c r="D130" s="262" t="s">
        <v>1141</v>
      </c>
      <c r="E130" s="266"/>
      <c r="F130" s="266" t="s">
        <v>1095</v>
      </c>
      <c r="G130" s="270">
        <v>1</v>
      </c>
      <c r="H130" s="270">
        <v>16700</v>
      </c>
      <c r="I130" s="334">
        <v>16700</v>
      </c>
      <c r="J130" s="530"/>
    </row>
    <row r="131" spans="1:10" ht="24.95" customHeight="1">
      <c r="A131" s="542"/>
      <c r="B131" s="541"/>
      <c r="C131" s="542"/>
      <c r="D131" s="262" t="s">
        <v>1115</v>
      </c>
      <c r="E131" s="266"/>
      <c r="F131" s="266" t="s">
        <v>1095</v>
      </c>
      <c r="G131" s="270">
        <v>1</v>
      </c>
      <c r="H131" s="270">
        <v>30000</v>
      </c>
      <c r="I131" s="334">
        <v>30000</v>
      </c>
      <c r="J131" s="530"/>
    </row>
    <row r="132" spans="1:10" ht="24.95" customHeight="1">
      <c r="A132" s="542"/>
      <c r="B132" s="541"/>
      <c r="C132" s="542"/>
      <c r="D132" s="296" t="s">
        <v>1142</v>
      </c>
      <c r="E132" s="296"/>
      <c r="F132" s="266" t="s">
        <v>1095</v>
      </c>
      <c r="G132" s="270">
        <v>1</v>
      </c>
      <c r="H132" s="270">
        <v>80000</v>
      </c>
      <c r="I132" s="334">
        <v>80000</v>
      </c>
      <c r="J132" s="530"/>
    </row>
    <row r="133" spans="1:10" ht="24.95" customHeight="1">
      <c r="A133" s="542"/>
      <c r="B133" s="541"/>
      <c r="C133" s="542"/>
      <c r="D133" s="296" t="s">
        <v>1081</v>
      </c>
      <c r="E133" s="296"/>
      <c r="F133" s="266" t="s">
        <v>1095</v>
      </c>
      <c r="G133" s="270">
        <v>48</v>
      </c>
      <c r="H133" s="270">
        <v>900</v>
      </c>
      <c r="I133" s="334">
        <v>43200</v>
      </c>
      <c r="J133" s="530"/>
    </row>
    <row r="134" spans="1:10" ht="24.95" customHeight="1">
      <c r="A134" s="542"/>
      <c r="B134" s="541"/>
      <c r="C134" s="542"/>
      <c r="D134" s="305" t="s">
        <v>1062</v>
      </c>
      <c r="E134" s="305"/>
      <c r="F134" s="305"/>
      <c r="G134" s="340"/>
      <c r="H134" s="306"/>
      <c r="I134" s="294">
        <v>5666208.3774499996</v>
      </c>
      <c r="J134" s="530"/>
    </row>
    <row r="135" spans="1:10" ht="24.95" customHeight="1">
      <c r="A135" s="529">
        <v>7</v>
      </c>
      <c r="B135" s="529" t="s">
        <v>263</v>
      </c>
      <c r="C135" s="541" t="s">
        <v>1078</v>
      </c>
      <c r="D135" s="529" t="s">
        <v>1544</v>
      </c>
      <c r="E135" s="296" t="s">
        <v>1545</v>
      </c>
      <c r="F135" s="296" t="s">
        <v>1302</v>
      </c>
      <c r="G135" s="297">
        <v>100</v>
      </c>
      <c r="H135" s="297">
        <v>3</v>
      </c>
      <c r="I135" s="298">
        <v>300</v>
      </c>
      <c r="J135" s="530">
        <f>ROUND(I146*0.8,0)</f>
        <v>118138</v>
      </c>
    </row>
    <row r="136" spans="1:10" ht="24.95" customHeight="1">
      <c r="A136" s="529"/>
      <c r="B136" s="529"/>
      <c r="C136" s="541"/>
      <c r="D136" s="529"/>
      <c r="E136" s="296" t="s">
        <v>1546</v>
      </c>
      <c r="F136" s="296" t="s">
        <v>1302</v>
      </c>
      <c r="G136" s="297">
        <v>210</v>
      </c>
      <c r="H136" s="297">
        <v>4</v>
      </c>
      <c r="I136" s="298">
        <v>840</v>
      </c>
      <c r="J136" s="530"/>
    </row>
    <row r="137" spans="1:10" ht="24.95" customHeight="1">
      <c r="A137" s="529"/>
      <c r="B137" s="529"/>
      <c r="C137" s="541"/>
      <c r="D137" s="529"/>
      <c r="E137" s="296" t="s">
        <v>1547</v>
      </c>
      <c r="F137" s="296" t="s">
        <v>1395</v>
      </c>
      <c r="G137" s="297">
        <v>40</v>
      </c>
      <c r="H137" s="297">
        <v>150</v>
      </c>
      <c r="I137" s="298">
        <v>6000</v>
      </c>
      <c r="J137" s="530"/>
    </row>
    <row r="138" spans="1:10" ht="24.95" customHeight="1">
      <c r="A138" s="529"/>
      <c r="B138" s="529"/>
      <c r="C138" s="541"/>
      <c r="D138" s="529"/>
      <c r="E138" s="296" t="s">
        <v>1548</v>
      </c>
      <c r="F138" s="296" t="s">
        <v>1302</v>
      </c>
      <c r="G138" s="297">
        <v>180</v>
      </c>
      <c r="H138" s="297">
        <v>3.5</v>
      </c>
      <c r="I138" s="298">
        <v>630</v>
      </c>
      <c r="J138" s="530"/>
    </row>
    <row r="139" spans="1:10" ht="24.95" customHeight="1">
      <c r="A139" s="529"/>
      <c r="B139" s="529"/>
      <c r="C139" s="541"/>
      <c r="D139" s="529"/>
      <c r="E139" s="296" t="s">
        <v>1549</v>
      </c>
      <c r="F139" s="296" t="s">
        <v>1302</v>
      </c>
      <c r="G139" s="297">
        <v>270</v>
      </c>
      <c r="H139" s="297">
        <v>4</v>
      </c>
      <c r="I139" s="298">
        <v>1080</v>
      </c>
      <c r="J139" s="530"/>
    </row>
    <row r="140" spans="1:10" ht="24.95" customHeight="1">
      <c r="A140" s="529"/>
      <c r="B140" s="529"/>
      <c r="C140" s="541"/>
      <c r="D140" s="529"/>
      <c r="E140" s="296" t="s">
        <v>1550</v>
      </c>
      <c r="F140" s="296" t="s">
        <v>1395</v>
      </c>
      <c r="G140" s="297">
        <v>45</v>
      </c>
      <c r="H140" s="297">
        <v>120</v>
      </c>
      <c r="I140" s="298">
        <v>5400</v>
      </c>
      <c r="J140" s="530"/>
    </row>
    <row r="141" spans="1:10" ht="24.95" customHeight="1">
      <c r="A141" s="529"/>
      <c r="B141" s="529"/>
      <c r="C141" s="541"/>
      <c r="D141" s="529"/>
      <c r="E141" s="296" t="s">
        <v>1551</v>
      </c>
      <c r="F141" s="296" t="s">
        <v>1302</v>
      </c>
      <c r="G141" s="297">
        <v>76</v>
      </c>
      <c r="H141" s="297">
        <v>500</v>
      </c>
      <c r="I141" s="298">
        <v>38000</v>
      </c>
      <c r="J141" s="530"/>
    </row>
    <row r="142" spans="1:10" ht="24.95" customHeight="1">
      <c r="A142" s="529"/>
      <c r="B142" s="529"/>
      <c r="C142" s="541"/>
      <c r="D142" s="529" t="s">
        <v>1552</v>
      </c>
      <c r="E142" s="296" t="s">
        <v>1553</v>
      </c>
      <c r="F142" s="296" t="s">
        <v>1302</v>
      </c>
      <c r="G142" s="297">
        <v>160</v>
      </c>
      <c r="H142" s="297">
        <v>450</v>
      </c>
      <c r="I142" s="298">
        <v>72000</v>
      </c>
      <c r="J142" s="530"/>
    </row>
    <row r="143" spans="1:10" ht="24.95" customHeight="1">
      <c r="A143" s="529"/>
      <c r="B143" s="529"/>
      <c r="C143" s="541"/>
      <c r="D143" s="529"/>
      <c r="E143" s="296" t="s">
        <v>1554</v>
      </c>
      <c r="F143" s="296" t="s">
        <v>1281</v>
      </c>
      <c r="G143" s="297">
        <v>160</v>
      </c>
      <c r="H143" s="297">
        <v>47.5</v>
      </c>
      <c r="I143" s="298">
        <v>7600</v>
      </c>
      <c r="J143" s="530"/>
    </row>
    <row r="144" spans="1:10" ht="24.95" customHeight="1">
      <c r="A144" s="529"/>
      <c r="B144" s="529"/>
      <c r="C144" s="541"/>
      <c r="D144" s="305" t="s">
        <v>1060</v>
      </c>
      <c r="E144" s="305"/>
      <c r="F144" s="305"/>
      <c r="G144" s="340"/>
      <c r="H144" s="340"/>
      <c r="I144" s="294">
        <v>131850</v>
      </c>
      <c r="J144" s="530"/>
    </row>
    <row r="145" spans="1:10" ht="24.95" customHeight="1">
      <c r="A145" s="529"/>
      <c r="B145" s="529"/>
      <c r="C145" s="541"/>
      <c r="D145" s="268" t="s">
        <v>1423</v>
      </c>
      <c r="E145" s="305"/>
      <c r="F145" s="305"/>
      <c r="G145" s="340"/>
      <c r="H145" s="340"/>
      <c r="I145" s="349">
        <v>15822</v>
      </c>
      <c r="J145" s="530"/>
    </row>
    <row r="146" spans="1:10" ht="24.95" customHeight="1">
      <c r="A146" s="529"/>
      <c r="B146" s="529"/>
      <c r="C146" s="541"/>
      <c r="D146" s="305" t="s">
        <v>1062</v>
      </c>
      <c r="E146" s="296"/>
      <c r="F146" s="296"/>
      <c r="G146" s="297"/>
      <c r="H146" s="297"/>
      <c r="I146" s="294">
        <v>147672</v>
      </c>
      <c r="J146" s="530"/>
    </row>
    <row r="147" spans="1:10" ht="24.95" customHeight="1">
      <c r="A147" s="529">
        <v>8</v>
      </c>
      <c r="B147" s="529" t="s">
        <v>269</v>
      </c>
      <c r="C147" s="541" t="s">
        <v>1078</v>
      </c>
      <c r="D147" s="296" t="s">
        <v>1334</v>
      </c>
      <c r="E147" s="296" t="s">
        <v>1424</v>
      </c>
      <c r="F147" s="296" t="s">
        <v>1281</v>
      </c>
      <c r="G147" s="297">
        <v>1940</v>
      </c>
      <c r="H147" s="297">
        <v>283.2</v>
      </c>
      <c r="I147" s="298">
        <v>549408</v>
      </c>
      <c r="J147" s="530">
        <f>ROUND(I151*0.8,0)</f>
        <v>516270</v>
      </c>
    </row>
    <row r="148" spans="1:10" ht="24.95" customHeight="1">
      <c r="A148" s="529"/>
      <c r="B148" s="529"/>
      <c r="C148" s="541"/>
      <c r="D148" s="305" t="s">
        <v>1060</v>
      </c>
      <c r="E148" s="305"/>
      <c r="F148" s="305"/>
      <c r="G148" s="340"/>
      <c r="H148" s="340"/>
      <c r="I148" s="294">
        <v>549408</v>
      </c>
      <c r="J148" s="530"/>
    </row>
    <row r="149" spans="1:10" ht="24.95" customHeight="1">
      <c r="A149" s="529"/>
      <c r="B149" s="529"/>
      <c r="C149" s="541"/>
      <c r="D149" s="268" t="s">
        <v>1423</v>
      </c>
      <c r="E149" s="305"/>
      <c r="F149" s="305"/>
      <c r="G149" s="340"/>
      <c r="H149" s="340"/>
      <c r="I149" s="349">
        <v>65928.960000000006</v>
      </c>
      <c r="J149" s="530"/>
    </row>
    <row r="150" spans="1:10" ht="24.95" customHeight="1">
      <c r="A150" s="529"/>
      <c r="B150" s="529"/>
      <c r="C150" s="541"/>
      <c r="D150" s="256" t="s">
        <v>1318</v>
      </c>
      <c r="E150" s="296"/>
      <c r="F150" s="296" t="s">
        <v>1095</v>
      </c>
      <c r="G150" s="297">
        <v>1</v>
      </c>
      <c r="H150" s="297">
        <v>30000</v>
      </c>
      <c r="I150" s="350">
        <v>30000</v>
      </c>
      <c r="J150" s="530"/>
    </row>
    <row r="151" spans="1:10" ht="24.95" customHeight="1">
      <c r="A151" s="529"/>
      <c r="B151" s="529"/>
      <c r="C151" s="541"/>
      <c r="D151" s="305" t="s">
        <v>1062</v>
      </c>
      <c r="E151" s="296"/>
      <c r="F151" s="296"/>
      <c r="G151" s="297"/>
      <c r="H151" s="297"/>
      <c r="I151" s="294">
        <v>645336.96</v>
      </c>
      <c r="J151" s="530"/>
    </row>
    <row r="152" spans="1:10" ht="24.95" customHeight="1">
      <c r="A152" s="529">
        <v>9</v>
      </c>
      <c r="B152" s="529" t="s">
        <v>1555</v>
      </c>
      <c r="C152" s="541" t="s">
        <v>1078</v>
      </c>
      <c r="D152" s="529" t="s">
        <v>1336</v>
      </c>
      <c r="E152" s="296" t="s">
        <v>1556</v>
      </c>
      <c r="F152" s="296" t="s">
        <v>1281</v>
      </c>
      <c r="G152" s="297">
        <v>146.55500000000001</v>
      </c>
      <c r="H152" s="297">
        <v>257</v>
      </c>
      <c r="I152" s="298">
        <v>37664.635000000002</v>
      </c>
      <c r="J152" s="530">
        <f>ROUND(I158*0.8,0)</f>
        <v>132419</v>
      </c>
    </row>
    <row r="153" spans="1:10" ht="24.95" customHeight="1">
      <c r="A153" s="529"/>
      <c r="B153" s="529"/>
      <c r="C153" s="541"/>
      <c r="D153" s="529"/>
      <c r="E153" s="296" t="s">
        <v>1557</v>
      </c>
      <c r="F153" s="296" t="s">
        <v>1281</v>
      </c>
      <c r="G153" s="297">
        <v>146.55500000000001</v>
      </c>
      <c r="H153" s="297">
        <v>150</v>
      </c>
      <c r="I153" s="298">
        <v>21983.25</v>
      </c>
      <c r="J153" s="530"/>
    </row>
    <row r="154" spans="1:10" ht="24.95" customHeight="1">
      <c r="A154" s="529"/>
      <c r="B154" s="529"/>
      <c r="C154" s="541"/>
      <c r="D154" s="529"/>
      <c r="E154" s="296" t="s">
        <v>1558</v>
      </c>
      <c r="F154" s="296" t="s">
        <v>1067</v>
      </c>
      <c r="G154" s="297">
        <v>45</v>
      </c>
      <c r="H154" s="297">
        <v>1250</v>
      </c>
      <c r="I154" s="298">
        <v>56250</v>
      </c>
      <c r="J154" s="530"/>
    </row>
    <row r="155" spans="1:10" ht="24.95" customHeight="1">
      <c r="A155" s="529"/>
      <c r="B155" s="529"/>
      <c r="C155" s="541"/>
      <c r="D155" s="529"/>
      <c r="E155" s="296" t="s">
        <v>1559</v>
      </c>
      <c r="F155" s="296" t="s">
        <v>1281</v>
      </c>
      <c r="G155" s="297">
        <v>176</v>
      </c>
      <c r="H155" s="297">
        <v>181.2</v>
      </c>
      <c r="I155" s="298">
        <v>31891.200000000001</v>
      </c>
      <c r="J155" s="530"/>
    </row>
    <row r="156" spans="1:10" ht="24.95" customHeight="1">
      <c r="A156" s="529"/>
      <c r="B156" s="529"/>
      <c r="C156" s="541"/>
      <c r="D156" s="305" t="s">
        <v>1060</v>
      </c>
      <c r="E156" s="305"/>
      <c r="F156" s="305"/>
      <c r="G156" s="340"/>
      <c r="H156" s="340"/>
      <c r="I156" s="294">
        <v>147789.08499999999</v>
      </c>
      <c r="J156" s="530"/>
    </row>
    <row r="157" spans="1:10" ht="24.95" customHeight="1">
      <c r="A157" s="529"/>
      <c r="B157" s="529"/>
      <c r="C157" s="541"/>
      <c r="D157" s="268" t="s">
        <v>1423</v>
      </c>
      <c r="E157" s="305"/>
      <c r="F157" s="305"/>
      <c r="G157" s="340"/>
      <c r="H157" s="340"/>
      <c r="I157" s="349">
        <v>17734.690200000001</v>
      </c>
      <c r="J157" s="530"/>
    </row>
    <row r="158" spans="1:10" ht="24.95" customHeight="1">
      <c r="A158" s="529"/>
      <c r="B158" s="529"/>
      <c r="C158" s="541"/>
      <c r="D158" s="305" t="s">
        <v>1062</v>
      </c>
      <c r="E158" s="305"/>
      <c r="F158" s="305"/>
      <c r="G158" s="340"/>
      <c r="H158" s="340"/>
      <c r="I158" s="294">
        <v>165523.7752</v>
      </c>
      <c r="J158" s="530"/>
    </row>
    <row r="159" spans="1:10" ht="24.95" customHeight="1">
      <c r="A159" s="529">
        <v>10</v>
      </c>
      <c r="B159" s="529" t="s">
        <v>1560</v>
      </c>
      <c r="C159" s="541" t="s">
        <v>1078</v>
      </c>
      <c r="D159" s="529" t="s">
        <v>1336</v>
      </c>
      <c r="E159" s="296" t="s">
        <v>1556</v>
      </c>
      <c r="F159" s="296" t="s">
        <v>1281</v>
      </c>
      <c r="G159" s="297">
        <v>44.5</v>
      </c>
      <c r="H159" s="297">
        <v>257</v>
      </c>
      <c r="I159" s="298">
        <v>11436.5</v>
      </c>
      <c r="J159" s="530">
        <f>ROUND(I164*0.8,0)</f>
        <v>36388</v>
      </c>
    </row>
    <row r="160" spans="1:10" ht="24.95" customHeight="1">
      <c r="A160" s="529"/>
      <c r="B160" s="529"/>
      <c r="C160" s="541"/>
      <c r="D160" s="529"/>
      <c r="E160" s="296" t="s">
        <v>1557</v>
      </c>
      <c r="F160" s="296" t="s">
        <v>1281</v>
      </c>
      <c r="G160" s="297">
        <v>44.5</v>
      </c>
      <c r="H160" s="297">
        <v>150</v>
      </c>
      <c r="I160" s="298">
        <v>6675</v>
      </c>
      <c r="J160" s="530"/>
    </row>
    <row r="161" spans="1:11" ht="24.95" customHeight="1">
      <c r="A161" s="529"/>
      <c r="B161" s="529"/>
      <c r="C161" s="541"/>
      <c r="D161" s="529"/>
      <c r="E161" s="296" t="s">
        <v>1558</v>
      </c>
      <c r="F161" s="296" t="s">
        <v>1067</v>
      </c>
      <c r="G161" s="297">
        <v>18</v>
      </c>
      <c r="H161" s="297">
        <v>1250</v>
      </c>
      <c r="I161" s="298">
        <v>22500</v>
      </c>
      <c r="J161" s="530"/>
    </row>
    <row r="162" spans="1:11" ht="24.95" customHeight="1">
      <c r="A162" s="529"/>
      <c r="B162" s="529"/>
      <c r="C162" s="541"/>
      <c r="D162" s="305" t="s">
        <v>1060</v>
      </c>
      <c r="E162" s="305"/>
      <c r="F162" s="305"/>
      <c r="G162" s="340"/>
      <c r="H162" s="340"/>
      <c r="I162" s="294">
        <v>40611.5</v>
      </c>
      <c r="J162" s="530"/>
    </row>
    <row r="163" spans="1:11" ht="24.95" customHeight="1">
      <c r="A163" s="529"/>
      <c r="B163" s="529"/>
      <c r="C163" s="541"/>
      <c r="D163" s="268" t="s">
        <v>1423</v>
      </c>
      <c r="E163" s="305"/>
      <c r="F163" s="305"/>
      <c r="G163" s="340"/>
      <c r="H163" s="340"/>
      <c r="I163" s="349">
        <v>4873.38</v>
      </c>
      <c r="J163" s="530"/>
    </row>
    <row r="164" spans="1:11" ht="24.95" customHeight="1">
      <c r="A164" s="529"/>
      <c r="B164" s="529"/>
      <c r="C164" s="541"/>
      <c r="D164" s="305" t="s">
        <v>1062</v>
      </c>
      <c r="E164" s="296"/>
      <c r="F164" s="296"/>
      <c r="G164" s="297"/>
      <c r="H164" s="297"/>
      <c r="I164" s="294">
        <v>45484.88</v>
      </c>
      <c r="J164" s="530"/>
    </row>
    <row r="165" spans="1:11" ht="24.95" customHeight="1">
      <c r="A165" s="543" t="s">
        <v>1561</v>
      </c>
      <c r="B165" s="543"/>
      <c r="C165" s="543"/>
      <c r="D165" s="543"/>
      <c r="E165" s="543"/>
      <c r="F165" s="543"/>
      <c r="G165" s="303"/>
      <c r="H165" s="303"/>
      <c r="I165" s="317">
        <f>I9+I14+I20+I56+I86+I134+I146+I151+I158+I164</f>
        <v>12493421.1841732</v>
      </c>
      <c r="J165" s="323">
        <f>SUM(J3:J164)</f>
        <v>9994737</v>
      </c>
      <c r="K165" s="300">
        <f>I165-J165</f>
        <v>2498684.1841732003</v>
      </c>
    </row>
    <row r="166" spans="1:11" ht="26.25" customHeight="1">
      <c r="B166" s="544"/>
      <c r="C166" s="544"/>
      <c r="D166" s="544"/>
      <c r="E166" s="544"/>
      <c r="F166" s="544"/>
    </row>
  </sheetData>
  <mergeCells count="68">
    <mergeCell ref="J159:J164"/>
    <mergeCell ref="A1:J1"/>
    <mergeCell ref="B166:F166"/>
    <mergeCell ref="J3:J9"/>
    <mergeCell ref="J10:J14"/>
    <mergeCell ref="J15:J20"/>
    <mergeCell ref="J21:J56"/>
    <mergeCell ref="J57:J86"/>
    <mergeCell ref="J87:J134"/>
    <mergeCell ref="J135:J146"/>
    <mergeCell ref="J147:J151"/>
    <mergeCell ref="J152:J158"/>
    <mergeCell ref="D152:D155"/>
    <mergeCell ref="A159:A164"/>
    <mergeCell ref="B159:B164"/>
    <mergeCell ref="C159:C164"/>
    <mergeCell ref="D159:D161"/>
    <mergeCell ref="A165:F165"/>
    <mergeCell ref="A147:A151"/>
    <mergeCell ref="B147:B151"/>
    <mergeCell ref="C147:C151"/>
    <mergeCell ref="A152:A158"/>
    <mergeCell ref="B152:B158"/>
    <mergeCell ref="C152:C158"/>
    <mergeCell ref="D119:D125"/>
    <mergeCell ref="D126:D127"/>
    <mergeCell ref="A135:A146"/>
    <mergeCell ref="B135:B146"/>
    <mergeCell ref="C135:C146"/>
    <mergeCell ref="D135:D141"/>
    <mergeCell ref="D142:D143"/>
    <mergeCell ref="A87:A134"/>
    <mergeCell ref="B87:B134"/>
    <mergeCell ref="C87:C134"/>
    <mergeCell ref="D87:D89"/>
    <mergeCell ref="D92:D96"/>
    <mergeCell ref="D97:D99"/>
    <mergeCell ref="D100:D101"/>
    <mergeCell ref="D102:D104"/>
    <mergeCell ref="D105:D106"/>
    <mergeCell ref="D108:D117"/>
    <mergeCell ref="D38:D39"/>
    <mergeCell ref="D41:D42"/>
    <mergeCell ref="C44:C49"/>
    <mergeCell ref="D44:D49"/>
    <mergeCell ref="C52:C55"/>
    <mergeCell ref="A57:A86"/>
    <mergeCell ref="B57:B86"/>
    <mergeCell ref="C57:C86"/>
    <mergeCell ref="D57:D82"/>
    <mergeCell ref="B15:B20"/>
    <mergeCell ref="C15:C20"/>
    <mergeCell ref="D15:D16"/>
    <mergeCell ref="A21:A56"/>
    <mergeCell ref="B21:B56"/>
    <mergeCell ref="C21:C43"/>
    <mergeCell ref="D21:D25"/>
    <mergeCell ref="D26:D27"/>
    <mergeCell ref="D28:D33"/>
    <mergeCell ref="D34:D37"/>
    <mergeCell ref="A15:A20"/>
    <mergeCell ref="A3:A9"/>
    <mergeCell ref="B3:B9"/>
    <mergeCell ref="C3:C9"/>
    <mergeCell ref="D3:D5"/>
    <mergeCell ref="A10:A14"/>
    <mergeCell ref="B10:B14"/>
    <mergeCell ref="C10:C14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portrait" r:id="rId1"/>
  <headerFooter>
    <oddFooter>第 &amp;P 页，共 &amp;N 页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>
  <dimension ref="A1:O81"/>
  <sheetViews>
    <sheetView topLeftCell="A70" workbookViewId="0">
      <selection activeCell="L82" sqref="L82"/>
    </sheetView>
  </sheetViews>
  <sheetFormatPr defaultColWidth="7.875" defaultRowHeight="12"/>
  <cols>
    <col min="1" max="1" width="5.5" style="290" customWidth="1"/>
    <col min="2" max="2" width="8.5" style="290" customWidth="1"/>
    <col min="3" max="3" width="5.75" style="290" customWidth="1"/>
    <col min="4" max="4" width="7" style="290" customWidth="1"/>
    <col min="5" max="5" width="15.125" style="290" customWidth="1"/>
    <col min="6" max="6" width="21" style="290" customWidth="1"/>
    <col min="7" max="7" width="5.5" style="290" customWidth="1"/>
    <col min="8" max="8" width="5.5" style="318" customWidth="1"/>
    <col min="9" max="9" width="8.5" style="318" customWidth="1"/>
    <col min="10" max="10" width="15.875" style="319" customWidth="1"/>
    <col min="11" max="11" width="11.125" style="290" customWidth="1"/>
    <col min="12" max="12" width="14.875" style="290" customWidth="1"/>
    <col min="13" max="20" width="7.875" style="290" customWidth="1"/>
    <col min="21" max="244" width="7.875" style="290"/>
    <col min="245" max="245" width="5.5" style="290" customWidth="1"/>
    <col min="246" max="246" width="6.25" style="290" customWidth="1"/>
    <col min="247" max="247" width="5.75" style="290" customWidth="1"/>
    <col min="248" max="248" width="7" style="290" customWidth="1"/>
    <col min="249" max="249" width="15.125" style="290" customWidth="1"/>
    <col min="250" max="250" width="12.625" style="290" customWidth="1"/>
    <col min="251" max="251" width="5.5" style="290" customWidth="1"/>
    <col min="252" max="252" width="5.625" style="290" customWidth="1"/>
    <col min="253" max="253" width="8.75" style="290" customWidth="1"/>
    <col min="254" max="254" width="10.125" style="290" customWidth="1"/>
    <col min="255" max="255" width="14" style="290" customWidth="1"/>
    <col min="256" max="500" width="7.875" style="290"/>
    <col min="501" max="501" width="5.5" style="290" customWidth="1"/>
    <col min="502" max="502" width="6.25" style="290" customWidth="1"/>
    <col min="503" max="503" width="5.75" style="290" customWidth="1"/>
    <col min="504" max="504" width="7" style="290" customWidth="1"/>
    <col min="505" max="505" width="15.125" style="290" customWidth="1"/>
    <col min="506" max="506" width="12.625" style="290" customWidth="1"/>
    <col min="507" max="507" width="5.5" style="290" customWidth="1"/>
    <col min="508" max="508" width="5.625" style="290" customWidth="1"/>
    <col min="509" max="509" width="8.75" style="290" customWidth="1"/>
    <col min="510" max="510" width="10.125" style="290" customWidth="1"/>
    <col min="511" max="511" width="14" style="290" customWidth="1"/>
    <col min="512" max="756" width="7.875" style="290"/>
    <col min="757" max="757" width="5.5" style="290" customWidth="1"/>
    <col min="758" max="758" width="6.25" style="290" customWidth="1"/>
    <col min="759" max="759" width="5.75" style="290" customWidth="1"/>
    <col min="760" max="760" width="7" style="290" customWidth="1"/>
    <col min="761" max="761" width="15.125" style="290" customWidth="1"/>
    <col min="762" max="762" width="12.625" style="290" customWidth="1"/>
    <col min="763" max="763" width="5.5" style="290" customWidth="1"/>
    <col min="764" max="764" width="5.625" style="290" customWidth="1"/>
    <col min="765" max="765" width="8.75" style="290" customWidth="1"/>
    <col min="766" max="766" width="10.125" style="290" customWidth="1"/>
    <col min="767" max="767" width="14" style="290" customWidth="1"/>
    <col min="768" max="1012" width="7.875" style="290"/>
    <col min="1013" max="1013" width="5.5" style="290" customWidth="1"/>
    <col min="1014" max="1014" width="6.25" style="290" customWidth="1"/>
    <col min="1015" max="1015" width="5.75" style="290" customWidth="1"/>
    <col min="1016" max="1016" width="7" style="290" customWidth="1"/>
    <col min="1017" max="1017" width="15.125" style="290" customWidth="1"/>
    <col min="1018" max="1018" width="12.625" style="290" customWidth="1"/>
    <col min="1019" max="1019" width="5.5" style="290" customWidth="1"/>
    <col min="1020" max="1020" width="5.625" style="290" customWidth="1"/>
    <col min="1021" max="1021" width="8.75" style="290" customWidth="1"/>
    <col min="1022" max="1022" width="10.125" style="290" customWidth="1"/>
    <col min="1023" max="1023" width="14" style="290" customWidth="1"/>
    <col min="1024" max="1268" width="7.875" style="290"/>
    <col min="1269" max="1269" width="5.5" style="290" customWidth="1"/>
    <col min="1270" max="1270" width="6.25" style="290" customWidth="1"/>
    <col min="1271" max="1271" width="5.75" style="290" customWidth="1"/>
    <col min="1272" max="1272" width="7" style="290" customWidth="1"/>
    <col min="1273" max="1273" width="15.125" style="290" customWidth="1"/>
    <col min="1274" max="1274" width="12.625" style="290" customWidth="1"/>
    <col min="1275" max="1275" width="5.5" style="290" customWidth="1"/>
    <col min="1276" max="1276" width="5.625" style="290" customWidth="1"/>
    <col min="1277" max="1277" width="8.75" style="290" customWidth="1"/>
    <col min="1278" max="1278" width="10.125" style="290" customWidth="1"/>
    <col min="1279" max="1279" width="14" style="290" customWidth="1"/>
    <col min="1280" max="1524" width="7.875" style="290"/>
    <col min="1525" max="1525" width="5.5" style="290" customWidth="1"/>
    <col min="1526" max="1526" width="6.25" style="290" customWidth="1"/>
    <col min="1527" max="1527" width="5.75" style="290" customWidth="1"/>
    <col min="1528" max="1528" width="7" style="290" customWidth="1"/>
    <col min="1529" max="1529" width="15.125" style="290" customWidth="1"/>
    <col min="1530" max="1530" width="12.625" style="290" customWidth="1"/>
    <col min="1531" max="1531" width="5.5" style="290" customWidth="1"/>
    <col min="1532" max="1532" width="5.625" style="290" customWidth="1"/>
    <col min="1533" max="1533" width="8.75" style="290" customWidth="1"/>
    <col min="1534" max="1534" width="10.125" style="290" customWidth="1"/>
    <col min="1535" max="1535" width="14" style="290" customWidth="1"/>
    <col min="1536" max="1780" width="7.875" style="290"/>
    <col min="1781" max="1781" width="5.5" style="290" customWidth="1"/>
    <col min="1782" max="1782" width="6.25" style="290" customWidth="1"/>
    <col min="1783" max="1783" width="5.75" style="290" customWidth="1"/>
    <col min="1784" max="1784" width="7" style="290" customWidth="1"/>
    <col min="1785" max="1785" width="15.125" style="290" customWidth="1"/>
    <col min="1786" max="1786" width="12.625" style="290" customWidth="1"/>
    <col min="1787" max="1787" width="5.5" style="290" customWidth="1"/>
    <col min="1788" max="1788" width="5.625" style="290" customWidth="1"/>
    <col min="1789" max="1789" width="8.75" style="290" customWidth="1"/>
    <col min="1790" max="1790" width="10.125" style="290" customWidth="1"/>
    <col min="1791" max="1791" width="14" style="290" customWidth="1"/>
    <col min="1792" max="2036" width="7.875" style="290"/>
    <col min="2037" max="2037" width="5.5" style="290" customWidth="1"/>
    <col min="2038" max="2038" width="6.25" style="290" customWidth="1"/>
    <col min="2039" max="2039" width="5.75" style="290" customWidth="1"/>
    <col min="2040" max="2040" width="7" style="290" customWidth="1"/>
    <col min="2041" max="2041" width="15.125" style="290" customWidth="1"/>
    <col min="2042" max="2042" width="12.625" style="290" customWidth="1"/>
    <col min="2043" max="2043" width="5.5" style="290" customWidth="1"/>
    <col min="2044" max="2044" width="5.625" style="290" customWidth="1"/>
    <col min="2045" max="2045" width="8.75" style="290" customWidth="1"/>
    <col min="2046" max="2046" width="10.125" style="290" customWidth="1"/>
    <col min="2047" max="2047" width="14" style="290" customWidth="1"/>
    <col min="2048" max="2292" width="7.875" style="290"/>
    <col min="2293" max="2293" width="5.5" style="290" customWidth="1"/>
    <col min="2294" max="2294" width="6.25" style="290" customWidth="1"/>
    <col min="2295" max="2295" width="5.75" style="290" customWidth="1"/>
    <col min="2296" max="2296" width="7" style="290" customWidth="1"/>
    <col min="2297" max="2297" width="15.125" style="290" customWidth="1"/>
    <col min="2298" max="2298" width="12.625" style="290" customWidth="1"/>
    <col min="2299" max="2299" width="5.5" style="290" customWidth="1"/>
    <col min="2300" max="2300" width="5.625" style="290" customWidth="1"/>
    <col min="2301" max="2301" width="8.75" style="290" customWidth="1"/>
    <col min="2302" max="2302" width="10.125" style="290" customWidth="1"/>
    <col min="2303" max="2303" width="14" style="290" customWidth="1"/>
    <col min="2304" max="2548" width="7.875" style="290"/>
    <col min="2549" max="2549" width="5.5" style="290" customWidth="1"/>
    <col min="2550" max="2550" width="6.25" style="290" customWidth="1"/>
    <col min="2551" max="2551" width="5.75" style="290" customWidth="1"/>
    <col min="2552" max="2552" width="7" style="290" customWidth="1"/>
    <col min="2553" max="2553" width="15.125" style="290" customWidth="1"/>
    <col min="2554" max="2554" width="12.625" style="290" customWidth="1"/>
    <col min="2555" max="2555" width="5.5" style="290" customWidth="1"/>
    <col min="2556" max="2556" width="5.625" style="290" customWidth="1"/>
    <col min="2557" max="2557" width="8.75" style="290" customWidth="1"/>
    <col min="2558" max="2558" width="10.125" style="290" customWidth="1"/>
    <col min="2559" max="2559" width="14" style="290" customWidth="1"/>
    <col min="2560" max="2804" width="7.875" style="290"/>
    <col min="2805" max="2805" width="5.5" style="290" customWidth="1"/>
    <col min="2806" max="2806" width="6.25" style="290" customWidth="1"/>
    <col min="2807" max="2807" width="5.75" style="290" customWidth="1"/>
    <col min="2808" max="2808" width="7" style="290" customWidth="1"/>
    <col min="2809" max="2809" width="15.125" style="290" customWidth="1"/>
    <col min="2810" max="2810" width="12.625" style="290" customWidth="1"/>
    <col min="2811" max="2811" width="5.5" style="290" customWidth="1"/>
    <col min="2812" max="2812" width="5.625" style="290" customWidth="1"/>
    <col min="2813" max="2813" width="8.75" style="290" customWidth="1"/>
    <col min="2814" max="2814" width="10.125" style="290" customWidth="1"/>
    <col min="2815" max="2815" width="14" style="290" customWidth="1"/>
    <col min="2816" max="3060" width="7.875" style="290"/>
    <col min="3061" max="3061" width="5.5" style="290" customWidth="1"/>
    <col min="3062" max="3062" width="6.25" style="290" customWidth="1"/>
    <col min="3063" max="3063" width="5.75" style="290" customWidth="1"/>
    <col min="3064" max="3064" width="7" style="290" customWidth="1"/>
    <col min="3065" max="3065" width="15.125" style="290" customWidth="1"/>
    <col min="3066" max="3066" width="12.625" style="290" customWidth="1"/>
    <col min="3067" max="3067" width="5.5" style="290" customWidth="1"/>
    <col min="3068" max="3068" width="5.625" style="290" customWidth="1"/>
    <col min="3069" max="3069" width="8.75" style="290" customWidth="1"/>
    <col min="3070" max="3070" width="10.125" style="290" customWidth="1"/>
    <col min="3071" max="3071" width="14" style="290" customWidth="1"/>
    <col min="3072" max="3316" width="7.875" style="290"/>
    <col min="3317" max="3317" width="5.5" style="290" customWidth="1"/>
    <col min="3318" max="3318" width="6.25" style="290" customWidth="1"/>
    <col min="3319" max="3319" width="5.75" style="290" customWidth="1"/>
    <col min="3320" max="3320" width="7" style="290" customWidth="1"/>
    <col min="3321" max="3321" width="15.125" style="290" customWidth="1"/>
    <col min="3322" max="3322" width="12.625" style="290" customWidth="1"/>
    <col min="3323" max="3323" width="5.5" style="290" customWidth="1"/>
    <col min="3324" max="3324" width="5.625" style="290" customWidth="1"/>
    <col min="3325" max="3325" width="8.75" style="290" customWidth="1"/>
    <col min="3326" max="3326" width="10.125" style="290" customWidth="1"/>
    <col min="3327" max="3327" width="14" style="290" customWidth="1"/>
    <col min="3328" max="3572" width="7.875" style="290"/>
    <col min="3573" max="3573" width="5.5" style="290" customWidth="1"/>
    <col min="3574" max="3574" width="6.25" style="290" customWidth="1"/>
    <col min="3575" max="3575" width="5.75" style="290" customWidth="1"/>
    <col min="3576" max="3576" width="7" style="290" customWidth="1"/>
    <col min="3577" max="3577" width="15.125" style="290" customWidth="1"/>
    <col min="3578" max="3578" width="12.625" style="290" customWidth="1"/>
    <col min="3579" max="3579" width="5.5" style="290" customWidth="1"/>
    <col min="3580" max="3580" width="5.625" style="290" customWidth="1"/>
    <col min="3581" max="3581" width="8.75" style="290" customWidth="1"/>
    <col min="3582" max="3582" width="10.125" style="290" customWidth="1"/>
    <col min="3583" max="3583" width="14" style="290" customWidth="1"/>
    <col min="3584" max="3828" width="7.875" style="290"/>
    <col min="3829" max="3829" width="5.5" style="290" customWidth="1"/>
    <col min="3830" max="3830" width="6.25" style="290" customWidth="1"/>
    <col min="3831" max="3831" width="5.75" style="290" customWidth="1"/>
    <col min="3832" max="3832" width="7" style="290" customWidth="1"/>
    <col min="3833" max="3833" width="15.125" style="290" customWidth="1"/>
    <col min="3834" max="3834" width="12.625" style="290" customWidth="1"/>
    <col min="3835" max="3835" width="5.5" style="290" customWidth="1"/>
    <col min="3836" max="3836" width="5.625" style="290" customWidth="1"/>
    <col min="3837" max="3837" width="8.75" style="290" customWidth="1"/>
    <col min="3838" max="3838" width="10.125" style="290" customWidth="1"/>
    <col min="3839" max="3839" width="14" style="290" customWidth="1"/>
    <col min="3840" max="4084" width="7.875" style="290"/>
    <col min="4085" max="4085" width="5.5" style="290" customWidth="1"/>
    <col min="4086" max="4086" width="6.25" style="290" customWidth="1"/>
    <col min="4087" max="4087" width="5.75" style="290" customWidth="1"/>
    <col min="4088" max="4088" width="7" style="290" customWidth="1"/>
    <col min="4089" max="4089" width="15.125" style="290" customWidth="1"/>
    <col min="4090" max="4090" width="12.625" style="290" customWidth="1"/>
    <col min="4091" max="4091" width="5.5" style="290" customWidth="1"/>
    <col min="4092" max="4092" width="5.625" style="290" customWidth="1"/>
    <col min="4093" max="4093" width="8.75" style="290" customWidth="1"/>
    <col min="4094" max="4094" width="10.125" style="290" customWidth="1"/>
    <col min="4095" max="4095" width="14" style="290" customWidth="1"/>
    <col min="4096" max="4340" width="7.875" style="290"/>
    <col min="4341" max="4341" width="5.5" style="290" customWidth="1"/>
    <col min="4342" max="4342" width="6.25" style="290" customWidth="1"/>
    <col min="4343" max="4343" width="5.75" style="290" customWidth="1"/>
    <col min="4344" max="4344" width="7" style="290" customWidth="1"/>
    <col min="4345" max="4345" width="15.125" style="290" customWidth="1"/>
    <col min="4346" max="4346" width="12.625" style="290" customWidth="1"/>
    <col min="4347" max="4347" width="5.5" style="290" customWidth="1"/>
    <col min="4348" max="4348" width="5.625" style="290" customWidth="1"/>
    <col min="4349" max="4349" width="8.75" style="290" customWidth="1"/>
    <col min="4350" max="4350" width="10.125" style="290" customWidth="1"/>
    <col min="4351" max="4351" width="14" style="290" customWidth="1"/>
    <col min="4352" max="4596" width="7.875" style="290"/>
    <col min="4597" max="4597" width="5.5" style="290" customWidth="1"/>
    <col min="4598" max="4598" width="6.25" style="290" customWidth="1"/>
    <col min="4599" max="4599" width="5.75" style="290" customWidth="1"/>
    <col min="4600" max="4600" width="7" style="290" customWidth="1"/>
    <col min="4601" max="4601" width="15.125" style="290" customWidth="1"/>
    <col min="4602" max="4602" width="12.625" style="290" customWidth="1"/>
    <col min="4603" max="4603" width="5.5" style="290" customWidth="1"/>
    <col min="4604" max="4604" width="5.625" style="290" customWidth="1"/>
    <col min="4605" max="4605" width="8.75" style="290" customWidth="1"/>
    <col min="4606" max="4606" width="10.125" style="290" customWidth="1"/>
    <col min="4607" max="4607" width="14" style="290" customWidth="1"/>
    <col min="4608" max="4852" width="7.875" style="290"/>
    <col min="4853" max="4853" width="5.5" style="290" customWidth="1"/>
    <col min="4854" max="4854" width="6.25" style="290" customWidth="1"/>
    <col min="4855" max="4855" width="5.75" style="290" customWidth="1"/>
    <col min="4856" max="4856" width="7" style="290" customWidth="1"/>
    <col min="4857" max="4857" width="15.125" style="290" customWidth="1"/>
    <col min="4858" max="4858" width="12.625" style="290" customWidth="1"/>
    <col min="4859" max="4859" width="5.5" style="290" customWidth="1"/>
    <col min="4860" max="4860" width="5.625" style="290" customWidth="1"/>
    <col min="4861" max="4861" width="8.75" style="290" customWidth="1"/>
    <col min="4862" max="4862" width="10.125" style="290" customWidth="1"/>
    <col min="4863" max="4863" width="14" style="290" customWidth="1"/>
    <col min="4864" max="5108" width="7.875" style="290"/>
    <col min="5109" max="5109" width="5.5" style="290" customWidth="1"/>
    <col min="5110" max="5110" width="6.25" style="290" customWidth="1"/>
    <col min="5111" max="5111" width="5.75" style="290" customWidth="1"/>
    <col min="5112" max="5112" width="7" style="290" customWidth="1"/>
    <col min="5113" max="5113" width="15.125" style="290" customWidth="1"/>
    <col min="5114" max="5114" width="12.625" style="290" customWidth="1"/>
    <col min="5115" max="5115" width="5.5" style="290" customWidth="1"/>
    <col min="5116" max="5116" width="5.625" style="290" customWidth="1"/>
    <col min="5117" max="5117" width="8.75" style="290" customWidth="1"/>
    <col min="5118" max="5118" width="10.125" style="290" customWidth="1"/>
    <col min="5119" max="5119" width="14" style="290" customWidth="1"/>
    <col min="5120" max="5364" width="7.875" style="290"/>
    <col min="5365" max="5365" width="5.5" style="290" customWidth="1"/>
    <col min="5366" max="5366" width="6.25" style="290" customWidth="1"/>
    <col min="5367" max="5367" width="5.75" style="290" customWidth="1"/>
    <col min="5368" max="5368" width="7" style="290" customWidth="1"/>
    <col min="5369" max="5369" width="15.125" style="290" customWidth="1"/>
    <col min="5370" max="5370" width="12.625" style="290" customWidth="1"/>
    <col min="5371" max="5371" width="5.5" style="290" customWidth="1"/>
    <col min="5372" max="5372" width="5.625" style="290" customWidth="1"/>
    <col min="5373" max="5373" width="8.75" style="290" customWidth="1"/>
    <col min="5374" max="5374" width="10.125" style="290" customWidth="1"/>
    <col min="5375" max="5375" width="14" style="290" customWidth="1"/>
    <col min="5376" max="5620" width="7.875" style="290"/>
    <col min="5621" max="5621" width="5.5" style="290" customWidth="1"/>
    <col min="5622" max="5622" width="6.25" style="290" customWidth="1"/>
    <col min="5623" max="5623" width="5.75" style="290" customWidth="1"/>
    <col min="5624" max="5624" width="7" style="290" customWidth="1"/>
    <col min="5625" max="5625" width="15.125" style="290" customWidth="1"/>
    <col min="5626" max="5626" width="12.625" style="290" customWidth="1"/>
    <col min="5627" max="5627" width="5.5" style="290" customWidth="1"/>
    <col min="5628" max="5628" width="5.625" style="290" customWidth="1"/>
    <col min="5629" max="5629" width="8.75" style="290" customWidth="1"/>
    <col min="5630" max="5630" width="10.125" style="290" customWidth="1"/>
    <col min="5631" max="5631" width="14" style="290" customWidth="1"/>
    <col min="5632" max="5876" width="7.875" style="290"/>
    <col min="5877" max="5877" width="5.5" style="290" customWidth="1"/>
    <col min="5878" max="5878" width="6.25" style="290" customWidth="1"/>
    <col min="5879" max="5879" width="5.75" style="290" customWidth="1"/>
    <col min="5880" max="5880" width="7" style="290" customWidth="1"/>
    <col min="5881" max="5881" width="15.125" style="290" customWidth="1"/>
    <col min="5882" max="5882" width="12.625" style="290" customWidth="1"/>
    <col min="5883" max="5883" width="5.5" style="290" customWidth="1"/>
    <col min="5884" max="5884" width="5.625" style="290" customWidth="1"/>
    <col min="5885" max="5885" width="8.75" style="290" customWidth="1"/>
    <col min="5886" max="5886" width="10.125" style="290" customWidth="1"/>
    <col min="5887" max="5887" width="14" style="290" customWidth="1"/>
    <col min="5888" max="6132" width="7.875" style="290"/>
    <col min="6133" max="6133" width="5.5" style="290" customWidth="1"/>
    <col min="6134" max="6134" width="6.25" style="290" customWidth="1"/>
    <col min="6135" max="6135" width="5.75" style="290" customWidth="1"/>
    <col min="6136" max="6136" width="7" style="290" customWidth="1"/>
    <col min="6137" max="6137" width="15.125" style="290" customWidth="1"/>
    <col min="6138" max="6138" width="12.625" style="290" customWidth="1"/>
    <col min="6139" max="6139" width="5.5" style="290" customWidth="1"/>
    <col min="6140" max="6140" width="5.625" style="290" customWidth="1"/>
    <col min="6141" max="6141" width="8.75" style="290" customWidth="1"/>
    <col min="6142" max="6142" width="10.125" style="290" customWidth="1"/>
    <col min="6143" max="6143" width="14" style="290" customWidth="1"/>
    <col min="6144" max="6388" width="7.875" style="290"/>
    <col min="6389" max="6389" width="5.5" style="290" customWidth="1"/>
    <col min="6390" max="6390" width="6.25" style="290" customWidth="1"/>
    <col min="6391" max="6391" width="5.75" style="290" customWidth="1"/>
    <col min="6392" max="6392" width="7" style="290" customWidth="1"/>
    <col min="6393" max="6393" width="15.125" style="290" customWidth="1"/>
    <col min="6394" max="6394" width="12.625" style="290" customWidth="1"/>
    <col min="6395" max="6395" width="5.5" style="290" customWidth="1"/>
    <col min="6396" max="6396" width="5.625" style="290" customWidth="1"/>
    <col min="6397" max="6397" width="8.75" style="290" customWidth="1"/>
    <col min="6398" max="6398" width="10.125" style="290" customWidth="1"/>
    <col min="6399" max="6399" width="14" style="290" customWidth="1"/>
    <col min="6400" max="6644" width="7.875" style="290"/>
    <col min="6645" max="6645" width="5.5" style="290" customWidth="1"/>
    <col min="6646" max="6646" width="6.25" style="290" customWidth="1"/>
    <col min="6647" max="6647" width="5.75" style="290" customWidth="1"/>
    <col min="6648" max="6648" width="7" style="290" customWidth="1"/>
    <col min="6649" max="6649" width="15.125" style="290" customWidth="1"/>
    <col min="6650" max="6650" width="12.625" style="290" customWidth="1"/>
    <col min="6651" max="6651" width="5.5" style="290" customWidth="1"/>
    <col min="6652" max="6652" width="5.625" style="290" customWidth="1"/>
    <col min="6653" max="6653" width="8.75" style="290" customWidth="1"/>
    <col min="6654" max="6654" width="10.125" style="290" customWidth="1"/>
    <col min="6655" max="6655" width="14" style="290" customWidth="1"/>
    <col min="6656" max="6900" width="7.875" style="290"/>
    <col min="6901" max="6901" width="5.5" style="290" customWidth="1"/>
    <col min="6902" max="6902" width="6.25" style="290" customWidth="1"/>
    <col min="6903" max="6903" width="5.75" style="290" customWidth="1"/>
    <col min="6904" max="6904" width="7" style="290" customWidth="1"/>
    <col min="6905" max="6905" width="15.125" style="290" customWidth="1"/>
    <col min="6906" max="6906" width="12.625" style="290" customWidth="1"/>
    <col min="6907" max="6907" width="5.5" style="290" customWidth="1"/>
    <col min="6908" max="6908" width="5.625" style="290" customWidth="1"/>
    <col min="6909" max="6909" width="8.75" style="290" customWidth="1"/>
    <col min="6910" max="6910" width="10.125" style="290" customWidth="1"/>
    <col min="6911" max="6911" width="14" style="290" customWidth="1"/>
    <col min="6912" max="7156" width="7.875" style="290"/>
    <col min="7157" max="7157" width="5.5" style="290" customWidth="1"/>
    <col min="7158" max="7158" width="6.25" style="290" customWidth="1"/>
    <col min="7159" max="7159" width="5.75" style="290" customWidth="1"/>
    <col min="7160" max="7160" width="7" style="290" customWidth="1"/>
    <col min="7161" max="7161" width="15.125" style="290" customWidth="1"/>
    <col min="7162" max="7162" width="12.625" style="290" customWidth="1"/>
    <col min="7163" max="7163" width="5.5" style="290" customWidth="1"/>
    <col min="7164" max="7164" width="5.625" style="290" customWidth="1"/>
    <col min="7165" max="7165" width="8.75" style="290" customWidth="1"/>
    <col min="7166" max="7166" width="10.125" style="290" customWidth="1"/>
    <col min="7167" max="7167" width="14" style="290" customWidth="1"/>
    <col min="7168" max="7412" width="7.875" style="290"/>
    <col min="7413" max="7413" width="5.5" style="290" customWidth="1"/>
    <col min="7414" max="7414" width="6.25" style="290" customWidth="1"/>
    <col min="7415" max="7415" width="5.75" style="290" customWidth="1"/>
    <col min="7416" max="7416" width="7" style="290" customWidth="1"/>
    <col min="7417" max="7417" width="15.125" style="290" customWidth="1"/>
    <col min="7418" max="7418" width="12.625" style="290" customWidth="1"/>
    <col min="7419" max="7419" width="5.5" style="290" customWidth="1"/>
    <col min="7420" max="7420" width="5.625" style="290" customWidth="1"/>
    <col min="7421" max="7421" width="8.75" style="290" customWidth="1"/>
    <col min="7422" max="7422" width="10.125" style="290" customWidth="1"/>
    <col min="7423" max="7423" width="14" style="290" customWidth="1"/>
    <col min="7424" max="7668" width="7.875" style="290"/>
    <col min="7669" max="7669" width="5.5" style="290" customWidth="1"/>
    <col min="7670" max="7670" width="6.25" style="290" customWidth="1"/>
    <col min="7671" max="7671" width="5.75" style="290" customWidth="1"/>
    <col min="7672" max="7672" width="7" style="290" customWidth="1"/>
    <col min="7673" max="7673" width="15.125" style="290" customWidth="1"/>
    <col min="7674" max="7674" width="12.625" style="290" customWidth="1"/>
    <col min="7675" max="7675" width="5.5" style="290" customWidth="1"/>
    <col min="7676" max="7676" width="5.625" style="290" customWidth="1"/>
    <col min="7677" max="7677" width="8.75" style="290" customWidth="1"/>
    <col min="7678" max="7678" width="10.125" style="290" customWidth="1"/>
    <col min="7679" max="7679" width="14" style="290" customWidth="1"/>
    <col min="7680" max="7924" width="7.875" style="290"/>
    <col min="7925" max="7925" width="5.5" style="290" customWidth="1"/>
    <col min="7926" max="7926" width="6.25" style="290" customWidth="1"/>
    <col min="7927" max="7927" width="5.75" style="290" customWidth="1"/>
    <col min="7928" max="7928" width="7" style="290" customWidth="1"/>
    <col min="7929" max="7929" width="15.125" style="290" customWidth="1"/>
    <col min="7930" max="7930" width="12.625" style="290" customWidth="1"/>
    <col min="7931" max="7931" width="5.5" style="290" customWidth="1"/>
    <col min="7932" max="7932" width="5.625" style="290" customWidth="1"/>
    <col min="7933" max="7933" width="8.75" style="290" customWidth="1"/>
    <col min="7934" max="7934" width="10.125" style="290" customWidth="1"/>
    <col min="7935" max="7935" width="14" style="290" customWidth="1"/>
    <col min="7936" max="8180" width="7.875" style="290"/>
    <col min="8181" max="8181" width="5.5" style="290" customWidth="1"/>
    <col min="8182" max="8182" width="6.25" style="290" customWidth="1"/>
    <col min="8183" max="8183" width="5.75" style="290" customWidth="1"/>
    <col min="8184" max="8184" width="7" style="290" customWidth="1"/>
    <col min="8185" max="8185" width="15.125" style="290" customWidth="1"/>
    <col min="8186" max="8186" width="12.625" style="290" customWidth="1"/>
    <col min="8187" max="8187" width="5.5" style="290" customWidth="1"/>
    <col min="8188" max="8188" width="5.625" style="290" customWidth="1"/>
    <col min="8189" max="8189" width="8.75" style="290" customWidth="1"/>
    <col min="8190" max="8190" width="10.125" style="290" customWidth="1"/>
    <col min="8191" max="8191" width="14" style="290" customWidth="1"/>
    <col min="8192" max="8436" width="7.875" style="290"/>
    <col min="8437" max="8437" width="5.5" style="290" customWidth="1"/>
    <col min="8438" max="8438" width="6.25" style="290" customWidth="1"/>
    <col min="8439" max="8439" width="5.75" style="290" customWidth="1"/>
    <col min="8440" max="8440" width="7" style="290" customWidth="1"/>
    <col min="8441" max="8441" width="15.125" style="290" customWidth="1"/>
    <col min="8442" max="8442" width="12.625" style="290" customWidth="1"/>
    <col min="8443" max="8443" width="5.5" style="290" customWidth="1"/>
    <col min="8444" max="8444" width="5.625" style="290" customWidth="1"/>
    <col min="8445" max="8445" width="8.75" style="290" customWidth="1"/>
    <col min="8446" max="8446" width="10.125" style="290" customWidth="1"/>
    <col min="8447" max="8447" width="14" style="290" customWidth="1"/>
    <col min="8448" max="8692" width="7.875" style="290"/>
    <col min="8693" max="8693" width="5.5" style="290" customWidth="1"/>
    <col min="8694" max="8694" width="6.25" style="290" customWidth="1"/>
    <col min="8695" max="8695" width="5.75" style="290" customWidth="1"/>
    <col min="8696" max="8696" width="7" style="290" customWidth="1"/>
    <col min="8697" max="8697" width="15.125" style="290" customWidth="1"/>
    <col min="8698" max="8698" width="12.625" style="290" customWidth="1"/>
    <col min="8699" max="8699" width="5.5" style="290" customWidth="1"/>
    <col min="8700" max="8700" width="5.625" style="290" customWidth="1"/>
    <col min="8701" max="8701" width="8.75" style="290" customWidth="1"/>
    <col min="8702" max="8702" width="10.125" style="290" customWidth="1"/>
    <col min="8703" max="8703" width="14" style="290" customWidth="1"/>
    <col min="8704" max="8948" width="7.875" style="290"/>
    <col min="8949" max="8949" width="5.5" style="290" customWidth="1"/>
    <col min="8950" max="8950" width="6.25" style="290" customWidth="1"/>
    <col min="8951" max="8951" width="5.75" style="290" customWidth="1"/>
    <col min="8952" max="8952" width="7" style="290" customWidth="1"/>
    <col min="8953" max="8953" width="15.125" style="290" customWidth="1"/>
    <col min="8954" max="8954" width="12.625" style="290" customWidth="1"/>
    <col min="8955" max="8955" width="5.5" style="290" customWidth="1"/>
    <col min="8956" max="8956" width="5.625" style="290" customWidth="1"/>
    <col min="8957" max="8957" width="8.75" style="290" customWidth="1"/>
    <col min="8958" max="8958" width="10.125" style="290" customWidth="1"/>
    <col min="8959" max="8959" width="14" style="290" customWidth="1"/>
    <col min="8960" max="9204" width="7.875" style="290"/>
    <col min="9205" max="9205" width="5.5" style="290" customWidth="1"/>
    <col min="9206" max="9206" width="6.25" style="290" customWidth="1"/>
    <col min="9207" max="9207" width="5.75" style="290" customWidth="1"/>
    <col min="9208" max="9208" width="7" style="290" customWidth="1"/>
    <col min="9209" max="9209" width="15.125" style="290" customWidth="1"/>
    <col min="9210" max="9210" width="12.625" style="290" customWidth="1"/>
    <col min="9211" max="9211" width="5.5" style="290" customWidth="1"/>
    <col min="9212" max="9212" width="5.625" style="290" customWidth="1"/>
    <col min="9213" max="9213" width="8.75" style="290" customWidth="1"/>
    <col min="9214" max="9214" width="10.125" style="290" customWidth="1"/>
    <col min="9215" max="9215" width="14" style="290" customWidth="1"/>
    <col min="9216" max="9460" width="7.875" style="290"/>
    <col min="9461" max="9461" width="5.5" style="290" customWidth="1"/>
    <col min="9462" max="9462" width="6.25" style="290" customWidth="1"/>
    <col min="9463" max="9463" width="5.75" style="290" customWidth="1"/>
    <col min="9464" max="9464" width="7" style="290" customWidth="1"/>
    <col min="9465" max="9465" width="15.125" style="290" customWidth="1"/>
    <col min="9466" max="9466" width="12.625" style="290" customWidth="1"/>
    <col min="9467" max="9467" width="5.5" style="290" customWidth="1"/>
    <col min="9468" max="9468" width="5.625" style="290" customWidth="1"/>
    <col min="9469" max="9469" width="8.75" style="290" customWidth="1"/>
    <col min="9470" max="9470" width="10.125" style="290" customWidth="1"/>
    <col min="9471" max="9471" width="14" style="290" customWidth="1"/>
    <col min="9472" max="9716" width="7.875" style="290"/>
    <col min="9717" max="9717" width="5.5" style="290" customWidth="1"/>
    <col min="9718" max="9718" width="6.25" style="290" customWidth="1"/>
    <col min="9719" max="9719" width="5.75" style="290" customWidth="1"/>
    <col min="9720" max="9720" width="7" style="290" customWidth="1"/>
    <col min="9721" max="9721" width="15.125" style="290" customWidth="1"/>
    <col min="9722" max="9722" width="12.625" style="290" customWidth="1"/>
    <col min="9723" max="9723" width="5.5" style="290" customWidth="1"/>
    <col min="9724" max="9724" width="5.625" style="290" customWidth="1"/>
    <col min="9725" max="9725" width="8.75" style="290" customWidth="1"/>
    <col min="9726" max="9726" width="10.125" style="290" customWidth="1"/>
    <col min="9727" max="9727" width="14" style="290" customWidth="1"/>
    <col min="9728" max="9972" width="7.875" style="290"/>
    <col min="9973" max="9973" width="5.5" style="290" customWidth="1"/>
    <col min="9974" max="9974" width="6.25" style="290" customWidth="1"/>
    <col min="9975" max="9975" width="5.75" style="290" customWidth="1"/>
    <col min="9976" max="9976" width="7" style="290" customWidth="1"/>
    <col min="9977" max="9977" width="15.125" style="290" customWidth="1"/>
    <col min="9978" max="9978" width="12.625" style="290" customWidth="1"/>
    <col min="9979" max="9979" width="5.5" style="290" customWidth="1"/>
    <col min="9980" max="9980" width="5.625" style="290" customWidth="1"/>
    <col min="9981" max="9981" width="8.75" style="290" customWidth="1"/>
    <col min="9982" max="9982" width="10.125" style="290" customWidth="1"/>
    <col min="9983" max="9983" width="14" style="290" customWidth="1"/>
    <col min="9984" max="10228" width="7.875" style="290"/>
    <col min="10229" max="10229" width="5.5" style="290" customWidth="1"/>
    <col min="10230" max="10230" width="6.25" style="290" customWidth="1"/>
    <col min="10231" max="10231" width="5.75" style="290" customWidth="1"/>
    <col min="10232" max="10232" width="7" style="290" customWidth="1"/>
    <col min="10233" max="10233" width="15.125" style="290" customWidth="1"/>
    <col min="10234" max="10234" width="12.625" style="290" customWidth="1"/>
    <col min="10235" max="10235" width="5.5" style="290" customWidth="1"/>
    <col min="10236" max="10236" width="5.625" style="290" customWidth="1"/>
    <col min="10237" max="10237" width="8.75" style="290" customWidth="1"/>
    <col min="10238" max="10238" width="10.125" style="290" customWidth="1"/>
    <col min="10239" max="10239" width="14" style="290" customWidth="1"/>
    <col min="10240" max="10484" width="7.875" style="290"/>
    <col min="10485" max="10485" width="5.5" style="290" customWidth="1"/>
    <col min="10486" max="10486" width="6.25" style="290" customWidth="1"/>
    <col min="10487" max="10487" width="5.75" style="290" customWidth="1"/>
    <col min="10488" max="10488" width="7" style="290" customWidth="1"/>
    <col min="10489" max="10489" width="15.125" style="290" customWidth="1"/>
    <col min="10490" max="10490" width="12.625" style="290" customWidth="1"/>
    <col min="10491" max="10491" width="5.5" style="290" customWidth="1"/>
    <col min="10492" max="10492" width="5.625" style="290" customWidth="1"/>
    <col min="10493" max="10493" width="8.75" style="290" customWidth="1"/>
    <col min="10494" max="10494" width="10.125" style="290" customWidth="1"/>
    <col min="10495" max="10495" width="14" style="290" customWidth="1"/>
    <col min="10496" max="10740" width="7.875" style="290"/>
    <col min="10741" max="10741" width="5.5" style="290" customWidth="1"/>
    <col min="10742" max="10742" width="6.25" style="290" customWidth="1"/>
    <col min="10743" max="10743" width="5.75" style="290" customWidth="1"/>
    <col min="10744" max="10744" width="7" style="290" customWidth="1"/>
    <col min="10745" max="10745" width="15.125" style="290" customWidth="1"/>
    <col min="10746" max="10746" width="12.625" style="290" customWidth="1"/>
    <col min="10747" max="10747" width="5.5" style="290" customWidth="1"/>
    <col min="10748" max="10748" width="5.625" style="290" customWidth="1"/>
    <col min="10749" max="10749" width="8.75" style="290" customWidth="1"/>
    <col min="10750" max="10750" width="10.125" style="290" customWidth="1"/>
    <col min="10751" max="10751" width="14" style="290" customWidth="1"/>
    <col min="10752" max="10996" width="7.875" style="290"/>
    <col min="10997" max="10997" width="5.5" style="290" customWidth="1"/>
    <col min="10998" max="10998" width="6.25" style="290" customWidth="1"/>
    <col min="10999" max="10999" width="5.75" style="290" customWidth="1"/>
    <col min="11000" max="11000" width="7" style="290" customWidth="1"/>
    <col min="11001" max="11001" width="15.125" style="290" customWidth="1"/>
    <col min="11002" max="11002" width="12.625" style="290" customWidth="1"/>
    <col min="11003" max="11003" width="5.5" style="290" customWidth="1"/>
    <col min="11004" max="11004" width="5.625" style="290" customWidth="1"/>
    <col min="11005" max="11005" width="8.75" style="290" customWidth="1"/>
    <col min="11006" max="11006" width="10.125" style="290" customWidth="1"/>
    <col min="11007" max="11007" width="14" style="290" customWidth="1"/>
    <col min="11008" max="11252" width="7.875" style="290"/>
    <col min="11253" max="11253" width="5.5" style="290" customWidth="1"/>
    <col min="11254" max="11254" width="6.25" style="290" customWidth="1"/>
    <col min="11255" max="11255" width="5.75" style="290" customWidth="1"/>
    <col min="11256" max="11256" width="7" style="290" customWidth="1"/>
    <col min="11257" max="11257" width="15.125" style="290" customWidth="1"/>
    <col min="11258" max="11258" width="12.625" style="290" customWidth="1"/>
    <col min="11259" max="11259" width="5.5" style="290" customWidth="1"/>
    <col min="11260" max="11260" width="5.625" style="290" customWidth="1"/>
    <col min="11261" max="11261" width="8.75" style="290" customWidth="1"/>
    <col min="11262" max="11262" width="10.125" style="290" customWidth="1"/>
    <col min="11263" max="11263" width="14" style="290" customWidth="1"/>
    <col min="11264" max="11508" width="7.875" style="290"/>
    <col min="11509" max="11509" width="5.5" style="290" customWidth="1"/>
    <col min="11510" max="11510" width="6.25" style="290" customWidth="1"/>
    <col min="11511" max="11511" width="5.75" style="290" customWidth="1"/>
    <col min="11512" max="11512" width="7" style="290" customWidth="1"/>
    <col min="11513" max="11513" width="15.125" style="290" customWidth="1"/>
    <col min="11514" max="11514" width="12.625" style="290" customWidth="1"/>
    <col min="11515" max="11515" width="5.5" style="290" customWidth="1"/>
    <col min="11516" max="11516" width="5.625" style="290" customWidth="1"/>
    <col min="11517" max="11517" width="8.75" style="290" customWidth="1"/>
    <col min="11518" max="11518" width="10.125" style="290" customWidth="1"/>
    <col min="11519" max="11519" width="14" style="290" customWidth="1"/>
    <col min="11520" max="11764" width="7.875" style="290"/>
    <col min="11765" max="11765" width="5.5" style="290" customWidth="1"/>
    <col min="11766" max="11766" width="6.25" style="290" customWidth="1"/>
    <col min="11767" max="11767" width="5.75" style="290" customWidth="1"/>
    <col min="11768" max="11768" width="7" style="290" customWidth="1"/>
    <col min="11769" max="11769" width="15.125" style="290" customWidth="1"/>
    <col min="11770" max="11770" width="12.625" style="290" customWidth="1"/>
    <col min="11771" max="11771" width="5.5" style="290" customWidth="1"/>
    <col min="11772" max="11772" width="5.625" style="290" customWidth="1"/>
    <col min="11773" max="11773" width="8.75" style="290" customWidth="1"/>
    <col min="11774" max="11774" width="10.125" style="290" customWidth="1"/>
    <col min="11775" max="11775" width="14" style="290" customWidth="1"/>
    <col min="11776" max="12020" width="7.875" style="290"/>
    <col min="12021" max="12021" width="5.5" style="290" customWidth="1"/>
    <col min="12022" max="12022" width="6.25" style="290" customWidth="1"/>
    <col min="12023" max="12023" width="5.75" style="290" customWidth="1"/>
    <col min="12024" max="12024" width="7" style="290" customWidth="1"/>
    <col min="12025" max="12025" width="15.125" style="290" customWidth="1"/>
    <col min="12026" max="12026" width="12.625" style="290" customWidth="1"/>
    <col min="12027" max="12027" width="5.5" style="290" customWidth="1"/>
    <col min="12028" max="12028" width="5.625" style="290" customWidth="1"/>
    <col min="12029" max="12029" width="8.75" style="290" customWidth="1"/>
    <col min="12030" max="12030" width="10.125" style="290" customWidth="1"/>
    <col min="12031" max="12031" width="14" style="290" customWidth="1"/>
    <col min="12032" max="12276" width="7.875" style="290"/>
    <col min="12277" max="12277" width="5.5" style="290" customWidth="1"/>
    <col min="12278" max="12278" width="6.25" style="290" customWidth="1"/>
    <col min="12279" max="12279" width="5.75" style="290" customWidth="1"/>
    <col min="12280" max="12280" width="7" style="290" customWidth="1"/>
    <col min="12281" max="12281" width="15.125" style="290" customWidth="1"/>
    <col min="12282" max="12282" width="12.625" style="290" customWidth="1"/>
    <col min="12283" max="12283" width="5.5" style="290" customWidth="1"/>
    <col min="12284" max="12284" width="5.625" style="290" customWidth="1"/>
    <col min="12285" max="12285" width="8.75" style="290" customWidth="1"/>
    <col min="12286" max="12286" width="10.125" style="290" customWidth="1"/>
    <col min="12287" max="12287" width="14" style="290" customWidth="1"/>
    <col min="12288" max="12532" width="7.875" style="290"/>
    <col min="12533" max="12533" width="5.5" style="290" customWidth="1"/>
    <col min="12534" max="12534" width="6.25" style="290" customWidth="1"/>
    <col min="12535" max="12535" width="5.75" style="290" customWidth="1"/>
    <col min="12536" max="12536" width="7" style="290" customWidth="1"/>
    <col min="12537" max="12537" width="15.125" style="290" customWidth="1"/>
    <col min="12538" max="12538" width="12.625" style="290" customWidth="1"/>
    <col min="12539" max="12539" width="5.5" style="290" customWidth="1"/>
    <col min="12540" max="12540" width="5.625" style="290" customWidth="1"/>
    <col min="12541" max="12541" width="8.75" style="290" customWidth="1"/>
    <col min="12542" max="12542" width="10.125" style="290" customWidth="1"/>
    <col min="12543" max="12543" width="14" style="290" customWidth="1"/>
    <col min="12544" max="12788" width="7.875" style="290"/>
    <col min="12789" max="12789" width="5.5" style="290" customWidth="1"/>
    <col min="12790" max="12790" width="6.25" style="290" customWidth="1"/>
    <col min="12791" max="12791" width="5.75" style="290" customWidth="1"/>
    <col min="12792" max="12792" width="7" style="290" customWidth="1"/>
    <col min="12793" max="12793" width="15.125" style="290" customWidth="1"/>
    <col min="12794" max="12794" width="12.625" style="290" customWidth="1"/>
    <col min="12795" max="12795" width="5.5" style="290" customWidth="1"/>
    <col min="12796" max="12796" width="5.625" style="290" customWidth="1"/>
    <col min="12797" max="12797" width="8.75" style="290" customWidth="1"/>
    <col min="12798" max="12798" width="10.125" style="290" customWidth="1"/>
    <col min="12799" max="12799" width="14" style="290" customWidth="1"/>
    <col min="12800" max="13044" width="7.875" style="290"/>
    <col min="13045" max="13045" width="5.5" style="290" customWidth="1"/>
    <col min="13046" max="13046" width="6.25" style="290" customWidth="1"/>
    <col min="13047" max="13047" width="5.75" style="290" customWidth="1"/>
    <col min="13048" max="13048" width="7" style="290" customWidth="1"/>
    <col min="13049" max="13049" width="15.125" style="290" customWidth="1"/>
    <col min="13050" max="13050" width="12.625" style="290" customWidth="1"/>
    <col min="13051" max="13051" width="5.5" style="290" customWidth="1"/>
    <col min="13052" max="13052" width="5.625" style="290" customWidth="1"/>
    <col min="13053" max="13053" width="8.75" style="290" customWidth="1"/>
    <col min="13054" max="13054" width="10.125" style="290" customWidth="1"/>
    <col min="13055" max="13055" width="14" style="290" customWidth="1"/>
    <col min="13056" max="13300" width="7.875" style="290"/>
    <col min="13301" max="13301" width="5.5" style="290" customWidth="1"/>
    <col min="13302" max="13302" width="6.25" style="290" customWidth="1"/>
    <col min="13303" max="13303" width="5.75" style="290" customWidth="1"/>
    <col min="13304" max="13304" width="7" style="290" customWidth="1"/>
    <col min="13305" max="13305" width="15.125" style="290" customWidth="1"/>
    <col min="13306" max="13306" width="12.625" style="290" customWidth="1"/>
    <col min="13307" max="13307" width="5.5" style="290" customWidth="1"/>
    <col min="13308" max="13308" width="5.625" style="290" customWidth="1"/>
    <col min="13309" max="13309" width="8.75" style="290" customWidth="1"/>
    <col min="13310" max="13310" width="10.125" style="290" customWidth="1"/>
    <col min="13311" max="13311" width="14" style="290" customWidth="1"/>
    <col min="13312" max="13556" width="7.875" style="290"/>
    <col min="13557" max="13557" width="5.5" style="290" customWidth="1"/>
    <col min="13558" max="13558" width="6.25" style="290" customWidth="1"/>
    <col min="13559" max="13559" width="5.75" style="290" customWidth="1"/>
    <col min="13560" max="13560" width="7" style="290" customWidth="1"/>
    <col min="13561" max="13561" width="15.125" style="290" customWidth="1"/>
    <col min="13562" max="13562" width="12.625" style="290" customWidth="1"/>
    <col min="13563" max="13563" width="5.5" style="290" customWidth="1"/>
    <col min="13564" max="13564" width="5.625" style="290" customWidth="1"/>
    <col min="13565" max="13565" width="8.75" style="290" customWidth="1"/>
    <col min="13566" max="13566" width="10.125" style="290" customWidth="1"/>
    <col min="13567" max="13567" width="14" style="290" customWidth="1"/>
    <col min="13568" max="13812" width="7.875" style="290"/>
    <col min="13813" max="13813" width="5.5" style="290" customWidth="1"/>
    <col min="13814" max="13814" width="6.25" style="290" customWidth="1"/>
    <col min="13815" max="13815" width="5.75" style="290" customWidth="1"/>
    <col min="13816" max="13816" width="7" style="290" customWidth="1"/>
    <col min="13817" max="13817" width="15.125" style="290" customWidth="1"/>
    <col min="13818" max="13818" width="12.625" style="290" customWidth="1"/>
    <col min="13819" max="13819" width="5.5" style="290" customWidth="1"/>
    <col min="13820" max="13820" width="5.625" style="290" customWidth="1"/>
    <col min="13821" max="13821" width="8.75" style="290" customWidth="1"/>
    <col min="13822" max="13822" width="10.125" style="290" customWidth="1"/>
    <col min="13823" max="13823" width="14" style="290" customWidth="1"/>
    <col min="13824" max="14068" width="7.875" style="290"/>
    <col min="14069" max="14069" width="5.5" style="290" customWidth="1"/>
    <col min="14070" max="14070" width="6.25" style="290" customWidth="1"/>
    <col min="14071" max="14071" width="5.75" style="290" customWidth="1"/>
    <col min="14072" max="14072" width="7" style="290" customWidth="1"/>
    <col min="14073" max="14073" width="15.125" style="290" customWidth="1"/>
    <col min="14074" max="14074" width="12.625" style="290" customWidth="1"/>
    <col min="14075" max="14075" width="5.5" style="290" customWidth="1"/>
    <col min="14076" max="14076" width="5.625" style="290" customWidth="1"/>
    <col min="14077" max="14077" width="8.75" style="290" customWidth="1"/>
    <col min="14078" max="14078" width="10.125" style="290" customWidth="1"/>
    <col min="14079" max="14079" width="14" style="290" customWidth="1"/>
    <col min="14080" max="14324" width="7.875" style="290"/>
    <col min="14325" max="14325" width="5.5" style="290" customWidth="1"/>
    <col min="14326" max="14326" width="6.25" style="290" customWidth="1"/>
    <col min="14327" max="14327" width="5.75" style="290" customWidth="1"/>
    <col min="14328" max="14328" width="7" style="290" customWidth="1"/>
    <col min="14329" max="14329" width="15.125" style="290" customWidth="1"/>
    <col min="14330" max="14330" width="12.625" style="290" customWidth="1"/>
    <col min="14331" max="14331" width="5.5" style="290" customWidth="1"/>
    <col min="14332" max="14332" width="5.625" style="290" customWidth="1"/>
    <col min="14333" max="14333" width="8.75" style="290" customWidth="1"/>
    <col min="14334" max="14334" width="10.125" style="290" customWidth="1"/>
    <col min="14335" max="14335" width="14" style="290" customWidth="1"/>
    <col min="14336" max="14580" width="7.875" style="290"/>
    <col min="14581" max="14581" width="5.5" style="290" customWidth="1"/>
    <col min="14582" max="14582" width="6.25" style="290" customWidth="1"/>
    <col min="14583" max="14583" width="5.75" style="290" customWidth="1"/>
    <col min="14584" max="14584" width="7" style="290" customWidth="1"/>
    <col min="14585" max="14585" width="15.125" style="290" customWidth="1"/>
    <col min="14586" max="14586" width="12.625" style="290" customWidth="1"/>
    <col min="14587" max="14587" width="5.5" style="290" customWidth="1"/>
    <col min="14588" max="14588" width="5.625" style="290" customWidth="1"/>
    <col min="14589" max="14589" width="8.75" style="290" customWidth="1"/>
    <col min="14590" max="14590" width="10.125" style="290" customWidth="1"/>
    <col min="14591" max="14591" width="14" style="290" customWidth="1"/>
    <col min="14592" max="14836" width="7.875" style="290"/>
    <col min="14837" max="14837" width="5.5" style="290" customWidth="1"/>
    <col min="14838" max="14838" width="6.25" style="290" customWidth="1"/>
    <col min="14839" max="14839" width="5.75" style="290" customWidth="1"/>
    <col min="14840" max="14840" width="7" style="290" customWidth="1"/>
    <col min="14841" max="14841" width="15.125" style="290" customWidth="1"/>
    <col min="14842" max="14842" width="12.625" style="290" customWidth="1"/>
    <col min="14843" max="14843" width="5.5" style="290" customWidth="1"/>
    <col min="14844" max="14844" width="5.625" style="290" customWidth="1"/>
    <col min="14845" max="14845" width="8.75" style="290" customWidth="1"/>
    <col min="14846" max="14846" width="10.125" style="290" customWidth="1"/>
    <col min="14847" max="14847" width="14" style="290" customWidth="1"/>
    <col min="14848" max="15092" width="7.875" style="290"/>
    <col min="15093" max="15093" width="5.5" style="290" customWidth="1"/>
    <col min="15094" max="15094" width="6.25" style="290" customWidth="1"/>
    <col min="15095" max="15095" width="5.75" style="290" customWidth="1"/>
    <col min="15096" max="15096" width="7" style="290" customWidth="1"/>
    <col min="15097" max="15097" width="15.125" style="290" customWidth="1"/>
    <col min="15098" max="15098" width="12.625" style="290" customWidth="1"/>
    <col min="15099" max="15099" width="5.5" style="290" customWidth="1"/>
    <col min="15100" max="15100" width="5.625" style="290" customWidth="1"/>
    <col min="15101" max="15101" width="8.75" style="290" customWidth="1"/>
    <col min="15102" max="15102" width="10.125" style="290" customWidth="1"/>
    <col min="15103" max="15103" width="14" style="290" customWidth="1"/>
    <col min="15104" max="15348" width="7.875" style="290"/>
    <col min="15349" max="15349" width="5.5" style="290" customWidth="1"/>
    <col min="15350" max="15350" width="6.25" style="290" customWidth="1"/>
    <col min="15351" max="15351" width="5.75" style="290" customWidth="1"/>
    <col min="15352" max="15352" width="7" style="290" customWidth="1"/>
    <col min="15353" max="15353" width="15.125" style="290" customWidth="1"/>
    <col min="15354" max="15354" width="12.625" style="290" customWidth="1"/>
    <col min="15355" max="15355" width="5.5" style="290" customWidth="1"/>
    <col min="15356" max="15356" width="5.625" style="290" customWidth="1"/>
    <col min="15357" max="15357" width="8.75" style="290" customWidth="1"/>
    <col min="15358" max="15358" width="10.125" style="290" customWidth="1"/>
    <col min="15359" max="15359" width="14" style="290" customWidth="1"/>
    <col min="15360" max="15604" width="7.875" style="290"/>
    <col min="15605" max="15605" width="5.5" style="290" customWidth="1"/>
    <col min="15606" max="15606" width="6.25" style="290" customWidth="1"/>
    <col min="15607" max="15607" width="5.75" style="290" customWidth="1"/>
    <col min="15608" max="15608" width="7" style="290" customWidth="1"/>
    <col min="15609" max="15609" width="15.125" style="290" customWidth="1"/>
    <col min="15610" max="15610" width="12.625" style="290" customWidth="1"/>
    <col min="15611" max="15611" width="5.5" style="290" customWidth="1"/>
    <col min="15612" max="15612" width="5.625" style="290" customWidth="1"/>
    <col min="15613" max="15613" width="8.75" style="290" customWidth="1"/>
    <col min="15614" max="15614" width="10.125" style="290" customWidth="1"/>
    <col min="15615" max="15615" width="14" style="290" customWidth="1"/>
    <col min="15616" max="15860" width="7.875" style="290"/>
    <col min="15861" max="15861" width="5.5" style="290" customWidth="1"/>
    <col min="15862" max="15862" width="6.25" style="290" customWidth="1"/>
    <col min="15863" max="15863" width="5.75" style="290" customWidth="1"/>
    <col min="15864" max="15864" width="7" style="290" customWidth="1"/>
    <col min="15865" max="15865" width="15.125" style="290" customWidth="1"/>
    <col min="15866" max="15866" width="12.625" style="290" customWidth="1"/>
    <col min="15867" max="15867" width="5.5" style="290" customWidth="1"/>
    <col min="15868" max="15868" width="5.625" style="290" customWidth="1"/>
    <col min="15869" max="15869" width="8.75" style="290" customWidth="1"/>
    <col min="15870" max="15870" width="10.125" style="290" customWidth="1"/>
    <col min="15871" max="15871" width="14" style="290" customWidth="1"/>
    <col min="15872" max="16116" width="7.875" style="290"/>
    <col min="16117" max="16117" width="5.5" style="290" customWidth="1"/>
    <col min="16118" max="16118" width="6.25" style="290" customWidth="1"/>
    <col min="16119" max="16119" width="5.75" style="290" customWidth="1"/>
    <col min="16120" max="16120" width="7" style="290" customWidth="1"/>
    <col min="16121" max="16121" width="15.125" style="290" customWidth="1"/>
    <col min="16122" max="16122" width="12.625" style="290" customWidth="1"/>
    <col min="16123" max="16123" width="5.5" style="290" customWidth="1"/>
    <col min="16124" max="16124" width="5.625" style="290" customWidth="1"/>
    <col min="16125" max="16125" width="8.75" style="290" customWidth="1"/>
    <col min="16126" max="16126" width="10.125" style="290" customWidth="1"/>
    <col min="16127" max="16127" width="14" style="290" customWidth="1"/>
    <col min="16128" max="16384" width="7.875" style="290"/>
  </cols>
  <sheetData>
    <row r="1" spans="1:11" ht="30" customHeight="1">
      <c r="A1" s="548" t="s">
        <v>1419</v>
      </c>
      <c r="B1" s="549"/>
      <c r="C1" s="549"/>
      <c r="D1" s="549"/>
      <c r="E1" s="549"/>
      <c r="F1" s="549"/>
      <c r="G1" s="549"/>
      <c r="H1" s="550"/>
      <c r="I1" s="550"/>
      <c r="J1" s="550"/>
      <c r="K1" s="551"/>
    </row>
    <row r="2" spans="1:11" s="295" customFormat="1" ht="21" customHeight="1">
      <c r="A2" s="291" t="s">
        <v>12</v>
      </c>
      <c r="B2" s="291" t="s">
        <v>1040</v>
      </c>
      <c r="C2" s="291" t="s">
        <v>1041</v>
      </c>
      <c r="D2" s="291" t="s">
        <v>1042</v>
      </c>
      <c r="E2" s="291" t="s">
        <v>1043</v>
      </c>
      <c r="F2" s="291" t="s">
        <v>1044</v>
      </c>
      <c r="G2" s="291" t="s">
        <v>1</v>
      </c>
      <c r="H2" s="292" t="s">
        <v>1045</v>
      </c>
      <c r="I2" s="293" t="s">
        <v>1275</v>
      </c>
      <c r="J2" s="294" t="s">
        <v>1276</v>
      </c>
      <c r="K2" s="333" t="s">
        <v>1416</v>
      </c>
    </row>
    <row r="3" spans="1:11" ht="21" customHeight="1">
      <c r="A3" s="529">
        <v>1</v>
      </c>
      <c r="B3" s="529" t="s">
        <v>1277</v>
      </c>
      <c r="C3" s="529" t="s">
        <v>1278</v>
      </c>
      <c r="D3" s="552" t="s">
        <v>1078</v>
      </c>
      <c r="E3" s="545" t="s">
        <v>1279</v>
      </c>
      <c r="F3" s="545" t="s">
        <v>1280</v>
      </c>
      <c r="G3" s="296" t="s">
        <v>1281</v>
      </c>
      <c r="H3" s="297">
        <v>57</v>
      </c>
      <c r="I3" s="297">
        <v>190</v>
      </c>
      <c r="J3" s="298">
        <v>10830</v>
      </c>
      <c r="K3" s="553">
        <f>ROUND(J21*0.8,0)</f>
        <v>274461</v>
      </c>
    </row>
    <row r="4" spans="1:11" ht="21" customHeight="1">
      <c r="A4" s="529"/>
      <c r="B4" s="529"/>
      <c r="C4" s="529"/>
      <c r="D4" s="552"/>
      <c r="E4" s="546"/>
      <c r="F4" s="546"/>
      <c r="G4" s="296" t="s">
        <v>1281</v>
      </c>
      <c r="H4" s="297">
        <v>57</v>
      </c>
      <c r="I4" s="297">
        <v>150</v>
      </c>
      <c r="J4" s="298">
        <v>8550</v>
      </c>
      <c r="K4" s="554"/>
    </row>
    <row r="5" spans="1:11" ht="21" customHeight="1">
      <c r="A5" s="529"/>
      <c r="B5" s="529"/>
      <c r="C5" s="529"/>
      <c r="D5" s="552"/>
      <c r="E5" s="546"/>
      <c r="F5" s="546"/>
      <c r="G5" s="296" t="s">
        <v>1281</v>
      </c>
      <c r="H5" s="297">
        <v>57</v>
      </c>
      <c r="I5" s="297">
        <v>226</v>
      </c>
      <c r="J5" s="298">
        <v>12882</v>
      </c>
      <c r="K5" s="554"/>
    </row>
    <row r="6" spans="1:11" ht="21" customHeight="1">
      <c r="A6" s="529"/>
      <c r="B6" s="529"/>
      <c r="C6" s="529"/>
      <c r="D6" s="552"/>
      <c r="E6" s="546"/>
      <c r="F6" s="546"/>
      <c r="G6" s="296" t="s">
        <v>1281</v>
      </c>
      <c r="H6" s="297">
        <v>180</v>
      </c>
      <c r="I6" s="297">
        <v>236</v>
      </c>
      <c r="J6" s="298">
        <v>42480</v>
      </c>
      <c r="K6" s="554"/>
    </row>
    <row r="7" spans="1:11" ht="21" customHeight="1">
      <c r="A7" s="529"/>
      <c r="B7" s="529"/>
      <c r="C7" s="529"/>
      <c r="D7" s="552"/>
      <c r="E7" s="546"/>
      <c r="F7" s="546"/>
      <c r="G7" s="296" t="s">
        <v>1281</v>
      </c>
      <c r="H7" s="297">
        <v>57</v>
      </c>
      <c r="I7" s="297">
        <v>237</v>
      </c>
      <c r="J7" s="298">
        <v>13509</v>
      </c>
      <c r="K7" s="554"/>
    </row>
    <row r="8" spans="1:11" ht="21" customHeight="1">
      <c r="A8" s="529"/>
      <c r="B8" s="529"/>
      <c r="C8" s="529"/>
      <c r="D8" s="552"/>
      <c r="E8" s="546"/>
      <c r="F8" s="546"/>
      <c r="G8" s="296" t="s">
        <v>1103</v>
      </c>
      <c r="H8" s="297">
        <v>6</v>
      </c>
      <c r="I8" s="297">
        <v>1600</v>
      </c>
      <c r="J8" s="298">
        <v>9600</v>
      </c>
      <c r="K8" s="554"/>
    </row>
    <row r="9" spans="1:11" ht="21" customHeight="1">
      <c r="A9" s="529"/>
      <c r="B9" s="529"/>
      <c r="C9" s="529"/>
      <c r="D9" s="552"/>
      <c r="E9" s="546"/>
      <c r="F9" s="546"/>
      <c r="G9" s="296" t="s">
        <v>1281</v>
      </c>
      <c r="H9" s="297">
        <v>7.02</v>
      </c>
      <c r="I9" s="297">
        <v>800</v>
      </c>
      <c r="J9" s="298">
        <v>5616</v>
      </c>
      <c r="K9" s="554"/>
    </row>
    <row r="10" spans="1:11" ht="21" customHeight="1">
      <c r="A10" s="529"/>
      <c r="B10" s="529"/>
      <c r="C10" s="529"/>
      <c r="D10" s="552"/>
      <c r="E10" s="547"/>
      <c r="F10" s="547"/>
      <c r="G10" s="296" t="s">
        <v>1281</v>
      </c>
      <c r="H10" s="297">
        <v>3</v>
      </c>
      <c r="I10" s="297">
        <v>500</v>
      </c>
      <c r="J10" s="298">
        <v>1500</v>
      </c>
      <c r="K10" s="554"/>
    </row>
    <row r="11" spans="1:11" ht="21" customHeight="1">
      <c r="A11" s="529"/>
      <c r="B11" s="529"/>
      <c r="C11" s="529"/>
      <c r="D11" s="552"/>
      <c r="E11" s="529" t="s">
        <v>1282</v>
      </c>
      <c r="F11" s="296" t="s">
        <v>1283</v>
      </c>
      <c r="G11" s="296" t="s">
        <v>1281</v>
      </c>
      <c r="H11" s="297">
        <v>110</v>
      </c>
      <c r="I11" s="301">
        <v>48</v>
      </c>
      <c r="J11" s="298">
        <v>5280</v>
      </c>
      <c r="K11" s="554"/>
    </row>
    <row r="12" spans="1:11" ht="21" customHeight="1">
      <c r="A12" s="529"/>
      <c r="B12" s="529"/>
      <c r="C12" s="529"/>
      <c r="D12" s="552"/>
      <c r="E12" s="529"/>
      <c r="F12" s="296" t="s">
        <v>1284</v>
      </c>
      <c r="G12" s="296" t="s">
        <v>1281</v>
      </c>
      <c r="H12" s="297">
        <v>27</v>
      </c>
      <c r="I12" s="301">
        <v>222</v>
      </c>
      <c r="J12" s="298">
        <v>5994</v>
      </c>
      <c r="K12" s="554"/>
    </row>
    <row r="13" spans="1:11" ht="21" customHeight="1">
      <c r="A13" s="529"/>
      <c r="B13" s="529"/>
      <c r="C13" s="529"/>
      <c r="D13" s="552"/>
      <c r="E13" s="529"/>
      <c r="F13" s="296" t="s">
        <v>1285</v>
      </c>
      <c r="G13" s="296" t="s">
        <v>1281</v>
      </c>
      <c r="H13" s="297">
        <v>20</v>
      </c>
      <c r="I13" s="301">
        <v>245</v>
      </c>
      <c r="J13" s="298">
        <v>4900</v>
      </c>
      <c r="K13" s="554"/>
    </row>
    <row r="14" spans="1:11" ht="21" customHeight="1">
      <c r="A14" s="529"/>
      <c r="B14" s="529"/>
      <c r="C14" s="529"/>
      <c r="D14" s="552"/>
      <c r="E14" s="529"/>
      <c r="F14" s="302" t="s">
        <v>1286</v>
      </c>
      <c r="G14" s="302" t="s">
        <v>1281</v>
      </c>
      <c r="H14" s="303">
        <v>9</v>
      </c>
      <c r="I14" s="303">
        <v>680</v>
      </c>
      <c r="J14" s="298">
        <v>6120</v>
      </c>
      <c r="K14" s="554"/>
    </row>
    <row r="15" spans="1:11" ht="21" customHeight="1">
      <c r="A15" s="529"/>
      <c r="B15" s="529"/>
      <c r="C15" s="529"/>
      <c r="D15" s="552"/>
      <c r="E15" s="529"/>
      <c r="F15" s="296" t="s">
        <v>1287</v>
      </c>
      <c r="G15" s="296" t="s">
        <v>1281</v>
      </c>
      <c r="H15" s="297">
        <v>5</v>
      </c>
      <c r="I15" s="301">
        <v>226</v>
      </c>
      <c r="J15" s="298">
        <v>1130</v>
      </c>
      <c r="K15" s="554"/>
    </row>
    <row r="16" spans="1:11" ht="21" customHeight="1">
      <c r="A16" s="529"/>
      <c r="B16" s="529"/>
      <c r="C16" s="529"/>
      <c r="D16" s="552"/>
      <c r="E16" s="529"/>
      <c r="F16" s="296" t="s">
        <v>1288</v>
      </c>
      <c r="G16" s="296" t="s">
        <v>1067</v>
      </c>
      <c r="H16" s="297">
        <v>2</v>
      </c>
      <c r="I16" s="297">
        <v>800</v>
      </c>
      <c r="J16" s="298">
        <v>1600</v>
      </c>
      <c r="K16" s="554"/>
    </row>
    <row r="17" spans="1:11" ht="21" customHeight="1">
      <c r="A17" s="529"/>
      <c r="B17" s="529"/>
      <c r="C17" s="529"/>
      <c r="D17" s="552"/>
      <c r="E17" s="529"/>
      <c r="F17" s="296" t="s">
        <v>1289</v>
      </c>
      <c r="G17" s="296" t="s">
        <v>1281</v>
      </c>
      <c r="H17" s="297">
        <v>27</v>
      </c>
      <c r="I17" s="301">
        <v>237</v>
      </c>
      <c r="J17" s="298">
        <v>6399</v>
      </c>
      <c r="K17" s="554"/>
    </row>
    <row r="18" spans="1:11" ht="21" customHeight="1">
      <c r="A18" s="529"/>
      <c r="B18" s="529"/>
      <c r="C18" s="529"/>
      <c r="D18" s="552"/>
      <c r="E18" s="296" t="s">
        <v>1290</v>
      </c>
      <c r="F18" s="296" t="s">
        <v>1291</v>
      </c>
      <c r="G18" s="296" t="s">
        <v>1281</v>
      </c>
      <c r="H18" s="304">
        <v>3398.57</v>
      </c>
      <c r="I18" s="297">
        <v>50</v>
      </c>
      <c r="J18" s="298">
        <v>169928.5</v>
      </c>
      <c r="K18" s="554"/>
    </row>
    <row r="19" spans="1:11" ht="21" customHeight="1">
      <c r="A19" s="529"/>
      <c r="B19" s="529"/>
      <c r="C19" s="529"/>
      <c r="D19" s="552"/>
      <c r="E19" s="305" t="s">
        <v>1060</v>
      </c>
      <c r="F19" s="296"/>
      <c r="G19" s="296"/>
      <c r="H19" s="306"/>
      <c r="I19" s="306"/>
      <c r="J19" s="294">
        <v>306318.5</v>
      </c>
      <c r="K19" s="554"/>
    </row>
    <row r="20" spans="1:11" ht="21" customHeight="1">
      <c r="A20" s="529"/>
      <c r="B20" s="529"/>
      <c r="C20" s="529"/>
      <c r="D20" s="552"/>
      <c r="E20" s="305" t="s">
        <v>1061</v>
      </c>
      <c r="F20" s="296"/>
      <c r="G20" s="296"/>
      <c r="H20" s="306"/>
      <c r="I20" s="306"/>
      <c r="J20" s="294">
        <v>36758.22</v>
      </c>
      <c r="K20" s="554"/>
    </row>
    <row r="21" spans="1:11" ht="21" customHeight="1">
      <c r="A21" s="529"/>
      <c r="B21" s="529"/>
      <c r="C21" s="529"/>
      <c r="D21" s="552"/>
      <c r="E21" s="305" t="s">
        <v>1062</v>
      </c>
      <c r="F21" s="296"/>
      <c r="G21" s="296"/>
      <c r="H21" s="306"/>
      <c r="I21" s="306"/>
      <c r="J21" s="294">
        <v>343076.72</v>
      </c>
      <c r="K21" s="554"/>
    </row>
    <row r="22" spans="1:11" ht="21" customHeight="1">
      <c r="A22" s="545">
        <v>2</v>
      </c>
      <c r="B22" s="545" t="s">
        <v>1292</v>
      </c>
      <c r="C22" s="545" t="s">
        <v>1293</v>
      </c>
      <c r="D22" s="545" t="s">
        <v>1078</v>
      </c>
      <c r="E22" s="296" t="s">
        <v>1294</v>
      </c>
      <c r="F22" s="296" t="s">
        <v>1295</v>
      </c>
      <c r="G22" s="296" t="s">
        <v>1281</v>
      </c>
      <c r="H22" s="297">
        <v>500</v>
      </c>
      <c r="I22" s="297">
        <v>120</v>
      </c>
      <c r="J22" s="298">
        <v>60000</v>
      </c>
      <c r="K22" s="530">
        <f>ROUND(J30*0.8,0)</f>
        <v>396319</v>
      </c>
    </row>
    <row r="23" spans="1:11" ht="21" customHeight="1">
      <c r="A23" s="546"/>
      <c r="B23" s="546"/>
      <c r="C23" s="546"/>
      <c r="D23" s="546"/>
      <c r="E23" s="529" t="s">
        <v>1296</v>
      </c>
      <c r="F23" s="296" t="s">
        <v>1297</v>
      </c>
      <c r="G23" s="296" t="s">
        <v>1281</v>
      </c>
      <c r="H23" s="297">
        <v>514.66800000000001</v>
      </c>
      <c r="I23" s="297">
        <v>30</v>
      </c>
      <c r="J23" s="298">
        <v>15440.04</v>
      </c>
      <c r="K23" s="530"/>
    </row>
    <row r="24" spans="1:11" ht="21" customHeight="1">
      <c r="A24" s="546"/>
      <c r="B24" s="546"/>
      <c r="C24" s="546"/>
      <c r="D24" s="546"/>
      <c r="E24" s="552"/>
      <c r="F24" s="296" t="s">
        <v>1298</v>
      </c>
      <c r="G24" s="296" t="s">
        <v>1281</v>
      </c>
      <c r="H24" s="297">
        <v>514.66800000000001</v>
      </c>
      <c r="I24" s="297">
        <v>50</v>
      </c>
      <c r="J24" s="298">
        <v>25733.4</v>
      </c>
      <c r="K24" s="530"/>
    </row>
    <row r="25" spans="1:11" ht="21" customHeight="1">
      <c r="A25" s="546"/>
      <c r="B25" s="546"/>
      <c r="C25" s="546"/>
      <c r="D25" s="546"/>
      <c r="E25" s="552"/>
      <c r="F25" s="296" t="s">
        <v>1299</v>
      </c>
      <c r="G25" s="296" t="s">
        <v>1281</v>
      </c>
      <c r="H25" s="297">
        <v>119.79</v>
      </c>
      <c r="I25" s="297">
        <v>2500</v>
      </c>
      <c r="J25" s="298">
        <v>299475</v>
      </c>
      <c r="K25" s="530"/>
    </row>
    <row r="26" spans="1:11" ht="21" customHeight="1">
      <c r="A26" s="546"/>
      <c r="B26" s="546"/>
      <c r="C26" s="546"/>
      <c r="D26" s="546"/>
      <c r="E26" s="296" t="s">
        <v>1300</v>
      </c>
      <c r="F26" s="296" t="s">
        <v>1301</v>
      </c>
      <c r="G26" s="296" t="s">
        <v>1302</v>
      </c>
      <c r="H26" s="301">
        <v>64</v>
      </c>
      <c r="I26" s="297">
        <v>400</v>
      </c>
      <c r="J26" s="298">
        <v>25600</v>
      </c>
      <c r="K26" s="530"/>
    </row>
    <row r="27" spans="1:11" ht="21" customHeight="1">
      <c r="A27" s="546"/>
      <c r="B27" s="546"/>
      <c r="C27" s="546"/>
      <c r="D27" s="546"/>
      <c r="E27" s="305" t="s">
        <v>1060</v>
      </c>
      <c r="F27" s="296"/>
      <c r="G27" s="296"/>
      <c r="H27" s="306"/>
      <c r="I27" s="306"/>
      <c r="J27" s="294">
        <v>426248.44</v>
      </c>
      <c r="K27" s="530"/>
    </row>
    <row r="28" spans="1:11" ht="21" customHeight="1">
      <c r="A28" s="546"/>
      <c r="B28" s="546"/>
      <c r="C28" s="546"/>
      <c r="D28" s="546"/>
      <c r="E28" s="305" t="s">
        <v>1061</v>
      </c>
      <c r="F28" s="296"/>
      <c r="G28" s="296"/>
      <c r="H28" s="306"/>
      <c r="I28" s="306"/>
      <c r="J28" s="294">
        <v>51149.8128</v>
      </c>
      <c r="K28" s="530"/>
    </row>
    <row r="29" spans="1:11" ht="21" customHeight="1">
      <c r="A29" s="546"/>
      <c r="B29" s="546"/>
      <c r="C29" s="546"/>
      <c r="D29" s="546"/>
      <c r="E29" s="307" t="s">
        <v>1303</v>
      </c>
      <c r="F29" s="296"/>
      <c r="G29" s="296" t="s">
        <v>1082</v>
      </c>
      <c r="H29" s="308">
        <v>10</v>
      </c>
      <c r="I29" s="297">
        <v>1800</v>
      </c>
      <c r="J29" s="298">
        <v>18000</v>
      </c>
      <c r="K29" s="530"/>
    </row>
    <row r="30" spans="1:11" ht="21" customHeight="1">
      <c r="A30" s="547"/>
      <c r="B30" s="547"/>
      <c r="C30" s="547"/>
      <c r="D30" s="547"/>
      <c r="E30" s="305" t="s">
        <v>1062</v>
      </c>
      <c r="F30" s="296"/>
      <c r="G30" s="296"/>
      <c r="H30" s="306"/>
      <c r="I30" s="306"/>
      <c r="J30" s="294">
        <v>495398.25280000002</v>
      </c>
      <c r="K30" s="530"/>
    </row>
    <row r="31" spans="1:11" ht="21" customHeight="1">
      <c r="A31" s="529">
        <v>3</v>
      </c>
      <c r="B31" s="529" t="s">
        <v>1304</v>
      </c>
      <c r="C31" s="529" t="s">
        <v>1305</v>
      </c>
      <c r="D31" s="552" t="s">
        <v>1078</v>
      </c>
      <c r="E31" s="545" t="s">
        <v>1306</v>
      </c>
      <c r="F31" s="296" t="s">
        <v>1307</v>
      </c>
      <c r="G31" s="296" t="s">
        <v>1281</v>
      </c>
      <c r="H31" s="297">
        <v>815</v>
      </c>
      <c r="I31" s="301">
        <v>60</v>
      </c>
      <c r="J31" s="298">
        <v>48900</v>
      </c>
      <c r="K31" s="530">
        <f>ROUND(J36*0.8,0)</f>
        <v>489279</v>
      </c>
    </row>
    <row r="32" spans="1:11" ht="21" customHeight="1">
      <c r="A32" s="529"/>
      <c r="B32" s="529"/>
      <c r="C32" s="529"/>
      <c r="D32" s="552"/>
      <c r="E32" s="546"/>
      <c r="F32" s="296" t="s">
        <v>1308</v>
      </c>
      <c r="G32" s="296" t="s">
        <v>1281</v>
      </c>
      <c r="H32" s="297">
        <v>815</v>
      </c>
      <c r="I32" s="301">
        <v>238</v>
      </c>
      <c r="J32" s="298">
        <v>193970</v>
      </c>
      <c r="K32" s="530"/>
    </row>
    <row r="33" spans="1:11" ht="21" customHeight="1">
      <c r="A33" s="529"/>
      <c r="B33" s="529"/>
      <c r="C33" s="529"/>
      <c r="D33" s="552"/>
      <c r="E33" s="547"/>
      <c r="F33" s="262" t="s">
        <v>1309</v>
      </c>
      <c r="G33" s="309" t="s">
        <v>1281</v>
      </c>
      <c r="H33" s="297">
        <v>758</v>
      </c>
      <c r="I33" s="301">
        <v>400</v>
      </c>
      <c r="J33" s="298">
        <v>303200</v>
      </c>
      <c r="K33" s="530"/>
    </row>
    <row r="34" spans="1:11" ht="21" customHeight="1">
      <c r="A34" s="529"/>
      <c r="B34" s="529"/>
      <c r="C34" s="529"/>
      <c r="D34" s="552"/>
      <c r="E34" s="305" t="s">
        <v>1060</v>
      </c>
      <c r="F34" s="296"/>
      <c r="G34" s="296"/>
      <c r="H34" s="297"/>
      <c r="I34" s="306"/>
      <c r="J34" s="294">
        <v>546070</v>
      </c>
      <c r="K34" s="530"/>
    </row>
    <row r="35" spans="1:11" ht="21" customHeight="1">
      <c r="A35" s="529"/>
      <c r="B35" s="529"/>
      <c r="C35" s="529"/>
      <c r="D35" s="552"/>
      <c r="E35" s="305" t="s">
        <v>1061</v>
      </c>
      <c r="F35" s="296"/>
      <c r="G35" s="296"/>
      <c r="H35" s="297"/>
      <c r="I35" s="306"/>
      <c r="J35" s="294">
        <v>65528.4</v>
      </c>
      <c r="K35" s="530"/>
    </row>
    <row r="36" spans="1:11" ht="21" customHeight="1">
      <c r="A36" s="529"/>
      <c r="B36" s="529"/>
      <c r="C36" s="529"/>
      <c r="D36" s="552"/>
      <c r="E36" s="305" t="s">
        <v>1062</v>
      </c>
      <c r="F36" s="296"/>
      <c r="G36" s="296"/>
      <c r="H36" s="297"/>
      <c r="I36" s="306"/>
      <c r="J36" s="294">
        <v>611598.4</v>
      </c>
      <c r="K36" s="530"/>
    </row>
    <row r="37" spans="1:11" ht="21" customHeight="1">
      <c r="A37" s="529">
        <v>4</v>
      </c>
      <c r="B37" s="545" t="s">
        <v>1310</v>
      </c>
      <c r="C37" s="529" t="s">
        <v>1311</v>
      </c>
      <c r="D37" s="552" t="s">
        <v>1078</v>
      </c>
      <c r="E37" s="529" t="s">
        <v>1312</v>
      </c>
      <c r="F37" s="296" t="s">
        <v>1313</v>
      </c>
      <c r="G37" s="296" t="s">
        <v>1281</v>
      </c>
      <c r="H37" s="297">
        <v>2210</v>
      </c>
      <c r="I37" s="297">
        <v>50</v>
      </c>
      <c r="J37" s="298">
        <v>110500</v>
      </c>
      <c r="K37" s="530">
        <f>ROUND(J45*0.8,0)</f>
        <v>1209772</v>
      </c>
    </row>
    <row r="38" spans="1:11" ht="21" customHeight="1">
      <c r="A38" s="529"/>
      <c r="B38" s="546"/>
      <c r="C38" s="529"/>
      <c r="D38" s="552"/>
      <c r="E38" s="529"/>
      <c r="F38" s="296" t="s">
        <v>1314</v>
      </c>
      <c r="G38" s="296" t="s">
        <v>1281</v>
      </c>
      <c r="H38" s="297">
        <v>2210</v>
      </c>
      <c r="I38" s="297">
        <v>200</v>
      </c>
      <c r="J38" s="298">
        <v>442000</v>
      </c>
      <c r="K38" s="530"/>
    </row>
    <row r="39" spans="1:11" ht="21" customHeight="1">
      <c r="A39" s="529"/>
      <c r="B39" s="546"/>
      <c r="C39" s="529"/>
      <c r="D39" s="552"/>
      <c r="E39" s="529"/>
      <c r="F39" s="296" t="s">
        <v>1215</v>
      </c>
      <c r="G39" s="296" t="s">
        <v>1302</v>
      </c>
      <c r="H39" s="297">
        <v>260</v>
      </c>
      <c r="I39" s="297">
        <v>200</v>
      </c>
      <c r="J39" s="298">
        <v>52000</v>
      </c>
      <c r="K39" s="530"/>
    </row>
    <row r="40" spans="1:11" ht="21" customHeight="1">
      <c r="A40" s="529"/>
      <c r="B40" s="546"/>
      <c r="C40" s="529"/>
      <c r="D40" s="552"/>
      <c r="E40" s="529" t="s">
        <v>1315</v>
      </c>
      <c r="F40" s="296" t="s">
        <v>1316</v>
      </c>
      <c r="G40" s="296" t="s">
        <v>1281</v>
      </c>
      <c r="H40" s="297">
        <v>2662</v>
      </c>
      <c r="I40" s="297">
        <v>50</v>
      </c>
      <c r="J40" s="298">
        <v>133100</v>
      </c>
      <c r="K40" s="530"/>
    </row>
    <row r="41" spans="1:11" ht="21" customHeight="1">
      <c r="A41" s="529"/>
      <c r="B41" s="546"/>
      <c r="C41" s="529"/>
      <c r="D41" s="552"/>
      <c r="E41" s="529"/>
      <c r="F41" s="296" t="s">
        <v>1317</v>
      </c>
      <c r="G41" s="296" t="s">
        <v>1281</v>
      </c>
      <c r="H41" s="297">
        <v>2662</v>
      </c>
      <c r="I41" s="297">
        <v>210</v>
      </c>
      <c r="J41" s="298">
        <v>559020</v>
      </c>
      <c r="K41" s="530"/>
    </row>
    <row r="42" spans="1:11" ht="21" customHeight="1">
      <c r="A42" s="529"/>
      <c r="B42" s="546"/>
      <c r="C42" s="529"/>
      <c r="D42" s="552"/>
      <c r="E42" s="305" t="s">
        <v>1060</v>
      </c>
      <c r="F42" s="296"/>
      <c r="G42" s="296"/>
      <c r="H42" s="297"/>
      <c r="I42" s="306"/>
      <c r="J42" s="294">
        <v>1296620</v>
      </c>
      <c r="K42" s="530"/>
    </row>
    <row r="43" spans="1:11" ht="21" customHeight="1">
      <c r="A43" s="529"/>
      <c r="B43" s="546"/>
      <c r="C43" s="529"/>
      <c r="D43" s="552"/>
      <c r="E43" s="305" t="s">
        <v>1061</v>
      </c>
      <c r="F43" s="296"/>
      <c r="G43" s="296"/>
      <c r="H43" s="297"/>
      <c r="I43" s="306"/>
      <c r="J43" s="294">
        <v>155594.4</v>
      </c>
      <c r="K43" s="530"/>
    </row>
    <row r="44" spans="1:11" ht="21" customHeight="1">
      <c r="A44" s="529"/>
      <c r="B44" s="546"/>
      <c r="C44" s="529"/>
      <c r="D44" s="552"/>
      <c r="E44" s="307" t="s">
        <v>1318</v>
      </c>
      <c r="F44" s="296"/>
      <c r="G44" s="296" t="s">
        <v>1095</v>
      </c>
      <c r="H44" s="297">
        <v>2</v>
      </c>
      <c r="I44" s="297">
        <v>30000</v>
      </c>
      <c r="J44" s="310">
        <v>60000</v>
      </c>
      <c r="K44" s="530"/>
    </row>
    <row r="45" spans="1:11" ht="21" customHeight="1">
      <c r="A45" s="529"/>
      <c r="B45" s="546"/>
      <c r="C45" s="529"/>
      <c r="D45" s="552"/>
      <c r="E45" s="305" t="s">
        <v>1062</v>
      </c>
      <c r="F45" s="296"/>
      <c r="G45" s="296"/>
      <c r="H45" s="297"/>
      <c r="I45" s="306"/>
      <c r="J45" s="294">
        <v>1512214.4</v>
      </c>
      <c r="K45" s="530"/>
    </row>
    <row r="46" spans="1:11" ht="21" customHeight="1">
      <c r="A46" s="529">
        <v>5</v>
      </c>
      <c r="B46" s="546"/>
      <c r="C46" s="529" t="s">
        <v>1319</v>
      </c>
      <c r="D46" s="552" t="s">
        <v>1078</v>
      </c>
      <c r="E46" s="529" t="s">
        <v>1320</v>
      </c>
      <c r="F46" s="555" t="s">
        <v>1321</v>
      </c>
      <c r="G46" s="311" t="s">
        <v>1281</v>
      </c>
      <c r="H46" s="312">
        <v>276</v>
      </c>
      <c r="I46" s="312">
        <v>50</v>
      </c>
      <c r="J46" s="313">
        <v>13800</v>
      </c>
      <c r="K46" s="530">
        <f>ROUND(J64*0.8,0)</f>
        <v>1684189</v>
      </c>
    </row>
    <row r="47" spans="1:11" ht="21" customHeight="1">
      <c r="A47" s="529"/>
      <c r="B47" s="546"/>
      <c r="C47" s="529"/>
      <c r="D47" s="552"/>
      <c r="E47" s="529"/>
      <c r="F47" s="555"/>
      <c r="G47" s="311" t="s">
        <v>1302</v>
      </c>
      <c r="H47" s="312">
        <v>262</v>
      </c>
      <c r="I47" s="312">
        <v>60</v>
      </c>
      <c r="J47" s="313">
        <v>15720</v>
      </c>
      <c r="K47" s="530"/>
    </row>
    <row r="48" spans="1:11" ht="21" customHeight="1">
      <c r="A48" s="529"/>
      <c r="B48" s="546"/>
      <c r="C48" s="529"/>
      <c r="D48" s="552"/>
      <c r="E48" s="529"/>
      <c r="F48" s="555"/>
      <c r="G48" s="311" t="s">
        <v>1281</v>
      </c>
      <c r="H48" s="312">
        <v>262</v>
      </c>
      <c r="I48" s="312">
        <v>22.5</v>
      </c>
      <c r="J48" s="313">
        <v>5895</v>
      </c>
      <c r="K48" s="530"/>
    </row>
    <row r="49" spans="1:15" ht="21" customHeight="1">
      <c r="A49" s="529"/>
      <c r="B49" s="546"/>
      <c r="C49" s="529"/>
      <c r="D49" s="552"/>
      <c r="E49" s="529"/>
      <c r="F49" s="555"/>
      <c r="G49" s="311" t="s">
        <v>1281</v>
      </c>
      <c r="H49" s="312">
        <v>321</v>
      </c>
      <c r="I49" s="312">
        <v>22.5</v>
      </c>
      <c r="J49" s="313">
        <v>7222.5</v>
      </c>
      <c r="K49" s="530"/>
    </row>
    <row r="50" spans="1:15" ht="21" customHeight="1">
      <c r="A50" s="529"/>
      <c r="B50" s="546"/>
      <c r="C50" s="529"/>
      <c r="D50" s="552"/>
      <c r="E50" s="529"/>
      <c r="F50" s="555"/>
      <c r="G50" s="311" t="s">
        <v>1281</v>
      </c>
      <c r="H50" s="312">
        <v>276</v>
      </c>
      <c r="I50" s="312">
        <v>131</v>
      </c>
      <c r="J50" s="313">
        <v>36156</v>
      </c>
      <c r="K50" s="530"/>
    </row>
    <row r="51" spans="1:15" ht="21" customHeight="1">
      <c r="A51" s="529"/>
      <c r="B51" s="546"/>
      <c r="C51" s="529"/>
      <c r="D51" s="552"/>
      <c r="E51" s="529"/>
      <c r="F51" s="555"/>
      <c r="G51" s="311" t="s">
        <v>1103</v>
      </c>
      <c r="H51" s="312">
        <v>10</v>
      </c>
      <c r="I51" s="312">
        <v>1600</v>
      </c>
      <c r="J51" s="313">
        <v>16000</v>
      </c>
      <c r="K51" s="530"/>
    </row>
    <row r="52" spans="1:15" ht="21" customHeight="1">
      <c r="A52" s="529"/>
      <c r="B52" s="546"/>
      <c r="C52" s="529"/>
      <c r="D52" s="552"/>
      <c r="E52" s="529"/>
      <c r="F52" s="555"/>
      <c r="G52" s="311" t="s">
        <v>1281</v>
      </c>
      <c r="H52" s="312">
        <v>112</v>
      </c>
      <c r="I52" s="312">
        <v>48</v>
      </c>
      <c r="J52" s="313">
        <v>5376</v>
      </c>
      <c r="K52" s="530"/>
    </row>
    <row r="53" spans="1:15" ht="21" customHeight="1">
      <c r="A53" s="529"/>
      <c r="B53" s="546"/>
      <c r="C53" s="529"/>
      <c r="D53" s="552"/>
      <c r="E53" s="529"/>
      <c r="F53" s="555"/>
      <c r="G53" s="311" t="s">
        <v>1281</v>
      </c>
      <c r="H53" s="312">
        <v>196</v>
      </c>
      <c r="I53" s="312">
        <v>245</v>
      </c>
      <c r="J53" s="313">
        <v>48020</v>
      </c>
      <c r="K53" s="530"/>
    </row>
    <row r="54" spans="1:15" ht="21" customHeight="1">
      <c r="A54" s="529"/>
      <c r="B54" s="546"/>
      <c r="C54" s="529"/>
      <c r="D54" s="552"/>
      <c r="E54" s="529"/>
      <c r="F54" s="555"/>
      <c r="G54" s="311" t="s">
        <v>1302</v>
      </c>
      <c r="H54" s="312">
        <v>37</v>
      </c>
      <c r="I54" s="312">
        <v>300</v>
      </c>
      <c r="J54" s="313">
        <v>11100</v>
      </c>
      <c r="K54" s="530"/>
    </row>
    <row r="55" spans="1:15" ht="21" customHeight="1">
      <c r="A55" s="529"/>
      <c r="B55" s="546"/>
      <c r="C55" s="529"/>
      <c r="D55" s="552"/>
      <c r="E55" s="552"/>
      <c r="F55" s="296" t="s">
        <v>1322</v>
      </c>
      <c r="G55" s="296" t="s">
        <v>1281</v>
      </c>
      <c r="H55" s="301">
        <v>240</v>
      </c>
      <c r="I55" s="301">
        <v>2500</v>
      </c>
      <c r="J55" s="298">
        <v>600000</v>
      </c>
      <c r="K55" s="530"/>
    </row>
    <row r="56" spans="1:15" ht="21" customHeight="1">
      <c r="A56" s="529"/>
      <c r="B56" s="546"/>
      <c r="C56" s="529"/>
      <c r="D56" s="552"/>
      <c r="E56" s="552"/>
      <c r="F56" s="296" t="s">
        <v>1307</v>
      </c>
      <c r="G56" s="296" t="s">
        <v>1281</v>
      </c>
      <c r="H56" s="301">
        <v>560</v>
      </c>
      <c r="I56" s="301">
        <v>60</v>
      </c>
      <c r="J56" s="298">
        <v>33600</v>
      </c>
      <c r="K56" s="530"/>
    </row>
    <row r="57" spans="1:15" ht="21" customHeight="1">
      <c r="A57" s="529"/>
      <c r="B57" s="546"/>
      <c r="C57" s="529"/>
      <c r="D57" s="552"/>
      <c r="E57" s="552"/>
      <c r="F57" s="296" t="s">
        <v>1323</v>
      </c>
      <c r="G57" s="296" t="s">
        <v>1281</v>
      </c>
      <c r="H57" s="301">
        <v>560</v>
      </c>
      <c r="I57" s="301">
        <v>238</v>
      </c>
      <c r="J57" s="298">
        <v>133280</v>
      </c>
      <c r="K57" s="530"/>
      <c r="M57" s="314"/>
      <c r="O57" s="314"/>
    </row>
    <row r="58" spans="1:15" ht="21" customHeight="1">
      <c r="A58" s="529"/>
      <c r="B58" s="546"/>
      <c r="C58" s="529"/>
      <c r="D58" s="552"/>
      <c r="E58" s="552"/>
      <c r="F58" s="296" t="s">
        <v>1324</v>
      </c>
      <c r="G58" s="296" t="s">
        <v>1302</v>
      </c>
      <c r="H58" s="301">
        <v>10</v>
      </c>
      <c r="I58" s="297">
        <v>450</v>
      </c>
      <c r="J58" s="298">
        <v>4500</v>
      </c>
      <c r="K58" s="530"/>
      <c r="M58" s="314"/>
      <c r="O58" s="314"/>
    </row>
    <row r="59" spans="1:15" ht="21" customHeight="1">
      <c r="A59" s="529"/>
      <c r="B59" s="546"/>
      <c r="C59" s="529"/>
      <c r="D59" s="552"/>
      <c r="E59" s="552"/>
      <c r="F59" s="296" t="s">
        <v>1325</v>
      </c>
      <c r="G59" s="296" t="s">
        <v>1281</v>
      </c>
      <c r="H59" s="301">
        <v>50</v>
      </c>
      <c r="I59" s="301">
        <v>300</v>
      </c>
      <c r="J59" s="298">
        <v>15000</v>
      </c>
      <c r="K59" s="530"/>
      <c r="L59" s="314"/>
      <c r="M59" s="314"/>
      <c r="O59" s="314"/>
    </row>
    <row r="60" spans="1:15" ht="21" customHeight="1">
      <c r="A60" s="529"/>
      <c r="B60" s="546"/>
      <c r="C60" s="529"/>
      <c r="D60" s="552"/>
      <c r="E60" s="296" t="s">
        <v>1326</v>
      </c>
      <c r="F60" s="296" t="s">
        <v>1327</v>
      </c>
      <c r="G60" s="296" t="s">
        <v>1095</v>
      </c>
      <c r="H60" s="301">
        <v>1</v>
      </c>
      <c r="I60" s="301">
        <v>960000</v>
      </c>
      <c r="J60" s="298">
        <v>960000</v>
      </c>
      <c r="K60" s="530"/>
      <c r="L60" s="314"/>
      <c r="M60" s="314"/>
      <c r="O60" s="314"/>
    </row>
    <row r="61" spans="1:15" ht="21" customHeight="1">
      <c r="A61" s="529"/>
      <c r="B61" s="546"/>
      <c r="C61" s="529"/>
      <c r="D61" s="552"/>
      <c r="E61" s="305" t="s">
        <v>1060</v>
      </c>
      <c r="F61" s="296"/>
      <c r="G61" s="296"/>
      <c r="H61" s="306"/>
      <c r="I61" s="306"/>
      <c r="J61" s="294">
        <v>1905669.5</v>
      </c>
      <c r="K61" s="530"/>
      <c r="M61" s="314"/>
      <c r="O61" s="314"/>
    </row>
    <row r="62" spans="1:15" ht="21" customHeight="1">
      <c r="A62" s="529"/>
      <c r="B62" s="546"/>
      <c r="C62" s="529"/>
      <c r="D62" s="552"/>
      <c r="E62" s="305" t="s">
        <v>1061</v>
      </c>
      <c r="F62" s="296"/>
      <c r="G62" s="296"/>
      <c r="H62" s="306"/>
      <c r="I62" s="306"/>
      <c r="J62" s="294">
        <v>190566.95</v>
      </c>
      <c r="K62" s="530"/>
      <c r="M62" s="314"/>
      <c r="O62" s="314"/>
    </row>
    <row r="63" spans="1:15" ht="21" customHeight="1">
      <c r="A63" s="529"/>
      <c r="B63" s="546"/>
      <c r="C63" s="529"/>
      <c r="D63" s="552"/>
      <c r="E63" s="307" t="s">
        <v>1303</v>
      </c>
      <c r="F63" s="296"/>
      <c r="G63" s="296" t="s">
        <v>1082</v>
      </c>
      <c r="H63" s="301">
        <v>5</v>
      </c>
      <c r="I63" s="297">
        <v>1800</v>
      </c>
      <c r="J63" s="298">
        <v>9000</v>
      </c>
      <c r="K63" s="530"/>
      <c r="M63" s="314"/>
    </row>
    <row r="64" spans="1:15" ht="21" customHeight="1">
      <c r="A64" s="529"/>
      <c r="B64" s="546"/>
      <c r="C64" s="529"/>
      <c r="D64" s="552"/>
      <c r="E64" s="305" t="s">
        <v>1062</v>
      </c>
      <c r="F64" s="296"/>
      <c r="G64" s="296"/>
      <c r="H64" s="306"/>
      <c r="I64" s="306"/>
      <c r="J64" s="294">
        <v>2105236.4500000002</v>
      </c>
      <c r="K64" s="530"/>
      <c r="M64" s="314"/>
    </row>
    <row r="65" spans="1:13" ht="21" customHeight="1">
      <c r="A65" s="529">
        <v>6</v>
      </c>
      <c r="B65" s="546" t="s">
        <v>1310</v>
      </c>
      <c r="C65" s="529" t="s">
        <v>1328</v>
      </c>
      <c r="D65" s="552" t="s">
        <v>1078</v>
      </c>
      <c r="E65" s="529" t="s">
        <v>1312</v>
      </c>
      <c r="F65" s="296" t="s">
        <v>1313</v>
      </c>
      <c r="G65" s="296" t="s">
        <v>1281</v>
      </c>
      <c r="H65" s="297">
        <v>1950</v>
      </c>
      <c r="I65" s="301">
        <v>50</v>
      </c>
      <c r="J65" s="298">
        <v>97500</v>
      </c>
      <c r="K65" s="530">
        <f>ROUND(J80*0.8,0)</f>
        <v>1643102</v>
      </c>
      <c r="M65" s="314"/>
    </row>
    <row r="66" spans="1:13" ht="21" customHeight="1">
      <c r="A66" s="529"/>
      <c r="B66" s="546"/>
      <c r="C66" s="529"/>
      <c r="D66" s="552"/>
      <c r="E66" s="552"/>
      <c r="F66" s="296" t="s">
        <v>1314</v>
      </c>
      <c r="G66" s="296" t="s">
        <v>1281</v>
      </c>
      <c r="H66" s="297">
        <v>1950</v>
      </c>
      <c r="I66" s="301">
        <v>200</v>
      </c>
      <c r="J66" s="298">
        <v>390000</v>
      </c>
      <c r="K66" s="556"/>
      <c r="M66" s="314"/>
    </row>
    <row r="67" spans="1:13" ht="21" customHeight="1">
      <c r="A67" s="529"/>
      <c r="B67" s="546"/>
      <c r="C67" s="529"/>
      <c r="D67" s="552"/>
      <c r="E67" s="552"/>
      <c r="F67" s="296" t="s">
        <v>1329</v>
      </c>
      <c r="G67" s="296" t="s">
        <v>1302</v>
      </c>
      <c r="H67" s="297">
        <v>100</v>
      </c>
      <c r="I67" s="301">
        <v>200</v>
      </c>
      <c r="J67" s="298">
        <v>20000</v>
      </c>
      <c r="K67" s="556"/>
      <c r="M67" s="314"/>
    </row>
    <row r="68" spans="1:13" ht="21" customHeight="1">
      <c r="A68" s="529"/>
      <c r="B68" s="546"/>
      <c r="C68" s="529"/>
      <c r="D68" s="552"/>
      <c r="E68" s="529" t="s">
        <v>1330</v>
      </c>
      <c r="F68" s="296" t="s">
        <v>1331</v>
      </c>
      <c r="G68" s="296" t="s">
        <v>1281</v>
      </c>
      <c r="H68" s="297">
        <v>1484.09</v>
      </c>
      <c r="I68" s="301">
        <v>36</v>
      </c>
      <c r="J68" s="298">
        <v>53427.24</v>
      </c>
      <c r="K68" s="556"/>
      <c r="M68" s="314"/>
    </row>
    <row r="69" spans="1:13" ht="21" customHeight="1">
      <c r="A69" s="529"/>
      <c r="B69" s="546"/>
      <c r="C69" s="529"/>
      <c r="D69" s="552"/>
      <c r="E69" s="552"/>
      <c r="F69" s="296" t="s">
        <v>1332</v>
      </c>
      <c r="G69" s="296" t="s">
        <v>1281</v>
      </c>
      <c r="H69" s="297">
        <v>1484.09</v>
      </c>
      <c r="I69" s="301">
        <v>180</v>
      </c>
      <c r="J69" s="298">
        <v>267136.2</v>
      </c>
      <c r="K69" s="556"/>
      <c r="M69" s="314"/>
    </row>
    <row r="70" spans="1:13" ht="21" customHeight="1">
      <c r="A70" s="529"/>
      <c r="B70" s="546"/>
      <c r="C70" s="529"/>
      <c r="D70" s="552"/>
      <c r="E70" s="529" t="s">
        <v>1315</v>
      </c>
      <c r="F70" s="296" t="s">
        <v>1316</v>
      </c>
      <c r="G70" s="296" t="s">
        <v>1281</v>
      </c>
      <c r="H70" s="297">
        <v>1130</v>
      </c>
      <c r="I70" s="301">
        <v>50</v>
      </c>
      <c r="J70" s="298">
        <v>56500</v>
      </c>
      <c r="K70" s="556"/>
      <c r="M70" s="314"/>
    </row>
    <row r="71" spans="1:13" ht="21" customHeight="1">
      <c r="A71" s="529"/>
      <c r="B71" s="546"/>
      <c r="C71" s="529"/>
      <c r="D71" s="552"/>
      <c r="E71" s="552"/>
      <c r="F71" s="296" t="s">
        <v>1317</v>
      </c>
      <c r="G71" s="296" t="s">
        <v>1281</v>
      </c>
      <c r="H71" s="297">
        <v>1130</v>
      </c>
      <c r="I71" s="301">
        <v>210</v>
      </c>
      <c r="J71" s="298">
        <v>237300</v>
      </c>
      <c r="K71" s="556"/>
      <c r="M71" s="314"/>
    </row>
    <row r="72" spans="1:13" ht="21" customHeight="1">
      <c r="A72" s="529"/>
      <c r="B72" s="546"/>
      <c r="C72" s="529"/>
      <c r="D72" s="552"/>
      <c r="E72" s="552"/>
      <c r="F72" s="296" t="s">
        <v>1333</v>
      </c>
      <c r="G72" s="296" t="s">
        <v>1302</v>
      </c>
      <c r="H72" s="297">
        <v>112</v>
      </c>
      <c r="I72" s="301">
        <v>450</v>
      </c>
      <c r="J72" s="298">
        <v>50400</v>
      </c>
      <c r="K72" s="556"/>
      <c r="M72" s="314"/>
    </row>
    <row r="73" spans="1:13" ht="21" customHeight="1">
      <c r="A73" s="529"/>
      <c r="B73" s="546"/>
      <c r="C73" s="529"/>
      <c r="D73" s="552"/>
      <c r="E73" s="552" t="s">
        <v>1334</v>
      </c>
      <c r="F73" s="545" t="s">
        <v>1335</v>
      </c>
      <c r="G73" s="296" t="s">
        <v>1281</v>
      </c>
      <c r="H73" s="297">
        <v>580</v>
      </c>
      <c r="I73" s="301">
        <v>51</v>
      </c>
      <c r="J73" s="298">
        <v>29580</v>
      </c>
      <c r="K73" s="556"/>
    </row>
    <row r="74" spans="1:13" ht="21" customHeight="1">
      <c r="A74" s="529"/>
      <c r="B74" s="546"/>
      <c r="C74" s="529"/>
      <c r="D74" s="552"/>
      <c r="E74" s="552"/>
      <c r="F74" s="546"/>
      <c r="G74" s="296" t="s">
        <v>1281</v>
      </c>
      <c r="H74" s="297">
        <v>150</v>
      </c>
      <c r="I74" s="309">
        <v>250</v>
      </c>
      <c r="J74" s="298">
        <v>37500</v>
      </c>
      <c r="K74" s="556"/>
      <c r="L74" s="300"/>
    </row>
    <row r="75" spans="1:13" ht="21" customHeight="1">
      <c r="A75" s="529"/>
      <c r="B75" s="546"/>
      <c r="C75" s="529"/>
      <c r="D75" s="552"/>
      <c r="E75" s="552"/>
      <c r="F75" s="547"/>
      <c r="G75" s="296" t="s">
        <v>1281</v>
      </c>
      <c r="H75" s="297">
        <v>580</v>
      </c>
      <c r="I75" s="301">
        <v>200</v>
      </c>
      <c r="J75" s="298">
        <v>116000</v>
      </c>
      <c r="K75" s="556"/>
    </row>
    <row r="76" spans="1:13" ht="21" customHeight="1">
      <c r="A76" s="529"/>
      <c r="B76" s="546"/>
      <c r="C76" s="529"/>
      <c r="D76" s="552"/>
      <c r="E76" s="296" t="s">
        <v>1336</v>
      </c>
      <c r="F76" s="296" t="s">
        <v>1337</v>
      </c>
      <c r="G76" s="296" t="s">
        <v>1281</v>
      </c>
      <c r="H76" s="297">
        <v>172</v>
      </c>
      <c r="I76" s="301">
        <v>2500</v>
      </c>
      <c r="J76" s="298">
        <v>430000</v>
      </c>
      <c r="K76" s="556"/>
    </row>
    <row r="77" spans="1:13" ht="21" customHeight="1">
      <c r="A77" s="529"/>
      <c r="B77" s="546"/>
      <c r="C77" s="529"/>
      <c r="D77" s="552"/>
      <c r="E77" s="305" t="s">
        <v>1060</v>
      </c>
      <c r="F77" s="296"/>
      <c r="G77" s="296"/>
      <c r="H77" s="297"/>
      <c r="I77" s="306"/>
      <c r="J77" s="294">
        <v>1785343.44</v>
      </c>
      <c r="K77" s="556"/>
    </row>
    <row r="78" spans="1:13" ht="21" customHeight="1">
      <c r="A78" s="529"/>
      <c r="B78" s="546"/>
      <c r="C78" s="529"/>
      <c r="D78" s="552"/>
      <c r="E78" s="305" t="s">
        <v>1061</v>
      </c>
      <c r="F78" s="296"/>
      <c r="G78" s="296"/>
      <c r="H78" s="297"/>
      <c r="I78" s="306"/>
      <c r="J78" s="294">
        <v>178534.34400000001</v>
      </c>
      <c r="K78" s="556"/>
    </row>
    <row r="79" spans="1:13" ht="21" customHeight="1">
      <c r="A79" s="529"/>
      <c r="B79" s="546"/>
      <c r="C79" s="529"/>
      <c r="D79" s="552"/>
      <c r="E79" s="307" t="s">
        <v>1318</v>
      </c>
      <c r="F79" s="296"/>
      <c r="G79" s="296" t="s">
        <v>1095</v>
      </c>
      <c r="H79" s="297">
        <v>3</v>
      </c>
      <c r="I79" s="308">
        <v>30000</v>
      </c>
      <c r="J79" s="298">
        <v>90000</v>
      </c>
      <c r="K79" s="556"/>
    </row>
    <row r="80" spans="1:13" ht="21" customHeight="1">
      <c r="A80" s="529"/>
      <c r="B80" s="547"/>
      <c r="C80" s="529"/>
      <c r="D80" s="552"/>
      <c r="E80" s="305" t="s">
        <v>1062</v>
      </c>
      <c r="F80" s="296"/>
      <c r="G80" s="296"/>
      <c r="H80" s="297"/>
      <c r="I80" s="306"/>
      <c r="J80" s="294">
        <v>2053877.784</v>
      </c>
      <c r="K80" s="556"/>
    </row>
    <row r="81" spans="1:12" s="295" customFormat="1" ht="21" customHeight="1">
      <c r="A81" s="291" t="s">
        <v>1338</v>
      </c>
      <c r="B81" s="315" t="s">
        <v>864</v>
      </c>
      <c r="C81" s="315"/>
      <c r="D81" s="315"/>
      <c r="E81" s="315" t="s">
        <v>21</v>
      </c>
      <c r="F81" s="315"/>
      <c r="G81" s="315"/>
      <c r="H81" s="316"/>
      <c r="I81" s="316"/>
      <c r="J81" s="317">
        <v>7121402.0067999996</v>
      </c>
      <c r="K81" s="335">
        <f>SUM(K3:K80)</f>
        <v>5697122</v>
      </c>
      <c r="L81" s="371">
        <f>J81-K81</f>
        <v>1424280.0067999996</v>
      </c>
    </row>
  </sheetData>
  <mergeCells count="44">
    <mergeCell ref="K22:K30"/>
    <mergeCell ref="K31:K36"/>
    <mergeCell ref="K37:K45"/>
    <mergeCell ref="K46:K64"/>
    <mergeCell ref="K65:K80"/>
    <mergeCell ref="F46:F54"/>
    <mergeCell ref="A65:A80"/>
    <mergeCell ref="B65:B80"/>
    <mergeCell ref="C65:C80"/>
    <mergeCell ref="D65:D80"/>
    <mergeCell ref="E65:E67"/>
    <mergeCell ref="E68:E69"/>
    <mergeCell ref="E70:E72"/>
    <mergeCell ref="E73:E75"/>
    <mergeCell ref="F73:F75"/>
    <mergeCell ref="A37:A45"/>
    <mergeCell ref="B37:B64"/>
    <mergeCell ref="C37:C45"/>
    <mergeCell ref="D37:D45"/>
    <mergeCell ref="E37:E39"/>
    <mergeCell ref="E40:E41"/>
    <mergeCell ref="A46:A64"/>
    <mergeCell ref="C46:C64"/>
    <mergeCell ref="D46:D64"/>
    <mergeCell ref="E46:E59"/>
    <mergeCell ref="A22:A30"/>
    <mergeCell ref="B22:B30"/>
    <mergeCell ref="C22:C30"/>
    <mergeCell ref="D22:D30"/>
    <mergeCell ref="E23:E25"/>
    <mergeCell ref="A31:A36"/>
    <mergeCell ref="B31:B36"/>
    <mergeCell ref="C31:C36"/>
    <mergeCell ref="D31:D36"/>
    <mergeCell ref="E31:E33"/>
    <mergeCell ref="F3:F10"/>
    <mergeCell ref="E11:E17"/>
    <mergeCell ref="A1:K1"/>
    <mergeCell ref="A3:A21"/>
    <mergeCell ref="B3:B21"/>
    <mergeCell ref="C3:C21"/>
    <mergeCell ref="D3:D21"/>
    <mergeCell ref="E3:E10"/>
    <mergeCell ref="K3:K2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portrait" r:id="rId1"/>
  <headerFooter>
    <oddFooter>第 &amp;P 页，共 &amp;N 页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>
  <dimension ref="A1:XEW46"/>
  <sheetViews>
    <sheetView topLeftCell="A25" workbookViewId="0">
      <selection activeCell="K47" sqref="K47"/>
    </sheetView>
  </sheetViews>
  <sheetFormatPr defaultColWidth="7.875" defaultRowHeight="13.5"/>
  <cols>
    <col min="1" max="1" width="4.5" style="290" customWidth="1"/>
    <col min="2" max="2" width="6.25" style="290" customWidth="1"/>
    <col min="3" max="3" width="6.375" style="290" customWidth="1"/>
    <col min="4" max="4" width="15" style="290" customWidth="1"/>
    <col min="5" max="5" width="20.25" style="290" customWidth="1"/>
    <col min="6" max="6" width="4.25" style="290" customWidth="1"/>
    <col min="7" max="7" width="7.5" style="348" customWidth="1"/>
    <col min="8" max="8" width="7.5" style="318" customWidth="1"/>
    <col min="9" max="9" width="17.375" style="319" customWidth="1"/>
    <col min="10" max="10" width="16" style="290" customWidth="1"/>
    <col min="11" max="11" width="13" style="290" customWidth="1"/>
    <col min="12" max="248" width="7.875" style="290" customWidth="1"/>
    <col min="249" max="249" width="4.5" style="290" customWidth="1"/>
    <col min="250" max="250" width="6.25" style="290" customWidth="1"/>
    <col min="251" max="251" width="5.75" style="290" customWidth="1"/>
    <col min="252" max="252" width="7" style="290" customWidth="1"/>
    <col min="253" max="253" width="14.75" style="290" customWidth="1"/>
    <col min="254" max="254" width="13.875" style="290" customWidth="1"/>
    <col min="255" max="255" width="5.5" style="290" customWidth="1"/>
    <col min="256" max="256" width="6" style="290" customWidth="1"/>
    <col min="257" max="257" width="7.75" style="290" customWidth="1"/>
    <col min="258" max="258" width="11.875" style="290" customWidth="1"/>
    <col min="259" max="259" width="12.5" style="290" customWidth="1"/>
    <col min="260" max="265" width="7.875" style="290" customWidth="1"/>
    <col min="266" max="266" width="11" style="290" customWidth="1"/>
    <col min="267" max="504" width="7.875" style="290" customWidth="1"/>
    <col min="505" max="505" width="4.5" style="290" customWidth="1"/>
    <col min="506" max="506" width="6.25" style="290" customWidth="1"/>
    <col min="507" max="507" width="5.75" style="290" customWidth="1"/>
    <col min="508" max="508" width="7" style="290" customWidth="1"/>
    <col min="509" max="509" width="14.75" style="290" customWidth="1"/>
    <col min="510" max="510" width="13.875" style="290" customWidth="1"/>
    <col min="511" max="511" width="5.5" style="290" customWidth="1"/>
    <col min="512" max="512" width="6" style="290" customWidth="1"/>
    <col min="513" max="513" width="7.75" style="290" customWidth="1"/>
    <col min="514" max="514" width="11.875" style="290" customWidth="1"/>
    <col min="515" max="515" width="12.5" style="290" customWidth="1"/>
    <col min="516" max="521" width="7.875" style="290" customWidth="1"/>
    <col min="522" max="522" width="11" style="290" customWidth="1"/>
    <col min="523" max="760" width="7.875" style="290" customWidth="1"/>
    <col min="761" max="761" width="4.5" style="290" customWidth="1"/>
    <col min="762" max="762" width="6.25" style="290" customWidth="1"/>
    <col min="763" max="763" width="5.75" style="290" customWidth="1"/>
    <col min="764" max="764" width="7" style="290" customWidth="1"/>
    <col min="765" max="765" width="14.75" style="290" customWidth="1"/>
    <col min="766" max="766" width="13.875" style="290" customWidth="1"/>
    <col min="767" max="767" width="5.5" style="290" customWidth="1"/>
    <col min="768" max="768" width="6" style="290" customWidth="1"/>
    <col min="769" max="769" width="7.75" style="290" customWidth="1"/>
    <col min="770" max="770" width="11.875" style="290" customWidth="1"/>
    <col min="771" max="771" width="12.5" style="290" customWidth="1"/>
    <col min="772" max="777" width="7.875" style="290" customWidth="1"/>
    <col min="778" max="778" width="11" style="290" customWidth="1"/>
    <col min="779" max="1016" width="7.875" style="290" customWidth="1"/>
    <col min="1017" max="1017" width="4.5" style="290" customWidth="1"/>
    <col min="1018" max="1018" width="6.25" style="290" customWidth="1"/>
    <col min="1019" max="1019" width="5.75" style="290" customWidth="1"/>
    <col min="1020" max="1020" width="7" style="290" customWidth="1"/>
    <col min="1021" max="1021" width="14.75" style="290" customWidth="1"/>
    <col min="1022" max="1022" width="13.875" style="290" customWidth="1"/>
    <col min="1023" max="1023" width="5.5" style="290" customWidth="1"/>
    <col min="1024" max="1024" width="6" style="290" customWidth="1"/>
    <col min="1025" max="1025" width="7.75" style="290" customWidth="1"/>
    <col min="1026" max="1026" width="11.875" style="290" customWidth="1"/>
    <col min="1027" max="1027" width="12.5" style="290" customWidth="1"/>
    <col min="1028" max="1033" width="7.875" style="290" customWidth="1"/>
    <col min="1034" max="1034" width="11" style="290" customWidth="1"/>
    <col min="1035" max="1272" width="7.875" style="290" customWidth="1"/>
    <col min="1273" max="1273" width="4.5" style="290" customWidth="1"/>
    <col min="1274" max="1274" width="6.25" style="290" customWidth="1"/>
    <col min="1275" max="1275" width="5.75" style="290" customWidth="1"/>
    <col min="1276" max="1276" width="7" style="290" customWidth="1"/>
    <col min="1277" max="1277" width="14.75" style="290" customWidth="1"/>
    <col min="1278" max="1278" width="13.875" style="290" customWidth="1"/>
    <col min="1279" max="1279" width="5.5" style="290" customWidth="1"/>
    <col min="1280" max="1280" width="6" style="290" customWidth="1"/>
    <col min="1281" max="1281" width="7.75" style="290" customWidth="1"/>
    <col min="1282" max="1282" width="11.875" style="290" customWidth="1"/>
    <col min="1283" max="1283" width="12.5" style="290" customWidth="1"/>
    <col min="1284" max="1289" width="7.875" style="290" customWidth="1"/>
    <col min="1290" max="1290" width="11" style="290" customWidth="1"/>
    <col min="1291" max="1528" width="7.875" style="290" customWidth="1"/>
    <col min="1529" max="1529" width="4.5" style="290" customWidth="1"/>
    <col min="1530" max="1530" width="6.25" style="290" customWidth="1"/>
    <col min="1531" max="1531" width="5.75" style="290" customWidth="1"/>
    <col min="1532" max="1532" width="7" style="290" customWidth="1"/>
    <col min="1533" max="1533" width="14.75" style="290" customWidth="1"/>
    <col min="1534" max="1534" width="13.875" style="290" customWidth="1"/>
    <col min="1535" max="1535" width="5.5" style="290" customWidth="1"/>
    <col min="1536" max="1536" width="6" style="290" customWidth="1"/>
    <col min="1537" max="1537" width="7.75" style="290" customWidth="1"/>
    <col min="1538" max="1538" width="11.875" style="290" customWidth="1"/>
    <col min="1539" max="1539" width="12.5" style="290" customWidth="1"/>
    <col min="1540" max="1545" width="7.875" style="290" customWidth="1"/>
    <col min="1546" max="1546" width="11" style="290" customWidth="1"/>
    <col min="1547" max="1784" width="7.875" style="290" customWidth="1"/>
    <col min="1785" max="1785" width="4.5" style="290" customWidth="1"/>
    <col min="1786" max="1786" width="6.25" style="290" customWidth="1"/>
    <col min="1787" max="1787" width="5.75" style="290" customWidth="1"/>
    <col min="1788" max="1788" width="7" style="290" customWidth="1"/>
    <col min="1789" max="1789" width="14.75" style="290" customWidth="1"/>
    <col min="1790" max="1790" width="13.875" style="290" customWidth="1"/>
    <col min="1791" max="1791" width="5.5" style="290" customWidth="1"/>
    <col min="1792" max="1792" width="6" style="290" customWidth="1"/>
    <col min="1793" max="1793" width="7.75" style="290" customWidth="1"/>
    <col min="1794" max="1794" width="11.875" style="290" customWidth="1"/>
    <col min="1795" max="1795" width="12.5" style="290" customWidth="1"/>
    <col min="1796" max="1801" width="7.875" style="290" customWidth="1"/>
    <col min="1802" max="1802" width="11" style="290" customWidth="1"/>
    <col min="1803" max="2040" width="7.875" style="290" customWidth="1"/>
    <col min="2041" max="2041" width="4.5" style="290" customWidth="1"/>
    <col min="2042" max="2042" width="6.25" style="290" customWidth="1"/>
    <col min="2043" max="2043" width="5.75" style="290" customWidth="1"/>
    <col min="2044" max="2044" width="7" style="290" customWidth="1"/>
    <col min="2045" max="2045" width="14.75" style="290" customWidth="1"/>
    <col min="2046" max="2046" width="13.875" style="290" customWidth="1"/>
    <col min="2047" max="2047" width="5.5" style="290" customWidth="1"/>
    <col min="2048" max="2048" width="6" style="290" customWidth="1"/>
    <col min="2049" max="2049" width="7.75" style="290" customWidth="1"/>
    <col min="2050" max="2050" width="11.875" style="290" customWidth="1"/>
    <col min="2051" max="2051" width="12.5" style="290" customWidth="1"/>
    <col min="2052" max="2057" width="7.875" style="290" customWidth="1"/>
    <col min="2058" max="2058" width="11" style="290" customWidth="1"/>
    <col min="2059" max="2296" width="7.875" style="290" customWidth="1"/>
    <col min="2297" max="2297" width="4.5" style="290" customWidth="1"/>
    <col min="2298" max="2298" width="6.25" style="290" customWidth="1"/>
    <col min="2299" max="2299" width="5.75" style="290" customWidth="1"/>
    <col min="2300" max="2300" width="7" style="290" customWidth="1"/>
    <col min="2301" max="2301" width="14.75" style="290" customWidth="1"/>
    <col min="2302" max="2302" width="13.875" style="290" customWidth="1"/>
    <col min="2303" max="2303" width="5.5" style="290" customWidth="1"/>
    <col min="2304" max="2304" width="6" style="290" customWidth="1"/>
    <col min="2305" max="2305" width="7.75" style="290" customWidth="1"/>
    <col min="2306" max="2306" width="11.875" style="290" customWidth="1"/>
    <col min="2307" max="2307" width="12.5" style="290" customWidth="1"/>
    <col min="2308" max="2313" width="7.875" style="290" customWidth="1"/>
    <col min="2314" max="2314" width="11" style="290" customWidth="1"/>
    <col min="2315" max="2552" width="7.875" style="290" customWidth="1"/>
    <col min="2553" max="2553" width="4.5" style="290" customWidth="1"/>
    <col min="2554" max="2554" width="6.25" style="290" customWidth="1"/>
    <col min="2555" max="2555" width="5.75" style="290" customWidth="1"/>
    <col min="2556" max="2556" width="7" style="290" customWidth="1"/>
    <col min="2557" max="2557" width="14.75" style="290" customWidth="1"/>
    <col min="2558" max="2558" width="13.875" style="290" customWidth="1"/>
    <col min="2559" max="2559" width="5.5" style="290" customWidth="1"/>
    <col min="2560" max="2560" width="6" style="290" customWidth="1"/>
    <col min="2561" max="2561" width="7.75" style="290" customWidth="1"/>
    <col min="2562" max="2562" width="11.875" style="290" customWidth="1"/>
    <col min="2563" max="2563" width="12.5" style="290" customWidth="1"/>
    <col min="2564" max="2569" width="7.875" style="290" customWidth="1"/>
    <col min="2570" max="2570" width="11" style="290" customWidth="1"/>
    <col min="2571" max="2808" width="7.875" style="290" customWidth="1"/>
    <col min="2809" max="2809" width="4.5" style="290" customWidth="1"/>
    <col min="2810" max="2810" width="6.25" style="290" customWidth="1"/>
    <col min="2811" max="2811" width="5.75" style="290" customWidth="1"/>
    <col min="2812" max="2812" width="7" style="290" customWidth="1"/>
    <col min="2813" max="2813" width="14.75" style="290" customWidth="1"/>
    <col min="2814" max="2814" width="13.875" style="290" customWidth="1"/>
    <col min="2815" max="2815" width="5.5" style="290" customWidth="1"/>
    <col min="2816" max="2816" width="6" style="290" customWidth="1"/>
    <col min="2817" max="2817" width="7.75" style="290" customWidth="1"/>
    <col min="2818" max="2818" width="11.875" style="290" customWidth="1"/>
    <col min="2819" max="2819" width="12.5" style="290" customWidth="1"/>
    <col min="2820" max="2825" width="7.875" style="290" customWidth="1"/>
    <col min="2826" max="2826" width="11" style="290" customWidth="1"/>
    <col min="2827" max="3064" width="7.875" style="290" customWidth="1"/>
    <col min="3065" max="3065" width="4.5" style="290" customWidth="1"/>
    <col min="3066" max="3066" width="6.25" style="290" customWidth="1"/>
    <col min="3067" max="3067" width="5.75" style="290" customWidth="1"/>
    <col min="3068" max="3068" width="7" style="290" customWidth="1"/>
    <col min="3069" max="3069" width="14.75" style="290" customWidth="1"/>
    <col min="3070" max="3070" width="13.875" style="290" customWidth="1"/>
    <col min="3071" max="3071" width="5.5" style="290" customWidth="1"/>
    <col min="3072" max="3072" width="6" style="290" customWidth="1"/>
    <col min="3073" max="3073" width="7.75" style="290" customWidth="1"/>
    <col min="3074" max="3074" width="11.875" style="290" customWidth="1"/>
    <col min="3075" max="3075" width="12.5" style="290" customWidth="1"/>
    <col min="3076" max="3081" width="7.875" style="290" customWidth="1"/>
    <col min="3082" max="3082" width="11" style="290" customWidth="1"/>
    <col min="3083" max="3320" width="7.875" style="290" customWidth="1"/>
    <col min="3321" max="3321" width="4.5" style="290" customWidth="1"/>
    <col min="3322" max="3322" width="6.25" style="290" customWidth="1"/>
    <col min="3323" max="3323" width="5.75" style="290" customWidth="1"/>
    <col min="3324" max="3324" width="7" style="290" customWidth="1"/>
    <col min="3325" max="3325" width="14.75" style="290" customWidth="1"/>
    <col min="3326" max="3326" width="13.875" style="290" customWidth="1"/>
    <col min="3327" max="3327" width="5.5" style="290" customWidth="1"/>
    <col min="3328" max="3328" width="6" style="290" customWidth="1"/>
    <col min="3329" max="3329" width="7.75" style="290" customWidth="1"/>
    <col min="3330" max="3330" width="11.875" style="290" customWidth="1"/>
    <col min="3331" max="3331" width="12.5" style="290" customWidth="1"/>
    <col min="3332" max="3337" width="7.875" style="290" customWidth="1"/>
    <col min="3338" max="3338" width="11" style="290" customWidth="1"/>
    <col min="3339" max="3576" width="7.875" style="290" customWidth="1"/>
    <col min="3577" max="3577" width="4.5" style="290" customWidth="1"/>
    <col min="3578" max="3578" width="6.25" style="290" customWidth="1"/>
    <col min="3579" max="3579" width="5.75" style="290" customWidth="1"/>
    <col min="3580" max="3580" width="7" style="290" customWidth="1"/>
    <col min="3581" max="3581" width="14.75" style="290" customWidth="1"/>
    <col min="3582" max="3582" width="13.875" style="290" customWidth="1"/>
    <col min="3583" max="3583" width="5.5" style="290" customWidth="1"/>
    <col min="3584" max="3584" width="6" style="290" customWidth="1"/>
    <col min="3585" max="3585" width="7.75" style="290" customWidth="1"/>
    <col min="3586" max="3586" width="11.875" style="290" customWidth="1"/>
    <col min="3587" max="3587" width="12.5" style="290" customWidth="1"/>
    <col min="3588" max="3593" width="7.875" style="290" customWidth="1"/>
    <col min="3594" max="3594" width="11" style="290" customWidth="1"/>
    <col min="3595" max="3832" width="7.875" style="290" customWidth="1"/>
    <col min="3833" max="3833" width="4.5" style="290" customWidth="1"/>
    <col min="3834" max="3834" width="6.25" style="290" customWidth="1"/>
    <col min="3835" max="3835" width="5.75" style="290" customWidth="1"/>
    <col min="3836" max="3836" width="7" style="290" customWidth="1"/>
    <col min="3837" max="3837" width="14.75" style="290" customWidth="1"/>
    <col min="3838" max="3838" width="13.875" style="290" customWidth="1"/>
    <col min="3839" max="3839" width="5.5" style="290" customWidth="1"/>
    <col min="3840" max="3840" width="6" style="290" customWidth="1"/>
    <col min="3841" max="3841" width="7.75" style="290" customWidth="1"/>
    <col min="3842" max="3842" width="11.875" style="290" customWidth="1"/>
    <col min="3843" max="3843" width="12.5" style="290" customWidth="1"/>
    <col min="3844" max="3849" width="7.875" style="290" customWidth="1"/>
    <col min="3850" max="3850" width="11" style="290" customWidth="1"/>
    <col min="3851" max="4088" width="7.875" style="290" customWidth="1"/>
    <col min="4089" max="4089" width="4.5" style="290" customWidth="1"/>
    <col min="4090" max="4090" width="6.25" style="290" customWidth="1"/>
    <col min="4091" max="4091" width="5.75" style="290" customWidth="1"/>
    <col min="4092" max="4092" width="7" style="290" customWidth="1"/>
    <col min="4093" max="4093" width="14.75" style="290" customWidth="1"/>
    <col min="4094" max="4094" width="13.875" style="290" customWidth="1"/>
    <col min="4095" max="4095" width="5.5" style="290" customWidth="1"/>
    <col min="4096" max="4096" width="6" style="290" customWidth="1"/>
    <col min="4097" max="4097" width="7.75" style="290" customWidth="1"/>
    <col min="4098" max="4098" width="11.875" style="290" customWidth="1"/>
    <col min="4099" max="4099" width="12.5" style="290" customWidth="1"/>
    <col min="4100" max="4105" width="7.875" style="290" customWidth="1"/>
    <col min="4106" max="4106" width="11" style="290" customWidth="1"/>
    <col min="4107" max="4344" width="7.875" style="290" customWidth="1"/>
    <col min="4345" max="4345" width="4.5" style="290" customWidth="1"/>
    <col min="4346" max="4346" width="6.25" style="290" customWidth="1"/>
    <col min="4347" max="4347" width="5.75" style="290" customWidth="1"/>
    <col min="4348" max="4348" width="7" style="290" customWidth="1"/>
    <col min="4349" max="4349" width="14.75" style="290" customWidth="1"/>
    <col min="4350" max="4350" width="13.875" style="290" customWidth="1"/>
    <col min="4351" max="4351" width="5.5" style="290" customWidth="1"/>
    <col min="4352" max="4352" width="6" style="290" customWidth="1"/>
    <col min="4353" max="4353" width="7.75" style="290" customWidth="1"/>
    <col min="4354" max="4354" width="11.875" style="290" customWidth="1"/>
    <col min="4355" max="4355" width="12.5" style="290" customWidth="1"/>
    <col min="4356" max="4361" width="7.875" style="290" customWidth="1"/>
    <col min="4362" max="4362" width="11" style="290" customWidth="1"/>
    <col min="4363" max="4600" width="7.875" style="290" customWidth="1"/>
    <col min="4601" max="4601" width="4.5" style="290" customWidth="1"/>
    <col min="4602" max="4602" width="6.25" style="290" customWidth="1"/>
    <col min="4603" max="4603" width="5.75" style="290" customWidth="1"/>
    <col min="4604" max="4604" width="7" style="290" customWidth="1"/>
    <col min="4605" max="4605" width="14.75" style="290" customWidth="1"/>
    <col min="4606" max="4606" width="13.875" style="290" customWidth="1"/>
    <col min="4607" max="4607" width="5.5" style="290" customWidth="1"/>
    <col min="4608" max="4608" width="6" style="290" customWidth="1"/>
    <col min="4609" max="4609" width="7.75" style="290" customWidth="1"/>
    <col min="4610" max="4610" width="11.875" style="290" customWidth="1"/>
    <col min="4611" max="4611" width="12.5" style="290" customWidth="1"/>
    <col min="4612" max="4617" width="7.875" style="290" customWidth="1"/>
    <col min="4618" max="4618" width="11" style="290" customWidth="1"/>
    <col min="4619" max="4856" width="7.875" style="290" customWidth="1"/>
    <col min="4857" max="4857" width="4.5" style="290" customWidth="1"/>
    <col min="4858" max="4858" width="6.25" style="290" customWidth="1"/>
    <col min="4859" max="4859" width="5.75" style="290" customWidth="1"/>
    <col min="4860" max="4860" width="7" style="290" customWidth="1"/>
    <col min="4861" max="4861" width="14.75" style="290" customWidth="1"/>
    <col min="4862" max="4862" width="13.875" style="290" customWidth="1"/>
    <col min="4863" max="4863" width="5.5" style="290" customWidth="1"/>
    <col min="4864" max="4864" width="6" style="290" customWidth="1"/>
    <col min="4865" max="4865" width="7.75" style="290" customWidth="1"/>
    <col min="4866" max="4866" width="11.875" style="290" customWidth="1"/>
    <col min="4867" max="4867" width="12.5" style="290" customWidth="1"/>
    <col min="4868" max="4873" width="7.875" style="290" customWidth="1"/>
    <col min="4874" max="4874" width="11" style="290" customWidth="1"/>
    <col min="4875" max="5112" width="7.875" style="290" customWidth="1"/>
    <col min="5113" max="5113" width="4.5" style="290" customWidth="1"/>
    <col min="5114" max="5114" width="6.25" style="290" customWidth="1"/>
    <col min="5115" max="5115" width="5.75" style="290" customWidth="1"/>
    <col min="5116" max="5116" width="7" style="290" customWidth="1"/>
    <col min="5117" max="5117" width="14.75" style="290" customWidth="1"/>
    <col min="5118" max="5118" width="13.875" style="290" customWidth="1"/>
    <col min="5119" max="5119" width="5.5" style="290" customWidth="1"/>
    <col min="5120" max="5120" width="6" style="290" customWidth="1"/>
    <col min="5121" max="5121" width="7.75" style="290" customWidth="1"/>
    <col min="5122" max="5122" width="11.875" style="290" customWidth="1"/>
    <col min="5123" max="5123" width="12.5" style="290" customWidth="1"/>
    <col min="5124" max="5129" width="7.875" style="290" customWidth="1"/>
    <col min="5130" max="5130" width="11" style="290" customWidth="1"/>
    <col min="5131" max="5368" width="7.875" style="290" customWidth="1"/>
    <col min="5369" max="5369" width="4.5" style="290" customWidth="1"/>
    <col min="5370" max="5370" width="6.25" style="290" customWidth="1"/>
    <col min="5371" max="5371" width="5.75" style="290" customWidth="1"/>
    <col min="5372" max="5372" width="7" style="290" customWidth="1"/>
    <col min="5373" max="5373" width="14.75" style="290" customWidth="1"/>
    <col min="5374" max="5374" width="13.875" style="290" customWidth="1"/>
    <col min="5375" max="5375" width="5.5" style="290" customWidth="1"/>
    <col min="5376" max="5376" width="6" style="290" customWidth="1"/>
    <col min="5377" max="5377" width="7.75" style="290" customWidth="1"/>
    <col min="5378" max="5378" width="11.875" style="290" customWidth="1"/>
    <col min="5379" max="5379" width="12.5" style="290" customWidth="1"/>
    <col min="5380" max="5385" width="7.875" style="290" customWidth="1"/>
    <col min="5386" max="5386" width="11" style="290" customWidth="1"/>
    <col min="5387" max="5624" width="7.875" style="290" customWidth="1"/>
    <col min="5625" max="5625" width="4.5" style="290" customWidth="1"/>
    <col min="5626" max="5626" width="6.25" style="290" customWidth="1"/>
    <col min="5627" max="5627" width="5.75" style="290" customWidth="1"/>
    <col min="5628" max="5628" width="7" style="290" customWidth="1"/>
    <col min="5629" max="5629" width="14.75" style="290" customWidth="1"/>
    <col min="5630" max="5630" width="13.875" style="290" customWidth="1"/>
    <col min="5631" max="5631" width="5.5" style="290" customWidth="1"/>
    <col min="5632" max="5632" width="6" style="290" customWidth="1"/>
    <col min="5633" max="5633" width="7.75" style="290" customWidth="1"/>
    <col min="5634" max="5634" width="11.875" style="290" customWidth="1"/>
    <col min="5635" max="5635" width="12.5" style="290" customWidth="1"/>
    <col min="5636" max="5641" width="7.875" style="290" customWidth="1"/>
    <col min="5642" max="5642" width="11" style="290" customWidth="1"/>
    <col min="5643" max="5880" width="7.875" style="290" customWidth="1"/>
    <col min="5881" max="5881" width="4.5" style="290" customWidth="1"/>
    <col min="5882" max="5882" width="6.25" style="290" customWidth="1"/>
    <col min="5883" max="5883" width="5.75" style="290" customWidth="1"/>
    <col min="5884" max="5884" width="7" style="290" customWidth="1"/>
    <col min="5885" max="5885" width="14.75" style="290" customWidth="1"/>
    <col min="5886" max="5886" width="13.875" style="290" customWidth="1"/>
    <col min="5887" max="5887" width="5.5" style="290" customWidth="1"/>
    <col min="5888" max="5888" width="6" style="290" customWidth="1"/>
    <col min="5889" max="5889" width="7.75" style="290" customWidth="1"/>
    <col min="5890" max="5890" width="11.875" style="290" customWidth="1"/>
    <col min="5891" max="5891" width="12.5" style="290" customWidth="1"/>
    <col min="5892" max="5897" width="7.875" style="290" customWidth="1"/>
    <col min="5898" max="5898" width="11" style="290" customWidth="1"/>
    <col min="5899" max="6136" width="7.875" style="290" customWidth="1"/>
    <col min="6137" max="6137" width="4.5" style="290" customWidth="1"/>
    <col min="6138" max="6138" width="6.25" style="290" customWidth="1"/>
    <col min="6139" max="6139" width="5.75" style="290" customWidth="1"/>
    <col min="6140" max="6140" width="7" style="290" customWidth="1"/>
    <col min="6141" max="6141" width="14.75" style="290" customWidth="1"/>
    <col min="6142" max="6142" width="13.875" style="290" customWidth="1"/>
    <col min="6143" max="6143" width="5.5" style="290" customWidth="1"/>
    <col min="6144" max="6144" width="6" style="290" customWidth="1"/>
    <col min="6145" max="6145" width="7.75" style="290" customWidth="1"/>
    <col min="6146" max="6146" width="11.875" style="290" customWidth="1"/>
    <col min="6147" max="6147" width="12.5" style="290" customWidth="1"/>
    <col min="6148" max="6153" width="7.875" style="290" customWidth="1"/>
    <col min="6154" max="6154" width="11" style="290" customWidth="1"/>
    <col min="6155" max="6392" width="7.875" style="290" customWidth="1"/>
    <col min="6393" max="6393" width="4.5" style="290" customWidth="1"/>
    <col min="6394" max="6394" width="6.25" style="290" customWidth="1"/>
    <col min="6395" max="6395" width="5.75" style="290" customWidth="1"/>
    <col min="6396" max="6396" width="7" style="290" customWidth="1"/>
    <col min="6397" max="6397" width="14.75" style="290" customWidth="1"/>
    <col min="6398" max="6398" width="13.875" style="290" customWidth="1"/>
    <col min="6399" max="6399" width="5.5" style="290" customWidth="1"/>
    <col min="6400" max="6400" width="6" style="290" customWidth="1"/>
    <col min="6401" max="6401" width="7.75" style="290" customWidth="1"/>
    <col min="6402" max="6402" width="11.875" style="290" customWidth="1"/>
    <col min="6403" max="6403" width="12.5" style="290" customWidth="1"/>
    <col min="6404" max="6409" width="7.875" style="290" customWidth="1"/>
    <col min="6410" max="6410" width="11" style="290" customWidth="1"/>
    <col min="6411" max="6648" width="7.875" style="290" customWidth="1"/>
    <col min="6649" max="6649" width="4.5" style="290" customWidth="1"/>
    <col min="6650" max="6650" width="6.25" style="290" customWidth="1"/>
    <col min="6651" max="6651" width="5.75" style="290" customWidth="1"/>
    <col min="6652" max="6652" width="7" style="290" customWidth="1"/>
    <col min="6653" max="6653" width="14.75" style="290" customWidth="1"/>
    <col min="6654" max="6654" width="13.875" style="290" customWidth="1"/>
    <col min="6655" max="6655" width="5.5" style="290" customWidth="1"/>
    <col min="6656" max="6656" width="6" style="290" customWidth="1"/>
    <col min="6657" max="6657" width="7.75" style="290" customWidth="1"/>
    <col min="6658" max="6658" width="11.875" style="290" customWidth="1"/>
    <col min="6659" max="6659" width="12.5" style="290" customWidth="1"/>
    <col min="6660" max="6665" width="7.875" style="290" customWidth="1"/>
    <col min="6666" max="6666" width="11" style="290" customWidth="1"/>
    <col min="6667" max="6904" width="7.875" style="290" customWidth="1"/>
    <col min="6905" max="6905" width="4.5" style="290" customWidth="1"/>
    <col min="6906" max="6906" width="6.25" style="290" customWidth="1"/>
    <col min="6907" max="6907" width="5.75" style="290" customWidth="1"/>
    <col min="6908" max="6908" width="7" style="290" customWidth="1"/>
    <col min="6909" max="6909" width="14.75" style="290" customWidth="1"/>
    <col min="6910" max="6910" width="13.875" style="290" customWidth="1"/>
    <col min="6911" max="6911" width="5.5" style="290" customWidth="1"/>
    <col min="6912" max="6912" width="6" style="290" customWidth="1"/>
    <col min="6913" max="6913" width="7.75" style="290" customWidth="1"/>
    <col min="6914" max="6914" width="11.875" style="290" customWidth="1"/>
    <col min="6915" max="6915" width="12.5" style="290" customWidth="1"/>
    <col min="6916" max="6921" width="7.875" style="290" customWidth="1"/>
    <col min="6922" max="6922" width="11" style="290" customWidth="1"/>
    <col min="6923" max="7160" width="7.875" style="290" customWidth="1"/>
    <col min="7161" max="7161" width="4.5" style="290" customWidth="1"/>
    <col min="7162" max="7162" width="6.25" style="290" customWidth="1"/>
    <col min="7163" max="7163" width="5.75" style="290" customWidth="1"/>
    <col min="7164" max="7164" width="7" style="290" customWidth="1"/>
    <col min="7165" max="7165" width="14.75" style="290" customWidth="1"/>
    <col min="7166" max="7166" width="13.875" style="290" customWidth="1"/>
    <col min="7167" max="7167" width="5.5" style="290" customWidth="1"/>
    <col min="7168" max="7168" width="6" style="290" customWidth="1"/>
    <col min="7169" max="7169" width="7.75" style="290" customWidth="1"/>
    <col min="7170" max="7170" width="11.875" style="290" customWidth="1"/>
    <col min="7171" max="7171" width="12.5" style="290" customWidth="1"/>
    <col min="7172" max="7177" width="7.875" style="290" customWidth="1"/>
    <col min="7178" max="7178" width="11" style="290" customWidth="1"/>
    <col min="7179" max="7416" width="7.875" style="290" customWidth="1"/>
    <col min="7417" max="7417" width="4.5" style="290" customWidth="1"/>
    <col min="7418" max="7418" width="6.25" style="290" customWidth="1"/>
    <col min="7419" max="7419" width="5.75" style="290" customWidth="1"/>
    <col min="7420" max="7420" width="7" style="290" customWidth="1"/>
    <col min="7421" max="7421" width="14.75" style="290" customWidth="1"/>
    <col min="7422" max="7422" width="13.875" style="290" customWidth="1"/>
    <col min="7423" max="7423" width="5.5" style="290" customWidth="1"/>
    <col min="7424" max="7424" width="6" style="290" customWidth="1"/>
    <col min="7425" max="7425" width="7.75" style="290" customWidth="1"/>
    <col min="7426" max="7426" width="11.875" style="290" customWidth="1"/>
    <col min="7427" max="7427" width="12.5" style="290" customWidth="1"/>
    <col min="7428" max="7433" width="7.875" style="290" customWidth="1"/>
    <col min="7434" max="7434" width="11" style="290" customWidth="1"/>
    <col min="7435" max="7672" width="7.875" style="290" customWidth="1"/>
    <col min="7673" max="7673" width="4.5" style="290" customWidth="1"/>
    <col min="7674" max="7674" width="6.25" style="290" customWidth="1"/>
    <col min="7675" max="7675" width="5.75" style="290" customWidth="1"/>
    <col min="7676" max="7676" width="7" style="290" customWidth="1"/>
    <col min="7677" max="7677" width="14.75" style="290" customWidth="1"/>
    <col min="7678" max="7678" width="13.875" style="290" customWidth="1"/>
    <col min="7679" max="7679" width="5.5" style="290" customWidth="1"/>
    <col min="7680" max="7680" width="6" style="290" customWidth="1"/>
    <col min="7681" max="7681" width="7.75" style="290" customWidth="1"/>
    <col min="7682" max="7682" width="11.875" style="290" customWidth="1"/>
    <col min="7683" max="7683" width="12.5" style="290" customWidth="1"/>
    <col min="7684" max="7689" width="7.875" style="290" customWidth="1"/>
    <col min="7690" max="7690" width="11" style="290" customWidth="1"/>
    <col min="7691" max="7928" width="7.875" style="290" customWidth="1"/>
    <col min="7929" max="7929" width="4.5" style="290" customWidth="1"/>
    <col min="7930" max="7930" width="6.25" style="290" customWidth="1"/>
    <col min="7931" max="7931" width="5.75" style="290" customWidth="1"/>
    <col min="7932" max="7932" width="7" style="290" customWidth="1"/>
    <col min="7933" max="7933" width="14.75" style="290" customWidth="1"/>
    <col min="7934" max="7934" width="13.875" style="290" customWidth="1"/>
    <col min="7935" max="7935" width="5.5" style="290" customWidth="1"/>
    <col min="7936" max="7936" width="6" style="290" customWidth="1"/>
    <col min="7937" max="7937" width="7.75" style="290" customWidth="1"/>
    <col min="7938" max="7938" width="11.875" style="290" customWidth="1"/>
    <col min="7939" max="7939" width="12.5" style="290" customWidth="1"/>
    <col min="7940" max="7945" width="7.875" style="290" customWidth="1"/>
    <col min="7946" max="7946" width="11" style="290" customWidth="1"/>
    <col min="7947" max="8184" width="7.875" style="290" customWidth="1"/>
    <col min="8185" max="8185" width="4.5" style="290" customWidth="1"/>
    <col min="8186" max="8186" width="6.25" style="290" customWidth="1"/>
    <col min="8187" max="8187" width="5.75" style="290" customWidth="1"/>
    <col min="8188" max="8188" width="7" style="290" customWidth="1"/>
    <col min="8189" max="8189" width="14.75" style="290" customWidth="1"/>
    <col min="8190" max="8190" width="13.875" style="290" customWidth="1"/>
    <col min="8191" max="8191" width="5.5" style="290" customWidth="1"/>
    <col min="8192" max="8192" width="6" style="290" customWidth="1"/>
    <col min="8193" max="8193" width="7.75" style="290" customWidth="1"/>
    <col min="8194" max="8194" width="11.875" style="290" customWidth="1"/>
    <col min="8195" max="8195" width="12.5" style="290" customWidth="1"/>
    <col min="8196" max="8201" width="7.875" style="290" customWidth="1"/>
    <col min="8202" max="8202" width="11" style="290" customWidth="1"/>
    <col min="8203" max="8440" width="7.875" style="290" customWidth="1"/>
    <col min="8441" max="8441" width="4.5" style="290" customWidth="1"/>
    <col min="8442" max="8442" width="6.25" style="290" customWidth="1"/>
    <col min="8443" max="8443" width="5.75" style="290" customWidth="1"/>
    <col min="8444" max="8444" width="7" style="290" customWidth="1"/>
    <col min="8445" max="8445" width="14.75" style="290" customWidth="1"/>
    <col min="8446" max="8446" width="13.875" style="290" customWidth="1"/>
    <col min="8447" max="8447" width="5.5" style="290" customWidth="1"/>
    <col min="8448" max="8448" width="6" style="290" customWidth="1"/>
    <col min="8449" max="8449" width="7.75" style="290" customWidth="1"/>
    <col min="8450" max="8450" width="11.875" style="290" customWidth="1"/>
    <col min="8451" max="8451" width="12.5" style="290" customWidth="1"/>
    <col min="8452" max="8457" width="7.875" style="290" customWidth="1"/>
    <col min="8458" max="8458" width="11" style="290" customWidth="1"/>
    <col min="8459" max="8696" width="7.875" style="290" customWidth="1"/>
    <col min="8697" max="8697" width="4.5" style="290" customWidth="1"/>
    <col min="8698" max="8698" width="6.25" style="290" customWidth="1"/>
    <col min="8699" max="8699" width="5.75" style="290" customWidth="1"/>
    <col min="8700" max="8700" width="7" style="290" customWidth="1"/>
    <col min="8701" max="8701" width="14.75" style="290" customWidth="1"/>
    <col min="8702" max="8702" width="13.875" style="290" customWidth="1"/>
    <col min="8703" max="8703" width="5.5" style="290" customWidth="1"/>
    <col min="8704" max="8704" width="6" style="290" customWidth="1"/>
    <col min="8705" max="8705" width="7.75" style="290" customWidth="1"/>
    <col min="8706" max="8706" width="11.875" style="290" customWidth="1"/>
    <col min="8707" max="8707" width="12.5" style="290" customWidth="1"/>
    <col min="8708" max="8713" width="7.875" style="290" customWidth="1"/>
    <col min="8714" max="8714" width="11" style="290" customWidth="1"/>
    <col min="8715" max="8952" width="7.875" style="290" customWidth="1"/>
    <col min="8953" max="8953" width="4.5" style="290" customWidth="1"/>
    <col min="8954" max="8954" width="6.25" style="290" customWidth="1"/>
    <col min="8955" max="8955" width="5.75" style="290" customWidth="1"/>
    <col min="8956" max="8956" width="7" style="290" customWidth="1"/>
    <col min="8957" max="8957" width="14.75" style="290" customWidth="1"/>
    <col min="8958" max="8958" width="13.875" style="290" customWidth="1"/>
    <col min="8959" max="8959" width="5.5" style="290" customWidth="1"/>
    <col min="8960" max="8960" width="6" style="290" customWidth="1"/>
    <col min="8961" max="8961" width="7.75" style="290" customWidth="1"/>
    <col min="8962" max="8962" width="11.875" style="290" customWidth="1"/>
    <col min="8963" max="8963" width="12.5" style="290" customWidth="1"/>
    <col min="8964" max="8969" width="7.875" style="290" customWidth="1"/>
    <col min="8970" max="8970" width="11" style="290" customWidth="1"/>
    <col min="8971" max="9208" width="7.875" style="290" customWidth="1"/>
    <col min="9209" max="9209" width="4.5" style="290" customWidth="1"/>
    <col min="9210" max="9210" width="6.25" style="290" customWidth="1"/>
    <col min="9211" max="9211" width="5.75" style="290" customWidth="1"/>
    <col min="9212" max="9212" width="7" style="290" customWidth="1"/>
    <col min="9213" max="9213" width="14.75" style="290" customWidth="1"/>
    <col min="9214" max="9214" width="13.875" style="290" customWidth="1"/>
    <col min="9215" max="9215" width="5.5" style="290" customWidth="1"/>
    <col min="9216" max="9216" width="6" style="290" customWidth="1"/>
    <col min="9217" max="9217" width="7.75" style="290" customWidth="1"/>
    <col min="9218" max="9218" width="11.875" style="290" customWidth="1"/>
    <col min="9219" max="9219" width="12.5" style="290" customWidth="1"/>
    <col min="9220" max="9225" width="7.875" style="290" customWidth="1"/>
    <col min="9226" max="9226" width="11" style="290" customWidth="1"/>
    <col min="9227" max="9464" width="7.875" style="290" customWidth="1"/>
    <col min="9465" max="9465" width="4.5" style="290" customWidth="1"/>
    <col min="9466" max="9466" width="6.25" style="290" customWidth="1"/>
    <col min="9467" max="9467" width="5.75" style="290" customWidth="1"/>
    <col min="9468" max="9468" width="7" style="290" customWidth="1"/>
    <col min="9469" max="9469" width="14.75" style="290" customWidth="1"/>
    <col min="9470" max="9470" width="13.875" style="290" customWidth="1"/>
    <col min="9471" max="9471" width="5.5" style="290" customWidth="1"/>
    <col min="9472" max="9472" width="6" style="290" customWidth="1"/>
    <col min="9473" max="9473" width="7.75" style="290" customWidth="1"/>
    <col min="9474" max="9474" width="11.875" style="290" customWidth="1"/>
    <col min="9475" max="9475" width="12.5" style="290" customWidth="1"/>
    <col min="9476" max="9481" width="7.875" style="290" customWidth="1"/>
    <col min="9482" max="9482" width="11" style="290" customWidth="1"/>
    <col min="9483" max="9720" width="7.875" style="290" customWidth="1"/>
    <col min="9721" max="9721" width="4.5" style="290" customWidth="1"/>
    <col min="9722" max="9722" width="6.25" style="290" customWidth="1"/>
    <col min="9723" max="9723" width="5.75" style="290" customWidth="1"/>
    <col min="9724" max="9724" width="7" style="290" customWidth="1"/>
    <col min="9725" max="9725" width="14.75" style="290" customWidth="1"/>
    <col min="9726" max="9726" width="13.875" style="290" customWidth="1"/>
    <col min="9727" max="9727" width="5.5" style="290" customWidth="1"/>
    <col min="9728" max="9728" width="6" style="290" customWidth="1"/>
    <col min="9729" max="9729" width="7.75" style="290" customWidth="1"/>
    <col min="9730" max="9730" width="11.875" style="290" customWidth="1"/>
    <col min="9731" max="9731" width="12.5" style="290" customWidth="1"/>
    <col min="9732" max="9737" width="7.875" style="290" customWidth="1"/>
    <col min="9738" max="9738" width="11" style="290" customWidth="1"/>
    <col min="9739" max="9976" width="7.875" style="290" customWidth="1"/>
    <col min="9977" max="9977" width="4.5" style="290" customWidth="1"/>
    <col min="9978" max="9978" width="6.25" style="290" customWidth="1"/>
    <col min="9979" max="9979" width="5.75" style="290" customWidth="1"/>
    <col min="9980" max="9980" width="7" style="290" customWidth="1"/>
    <col min="9981" max="9981" width="14.75" style="290" customWidth="1"/>
    <col min="9982" max="9982" width="13.875" style="290" customWidth="1"/>
    <col min="9983" max="9983" width="5.5" style="290" customWidth="1"/>
    <col min="9984" max="9984" width="6" style="290" customWidth="1"/>
    <col min="9985" max="9985" width="7.75" style="290" customWidth="1"/>
    <col min="9986" max="9986" width="11.875" style="290" customWidth="1"/>
    <col min="9987" max="9987" width="12.5" style="290" customWidth="1"/>
    <col min="9988" max="9993" width="7.875" style="290" customWidth="1"/>
    <col min="9994" max="9994" width="11" style="290" customWidth="1"/>
    <col min="9995" max="10232" width="7.875" style="290" customWidth="1"/>
    <col min="10233" max="10233" width="4.5" style="290" customWidth="1"/>
    <col min="10234" max="10234" width="6.25" style="290" customWidth="1"/>
    <col min="10235" max="10235" width="5.75" style="290" customWidth="1"/>
    <col min="10236" max="10236" width="7" style="290" customWidth="1"/>
    <col min="10237" max="10237" width="14.75" style="290" customWidth="1"/>
    <col min="10238" max="10238" width="13.875" style="290" customWidth="1"/>
    <col min="10239" max="10239" width="5.5" style="290" customWidth="1"/>
    <col min="10240" max="10240" width="6" style="290" customWidth="1"/>
    <col min="10241" max="10241" width="7.75" style="290" customWidth="1"/>
    <col min="10242" max="10242" width="11.875" style="290" customWidth="1"/>
    <col min="10243" max="10243" width="12.5" style="290" customWidth="1"/>
    <col min="10244" max="10249" width="7.875" style="290" customWidth="1"/>
    <col min="10250" max="10250" width="11" style="290" customWidth="1"/>
    <col min="10251" max="10488" width="7.875" style="290" customWidth="1"/>
    <col min="10489" max="10489" width="4.5" style="290" customWidth="1"/>
    <col min="10490" max="10490" width="6.25" style="290" customWidth="1"/>
    <col min="10491" max="10491" width="5.75" style="290" customWidth="1"/>
    <col min="10492" max="10492" width="7" style="290" customWidth="1"/>
    <col min="10493" max="10493" width="14.75" style="290" customWidth="1"/>
    <col min="10494" max="10494" width="13.875" style="290" customWidth="1"/>
    <col min="10495" max="10495" width="5.5" style="290" customWidth="1"/>
    <col min="10496" max="10496" width="6" style="290" customWidth="1"/>
    <col min="10497" max="10497" width="7.75" style="290" customWidth="1"/>
    <col min="10498" max="10498" width="11.875" style="290" customWidth="1"/>
    <col min="10499" max="10499" width="12.5" style="290" customWidth="1"/>
    <col min="10500" max="10505" width="7.875" style="290" customWidth="1"/>
    <col min="10506" max="10506" width="11" style="290" customWidth="1"/>
    <col min="10507" max="10744" width="7.875" style="290" customWidth="1"/>
    <col min="10745" max="10745" width="4.5" style="290" customWidth="1"/>
    <col min="10746" max="10746" width="6.25" style="290" customWidth="1"/>
    <col min="10747" max="10747" width="5.75" style="290" customWidth="1"/>
    <col min="10748" max="10748" width="7" style="290" customWidth="1"/>
    <col min="10749" max="10749" width="14.75" style="290" customWidth="1"/>
    <col min="10750" max="10750" width="13.875" style="290" customWidth="1"/>
    <col min="10751" max="10751" width="5.5" style="290" customWidth="1"/>
    <col min="10752" max="10752" width="6" style="290" customWidth="1"/>
    <col min="10753" max="10753" width="7.75" style="290" customWidth="1"/>
    <col min="10754" max="10754" width="11.875" style="290" customWidth="1"/>
    <col min="10755" max="10755" width="12.5" style="290" customWidth="1"/>
    <col min="10756" max="10761" width="7.875" style="290" customWidth="1"/>
    <col min="10762" max="10762" width="11" style="290" customWidth="1"/>
    <col min="10763" max="11000" width="7.875" style="290" customWidth="1"/>
    <col min="11001" max="11001" width="4.5" style="290" customWidth="1"/>
    <col min="11002" max="11002" width="6.25" style="290" customWidth="1"/>
    <col min="11003" max="11003" width="5.75" style="290" customWidth="1"/>
    <col min="11004" max="11004" width="7" style="290" customWidth="1"/>
    <col min="11005" max="11005" width="14.75" style="290" customWidth="1"/>
    <col min="11006" max="11006" width="13.875" style="290" customWidth="1"/>
    <col min="11007" max="11007" width="5.5" style="290" customWidth="1"/>
    <col min="11008" max="11008" width="6" style="290" customWidth="1"/>
    <col min="11009" max="11009" width="7.75" style="290" customWidth="1"/>
    <col min="11010" max="11010" width="11.875" style="290" customWidth="1"/>
    <col min="11011" max="11011" width="12.5" style="290" customWidth="1"/>
    <col min="11012" max="11017" width="7.875" style="290" customWidth="1"/>
    <col min="11018" max="11018" width="11" style="290" customWidth="1"/>
    <col min="11019" max="11256" width="7.875" style="290" customWidth="1"/>
    <col min="11257" max="11257" width="4.5" style="290" customWidth="1"/>
    <col min="11258" max="11258" width="6.25" style="290" customWidth="1"/>
    <col min="11259" max="11259" width="5.75" style="290" customWidth="1"/>
    <col min="11260" max="11260" width="7" style="290" customWidth="1"/>
    <col min="11261" max="11261" width="14.75" style="290" customWidth="1"/>
    <col min="11262" max="11262" width="13.875" style="290" customWidth="1"/>
    <col min="11263" max="11263" width="5.5" style="290" customWidth="1"/>
    <col min="11264" max="11264" width="6" style="290" customWidth="1"/>
    <col min="11265" max="11265" width="7.75" style="290" customWidth="1"/>
    <col min="11266" max="11266" width="11.875" style="290" customWidth="1"/>
    <col min="11267" max="11267" width="12.5" style="290" customWidth="1"/>
    <col min="11268" max="11273" width="7.875" style="290" customWidth="1"/>
    <col min="11274" max="11274" width="11" style="290" customWidth="1"/>
    <col min="11275" max="11512" width="7.875" style="290" customWidth="1"/>
    <col min="11513" max="11513" width="4.5" style="290" customWidth="1"/>
    <col min="11514" max="11514" width="6.25" style="290" customWidth="1"/>
    <col min="11515" max="11515" width="5.75" style="290" customWidth="1"/>
    <col min="11516" max="11516" width="7" style="290" customWidth="1"/>
    <col min="11517" max="11517" width="14.75" style="290" customWidth="1"/>
    <col min="11518" max="11518" width="13.875" style="290" customWidth="1"/>
    <col min="11519" max="11519" width="5.5" style="290" customWidth="1"/>
    <col min="11520" max="11520" width="6" style="290" customWidth="1"/>
    <col min="11521" max="11521" width="7.75" style="290" customWidth="1"/>
    <col min="11522" max="11522" width="11.875" style="290" customWidth="1"/>
    <col min="11523" max="11523" width="12.5" style="290" customWidth="1"/>
    <col min="11524" max="11529" width="7.875" style="290" customWidth="1"/>
    <col min="11530" max="11530" width="11" style="290" customWidth="1"/>
    <col min="11531" max="11768" width="7.875" style="290" customWidth="1"/>
    <col min="11769" max="11769" width="4.5" style="290" customWidth="1"/>
    <col min="11770" max="11770" width="6.25" style="290" customWidth="1"/>
    <col min="11771" max="11771" width="5.75" style="290" customWidth="1"/>
    <col min="11772" max="11772" width="7" style="290" customWidth="1"/>
    <col min="11773" max="11773" width="14.75" style="290" customWidth="1"/>
    <col min="11774" max="11774" width="13.875" style="290" customWidth="1"/>
    <col min="11775" max="11775" width="5.5" style="290" customWidth="1"/>
    <col min="11776" max="11776" width="6" style="290" customWidth="1"/>
    <col min="11777" max="11777" width="7.75" style="290" customWidth="1"/>
    <col min="11778" max="11778" width="11.875" style="290" customWidth="1"/>
    <col min="11779" max="11779" width="12.5" style="290" customWidth="1"/>
    <col min="11780" max="11785" width="7.875" style="290" customWidth="1"/>
    <col min="11786" max="11786" width="11" style="290" customWidth="1"/>
    <col min="11787" max="12024" width="7.875" style="290" customWidth="1"/>
    <col min="12025" max="12025" width="4.5" style="290" customWidth="1"/>
    <col min="12026" max="12026" width="6.25" style="290" customWidth="1"/>
    <col min="12027" max="12027" width="5.75" style="290" customWidth="1"/>
    <col min="12028" max="12028" width="7" style="290" customWidth="1"/>
    <col min="12029" max="12029" width="14.75" style="290" customWidth="1"/>
    <col min="12030" max="12030" width="13.875" style="290" customWidth="1"/>
    <col min="12031" max="12031" width="5.5" style="290" customWidth="1"/>
    <col min="12032" max="12032" width="6" style="290" customWidth="1"/>
    <col min="12033" max="12033" width="7.75" style="290" customWidth="1"/>
    <col min="12034" max="12034" width="11.875" style="290" customWidth="1"/>
    <col min="12035" max="12035" width="12.5" style="290" customWidth="1"/>
    <col min="12036" max="12041" width="7.875" style="290" customWidth="1"/>
    <col min="12042" max="12042" width="11" style="290" customWidth="1"/>
    <col min="12043" max="12280" width="7.875" style="290" customWidth="1"/>
    <col min="12281" max="12281" width="4.5" style="290" customWidth="1"/>
    <col min="12282" max="12282" width="6.25" style="290" customWidth="1"/>
    <col min="12283" max="12283" width="5.75" style="290" customWidth="1"/>
    <col min="12284" max="12284" width="7" style="290" customWidth="1"/>
    <col min="12285" max="12285" width="14.75" style="290" customWidth="1"/>
    <col min="12286" max="12286" width="13.875" style="290" customWidth="1"/>
    <col min="12287" max="12287" width="5.5" style="290" customWidth="1"/>
    <col min="12288" max="12288" width="6" style="290" customWidth="1"/>
    <col min="12289" max="12289" width="7.75" style="290" customWidth="1"/>
    <col min="12290" max="12290" width="11.875" style="290" customWidth="1"/>
    <col min="12291" max="12291" width="12.5" style="290" customWidth="1"/>
    <col min="12292" max="12297" width="7.875" style="290" customWidth="1"/>
    <col min="12298" max="12298" width="11" style="290" customWidth="1"/>
    <col min="12299" max="12536" width="7.875" style="290" customWidth="1"/>
    <col min="12537" max="12537" width="4.5" style="290" customWidth="1"/>
    <col min="12538" max="12538" width="6.25" style="290" customWidth="1"/>
    <col min="12539" max="12539" width="5.75" style="290" customWidth="1"/>
    <col min="12540" max="12540" width="7" style="290" customWidth="1"/>
    <col min="12541" max="12541" width="14.75" style="290" customWidth="1"/>
    <col min="12542" max="12542" width="13.875" style="290" customWidth="1"/>
    <col min="12543" max="12543" width="5.5" style="290" customWidth="1"/>
    <col min="12544" max="12544" width="6" style="290" customWidth="1"/>
    <col min="12545" max="12545" width="7.75" style="290" customWidth="1"/>
    <col min="12546" max="12546" width="11.875" style="290" customWidth="1"/>
    <col min="12547" max="12547" width="12.5" style="290" customWidth="1"/>
    <col min="12548" max="12553" width="7.875" style="290" customWidth="1"/>
    <col min="12554" max="12554" width="11" style="290" customWidth="1"/>
    <col min="12555" max="12792" width="7.875" style="290" customWidth="1"/>
    <col min="12793" max="12793" width="4.5" style="290" customWidth="1"/>
    <col min="12794" max="12794" width="6.25" style="290" customWidth="1"/>
    <col min="12795" max="12795" width="5.75" style="290" customWidth="1"/>
    <col min="12796" max="12796" width="7" style="290" customWidth="1"/>
    <col min="12797" max="12797" width="14.75" style="290" customWidth="1"/>
    <col min="12798" max="12798" width="13.875" style="290" customWidth="1"/>
    <col min="12799" max="12799" width="5.5" style="290" customWidth="1"/>
    <col min="12800" max="12800" width="6" style="290" customWidth="1"/>
    <col min="12801" max="12801" width="7.75" style="290" customWidth="1"/>
    <col min="12802" max="12802" width="11.875" style="290" customWidth="1"/>
    <col min="12803" max="12803" width="12.5" style="290" customWidth="1"/>
    <col min="12804" max="12809" width="7.875" style="290" customWidth="1"/>
    <col min="12810" max="12810" width="11" style="290" customWidth="1"/>
    <col min="12811" max="13048" width="7.875" style="290" customWidth="1"/>
    <col min="13049" max="13049" width="4.5" style="290" customWidth="1"/>
    <col min="13050" max="13050" width="6.25" style="290" customWidth="1"/>
    <col min="13051" max="13051" width="5.75" style="290" customWidth="1"/>
    <col min="13052" max="13052" width="7" style="290" customWidth="1"/>
    <col min="13053" max="13053" width="14.75" style="290" customWidth="1"/>
    <col min="13054" max="13054" width="13.875" style="290" customWidth="1"/>
    <col min="13055" max="13055" width="5.5" style="290" customWidth="1"/>
    <col min="13056" max="13056" width="6" style="290" customWidth="1"/>
    <col min="13057" max="13057" width="7.75" style="290" customWidth="1"/>
    <col min="13058" max="13058" width="11.875" style="290" customWidth="1"/>
    <col min="13059" max="13059" width="12.5" style="290" customWidth="1"/>
    <col min="13060" max="13065" width="7.875" style="290" customWidth="1"/>
    <col min="13066" max="13066" width="11" style="290" customWidth="1"/>
    <col min="13067" max="13304" width="7.875" style="290" customWidth="1"/>
    <col min="13305" max="13305" width="4.5" style="290" customWidth="1"/>
    <col min="13306" max="13306" width="6.25" style="290" customWidth="1"/>
    <col min="13307" max="13307" width="5.75" style="290" customWidth="1"/>
    <col min="13308" max="13308" width="7" style="290" customWidth="1"/>
    <col min="13309" max="13309" width="14.75" style="290" customWidth="1"/>
    <col min="13310" max="13310" width="13.875" style="290" customWidth="1"/>
    <col min="13311" max="13311" width="5.5" style="290" customWidth="1"/>
    <col min="13312" max="13312" width="6" style="290" customWidth="1"/>
    <col min="13313" max="13313" width="7.75" style="290" customWidth="1"/>
    <col min="13314" max="13314" width="11.875" style="290" customWidth="1"/>
    <col min="13315" max="13315" width="12.5" style="290" customWidth="1"/>
    <col min="13316" max="13321" width="7.875" style="290" customWidth="1"/>
    <col min="13322" max="13322" width="11" style="290" customWidth="1"/>
    <col min="13323" max="13560" width="7.875" style="290" customWidth="1"/>
    <col min="13561" max="13561" width="4.5" style="290" customWidth="1"/>
    <col min="13562" max="13562" width="6.25" style="290" customWidth="1"/>
    <col min="13563" max="13563" width="5.75" style="290" customWidth="1"/>
    <col min="13564" max="13564" width="7" style="290" customWidth="1"/>
    <col min="13565" max="13565" width="14.75" style="290" customWidth="1"/>
    <col min="13566" max="13566" width="13.875" style="290" customWidth="1"/>
    <col min="13567" max="13567" width="5.5" style="290" customWidth="1"/>
    <col min="13568" max="13568" width="6" style="290" customWidth="1"/>
    <col min="13569" max="13569" width="7.75" style="290" customWidth="1"/>
    <col min="13570" max="13570" width="11.875" style="290" customWidth="1"/>
    <col min="13571" max="13571" width="12.5" style="290" customWidth="1"/>
    <col min="13572" max="13577" width="7.875" style="290" customWidth="1"/>
    <col min="13578" max="13578" width="11" style="290" customWidth="1"/>
    <col min="13579" max="13816" width="7.875" style="290" customWidth="1"/>
    <col min="13817" max="13817" width="4.5" style="290" customWidth="1"/>
    <col min="13818" max="13818" width="6.25" style="290" customWidth="1"/>
    <col min="13819" max="13819" width="5.75" style="290" customWidth="1"/>
    <col min="13820" max="13820" width="7" style="290" customWidth="1"/>
    <col min="13821" max="13821" width="14.75" style="290" customWidth="1"/>
    <col min="13822" max="13822" width="13.875" style="290" customWidth="1"/>
    <col min="13823" max="13823" width="5.5" style="290" customWidth="1"/>
    <col min="13824" max="13824" width="6" style="290" customWidth="1"/>
    <col min="13825" max="13825" width="7.75" style="290" customWidth="1"/>
    <col min="13826" max="13826" width="11.875" style="290" customWidth="1"/>
    <col min="13827" max="13827" width="12.5" style="290" customWidth="1"/>
    <col min="13828" max="13833" width="7.875" style="290" customWidth="1"/>
    <col min="13834" max="13834" width="11" style="290" customWidth="1"/>
    <col min="13835" max="14072" width="7.875" style="290" customWidth="1"/>
    <col min="14073" max="14073" width="4.5" style="290" customWidth="1"/>
    <col min="14074" max="14074" width="6.25" style="290" customWidth="1"/>
    <col min="14075" max="14075" width="5.75" style="290" customWidth="1"/>
    <col min="14076" max="14076" width="7" style="290" customWidth="1"/>
    <col min="14077" max="14077" width="14.75" style="290" customWidth="1"/>
    <col min="14078" max="14078" width="13.875" style="290" customWidth="1"/>
    <col min="14079" max="14079" width="5.5" style="290" customWidth="1"/>
    <col min="14080" max="14080" width="6" style="290" customWidth="1"/>
    <col min="14081" max="14081" width="7.75" style="290" customWidth="1"/>
    <col min="14082" max="14082" width="11.875" style="290" customWidth="1"/>
    <col min="14083" max="14083" width="12.5" style="290" customWidth="1"/>
    <col min="14084" max="14089" width="7.875" style="290" customWidth="1"/>
    <col min="14090" max="14090" width="11" style="290" customWidth="1"/>
    <col min="14091" max="14328" width="7.875" style="290" customWidth="1"/>
    <col min="14329" max="14329" width="4.5" style="290" customWidth="1"/>
    <col min="14330" max="14330" width="6.25" style="290" customWidth="1"/>
    <col min="14331" max="14331" width="5.75" style="290" customWidth="1"/>
    <col min="14332" max="14332" width="7" style="290" customWidth="1"/>
    <col min="14333" max="14333" width="14.75" style="290" customWidth="1"/>
    <col min="14334" max="14334" width="13.875" style="290" customWidth="1"/>
    <col min="14335" max="14335" width="5.5" style="290" customWidth="1"/>
    <col min="14336" max="14336" width="6" style="290" customWidth="1"/>
    <col min="14337" max="14337" width="7.75" style="290" customWidth="1"/>
    <col min="14338" max="14338" width="11.875" style="290" customWidth="1"/>
    <col min="14339" max="14339" width="12.5" style="290" customWidth="1"/>
    <col min="14340" max="14345" width="7.875" style="290" customWidth="1"/>
    <col min="14346" max="14346" width="11" style="290" customWidth="1"/>
    <col min="14347" max="14584" width="7.875" style="290" customWidth="1"/>
    <col min="14585" max="14585" width="4.5" style="290" customWidth="1"/>
    <col min="14586" max="14586" width="6.25" style="290" customWidth="1"/>
    <col min="14587" max="14587" width="5.75" style="290" customWidth="1"/>
    <col min="14588" max="14588" width="7" style="290" customWidth="1"/>
    <col min="14589" max="14589" width="14.75" style="290" customWidth="1"/>
    <col min="14590" max="14590" width="13.875" style="290" customWidth="1"/>
    <col min="14591" max="14591" width="5.5" style="290" customWidth="1"/>
    <col min="14592" max="14592" width="6" style="290" customWidth="1"/>
    <col min="14593" max="14593" width="7.75" style="290" customWidth="1"/>
    <col min="14594" max="14594" width="11.875" style="290" customWidth="1"/>
    <col min="14595" max="14595" width="12.5" style="290" customWidth="1"/>
    <col min="14596" max="14601" width="7.875" style="290" customWidth="1"/>
    <col min="14602" max="14602" width="11" style="290" customWidth="1"/>
    <col min="14603" max="14840" width="7.875" style="290" customWidth="1"/>
    <col min="14841" max="14841" width="4.5" style="290" customWidth="1"/>
    <col min="14842" max="14842" width="6.25" style="290" customWidth="1"/>
    <col min="14843" max="14843" width="5.75" style="290" customWidth="1"/>
    <col min="14844" max="14844" width="7" style="290" customWidth="1"/>
    <col min="14845" max="14845" width="14.75" style="290" customWidth="1"/>
    <col min="14846" max="14846" width="13.875" style="290" customWidth="1"/>
    <col min="14847" max="14847" width="5.5" style="290" customWidth="1"/>
    <col min="14848" max="14848" width="6" style="290" customWidth="1"/>
    <col min="14849" max="14849" width="7.75" style="290" customWidth="1"/>
    <col min="14850" max="14850" width="11.875" style="290" customWidth="1"/>
    <col min="14851" max="14851" width="12.5" style="290" customWidth="1"/>
    <col min="14852" max="14857" width="7.875" style="290" customWidth="1"/>
    <col min="14858" max="14858" width="11" style="290" customWidth="1"/>
    <col min="14859" max="15096" width="7.875" style="290" customWidth="1"/>
    <col min="15097" max="15097" width="4.5" style="290" customWidth="1"/>
    <col min="15098" max="15098" width="6.25" style="290" customWidth="1"/>
    <col min="15099" max="15099" width="5.75" style="290" customWidth="1"/>
    <col min="15100" max="15100" width="7" style="290" customWidth="1"/>
    <col min="15101" max="15101" width="14.75" style="290" customWidth="1"/>
    <col min="15102" max="15102" width="13.875" style="290" customWidth="1"/>
    <col min="15103" max="15103" width="5.5" style="290" customWidth="1"/>
    <col min="15104" max="15104" width="6" style="290" customWidth="1"/>
    <col min="15105" max="15105" width="7.75" style="290" customWidth="1"/>
    <col min="15106" max="15106" width="11.875" style="290" customWidth="1"/>
    <col min="15107" max="15107" width="12.5" style="290" customWidth="1"/>
    <col min="15108" max="15113" width="7.875" style="290" customWidth="1"/>
    <col min="15114" max="15114" width="11" style="290" customWidth="1"/>
    <col min="15115" max="15352" width="7.875" style="290" customWidth="1"/>
    <col min="15353" max="15353" width="4.5" style="290" customWidth="1"/>
    <col min="15354" max="15354" width="6.25" style="290" customWidth="1"/>
    <col min="15355" max="15355" width="5.75" style="290" customWidth="1"/>
    <col min="15356" max="15356" width="7" style="290" customWidth="1"/>
    <col min="15357" max="15357" width="14.75" style="290" customWidth="1"/>
    <col min="15358" max="15358" width="13.875" style="290" customWidth="1"/>
    <col min="15359" max="15359" width="5.5" style="290" customWidth="1"/>
    <col min="15360" max="15360" width="6" style="290" customWidth="1"/>
    <col min="15361" max="15361" width="7.75" style="290" customWidth="1"/>
    <col min="15362" max="15362" width="11.875" style="290" customWidth="1"/>
    <col min="15363" max="15363" width="12.5" style="290" customWidth="1"/>
    <col min="15364" max="15369" width="7.875" style="290" customWidth="1"/>
    <col min="15370" max="15370" width="11" style="290" customWidth="1"/>
    <col min="15371" max="15608" width="7.875" style="290" customWidth="1"/>
    <col min="15609" max="15609" width="4.5" style="290" customWidth="1"/>
    <col min="15610" max="15610" width="6.25" style="290" customWidth="1"/>
    <col min="15611" max="15611" width="5.75" style="290" customWidth="1"/>
    <col min="15612" max="15612" width="7" style="290" customWidth="1"/>
    <col min="15613" max="15613" width="14.75" style="290" customWidth="1"/>
    <col min="15614" max="15614" width="13.875" style="290" customWidth="1"/>
    <col min="15615" max="15615" width="5.5" style="290" customWidth="1"/>
    <col min="15616" max="15616" width="6" style="290" customWidth="1"/>
    <col min="15617" max="15617" width="7.75" style="290" customWidth="1"/>
    <col min="15618" max="15618" width="11.875" style="290" customWidth="1"/>
    <col min="15619" max="15619" width="12.5" style="290" customWidth="1"/>
    <col min="15620" max="15625" width="7.875" style="290" customWidth="1"/>
    <col min="15626" max="15626" width="11" style="290" customWidth="1"/>
    <col min="15627" max="15864" width="7.875" style="290" customWidth="1"/>
    <col min="15865" max="15865" width="4.5" style="290" customWidth="1"/>
    <col min="15866" max="15866" width="6.25" style="290" customWidth="1"/>
    <col min="15867" max="15867" width="5.75" style="290" customWidth="1"/>
    <col min="15868" max="15868" width="7" style="290" customWidth="1"/>
    <col min="15869" max="15869" width="14.75" style="290" customWidth="1"/>
    <col min="15870" max="15870" width="13.875" style="290" customWidth="1"/>
    <col min="15871" max="15871" width="5.5" style="290" customWidth="1"/>
    <col min="15872" max="15872" width="6" style="290" customWidth="1"/>
    <col min="15873" max="15873" width="7.75" style="290" customWidth="1"/>
    <col min="15874" max="15874" width="11.875" style="290" customWidth="1"/>
    <col min="15875" max="15875" width="12.5" style="290" customWidth="1"/>
    <col min="15876" max="15881" width="7.875" style="290" customWidth="1"/>
    <col min="15882" max="15882" width="11" style="290" customWidth="1"/>
    <col min="15883" max="16120" width="7.875" style="290" customWidth="1"/>
    <col min="16121" max="16121" width="4.5" style="290" customWidth="1"/>
    <col min="16122" max="16122" width="6.25" style="290" customWidth="1"/>
    <col min="16123" max="16123" width="5.75" style="290" customWidth="1"/>
    <col min="16124" max="16124" width="7" style="290" customWidth="1"/>
    <col min="16125" max="16125" width="14.75" style="290" customWidth="1"/>
    <col min="16126" max="16126" width="13.875" style="290" customWidth="1"/>
    <col min="16127" max="16127" width="5.5" style="290" customWidth="1"/>
    <col min="16128" max="16128" width="6" style="290" customWidth="1"/>
    <col min="16129" max="16129" width="7.75" style="290" customWidth="1"/>
    <col min="16130" max="16130" width="11.875" style="290" customWidth="1"/>
    <col min="16131" max="16131" width="12.5" style="290" customWidth="1"/>
    <col min="16132" max="16137" width="7.875" style="290" customWidth="1"/>
    <col min="16138" max="16138" width="11" style="290" customWidth="1"/>
    <col min="16139" max="16377" width="7.875" style="290" customWidth="1"/>
    <col min="16378" max="16384" width="7.875" style="240"/>
  </cols>
  <sheetData>
    <row r="1" spans="1:10" s="295" customFormat="1" ht="30" customHeight="1">
      <c r="A1" s="525" t="s">
        <v>1589</v>
      </c>
      <c r="B1" s="501"/>
      <c r="C1" s="501"/>
      <c r="D1" s="501"/>
      <c r="E1" s="501"/>
      <c r="F1" s="501"/>
      <c r="G1" s="501"/>
      <c r="H1" s="501"/>
      <c r="I1" s="501"/>
      <c r="J1" s="501"/>
    </row>
    <row r="2" spans="1:10" s="295" customFormat="1" ht="24.95" customHeight="1">
      <c r="A2" s="291" t="s">
        <v>12</v>
      </c>
      <c r="B2" s="291" t="s">
        <v>1040</v>
      </c>
      <c r="C2" s="291" t="s">
        <v>1042</v>
      </c>
      <c r="D2" s="291" t="s">
        <v>1043</v>
      </c>
      <c r="E2" s="291" t="s">
        <v>1044</v>
      </c>
      <c r="F2" s="291" t="s">
        <v>1</v>
      </c>
      <c r="G2" s="338" t="s">
        <v>1045</v>
      </c>
      <c r="H2" s="293" t="s">
        <v>1275</v>
      </c>
      <c r="I2" s="294" t="s">
        <v>1276</v>
      </c>
      <c r="J2" s="333" t="s">
        <v>1416</v>
      </c>
    </row>
    <row r="3" spans="1:10" ht="24.95" customHeight="1">
      <c r="A3" s="529">
        <v>1</v>
      </c>
      <c r="B3" s="529" t="s">
        <v>625</v>
      </c>
      <c r="C3" s="528" t="s">
        <v>1078</v>
      </c>
      <c r="D3" s="529" t="s">
        <v>1563</v>
      </c>
      <c r="E3" s="296" t="s">
        <v>1564</v>
      </c>
      <c r="F3" s="296" t="s">
        <v>1103</v>
      </c>
      <c r="G3" s="297">
        <v>20</v>
      </c>
      <c r="H3" s="297">
        <v>1600</v>
      </c>
      <c r="I3" s="301">
        <f>H3*G3</f>
        <v>32000</v>
      </c>
      <c r="J3" s="530">
        <f>ROUND(I13*0.8,0)</f>
        <v>264213</v>
      </c>
    </row>
    <row r="4" spans="1:10" ht="24.95" customHeight="1">
      <c r="A4" s="529"/>
      <c r="B4" s="529"/>
      <c r="C4" s="528"/>
      <c r="D4" s="529"/>
      <c r="E4" s="296" t="s">
        <v>1565</v>
      </c>
      <c r="F4" s="296" t="s">
        <v>1103</v>
      </c>
      <c r="G4" s="297">
        <v>60</v>
      </c>
      <c r="H4" s="297">
        <v>2500</v>
      </c>
      <c r="I4" s="301">
        <f>G4*H4</f>
        <v>150000</v>
      </c>
      <c r="J4" s="530"/>
    </row>
    <row r="5" spans="1:10" ht="24.95" customHeight="1">
      <c r="A5" s="529"/>
      <c r="B5" s="529"/>
      <c r="C5" s="528"/>
      <c r="D5" s="529"/>
      <c r="E5" s="296" t="s">
        <v>1566</v>
      </c>
      <c r="F5" s="296" t="s">
        <v>1103</v>
      </c>
      <c r="G5" s="297">
        <v>11</v>
      </c>
      <c r="H5" s="297">
        <v>1600</v>
      </c>
      <c r="I5" s="301">
        <f>H5*G5</f>
        <v>17600</v>
      </c>
      <c r="J5" s="530"/>
    </row>
    <row r="6" spans="1:10" ht="24.95" customHeight="1">
      <c r="A6" s="529"/>
      <c r="B6" s="529"/>
      <c r="C6" s="528"/>
      <c r="D6" s="529"/>
      <c r="E6" s="296" t="s">
        <v>1567</v>
      </c>
      <c r="F6" s="296" t="s">
        <v>1103</v>
      </c>
      <c r="G6" s="297">
        <v>28</v>
      </c>
      <c r="H6" s="297">
        <v>2500</v>
      </c>
      <c r="I6" s="301">
        <f>H6*G6</f>
        <v>70000</v>
      </c>
      <c r="J6" s="530"/>
    </row>
    <row r="7" spans="1:10" ht="24.95" customHeight="1">
      <c r="A7" s="529"/>
      <c r="B7" s="529"/>
      <c r="C7" s="528"/>
      <c r="D7" s="529"/>
      <c r="E7" s="296" t="s">
        <v>1568</v>
      </c>
      <c r="F7" s="296" t="s">
        <v>1344</v>
      </c>
      <c r="G7" s="297">
        <f>0.3*(1.5*2+2)*60+0.3*(1.5*2+1)*10</f>
        <v>102</v>
      </c>
      <c r="H7" s="297">
        <v>41</v>
      </c>
      <c r="I7" s="301">
        <f>H7*G7</f>
        <v>4182</v>
      </c>
      <c r="J7" s="530"/>
    </row>
    <row r="8" spans="1:10" ht="24.95" customHeight="1">
      <c r="A8" s="529"/>
      <c r="B8" s="529"/>
      <c r="C8" s="528"/>
      <c r="D8" s="529"/>
      <c r="E8" s="296"/>
      <c r="F8" s="296"/>
      <c r="G8" s="297"/>
      <c r="H8" s="297"/>
      <c r="I8" s="301"/>
      <c r="J8" s="530"/>
    </row>
    <row r="9" spans="1:10" ht="24.95" customHeight="1">
      <c r="A9" s="529"/>
      <c r="B9" s="529"/>
      <c r="C9" s="528"/>
      <c r="D9" s="529"/>
      <c r="E9" s="296" t="s">
        <v>1569</v>
      </c>
      <c r="F9" s="296" t="s">
        <v>1344</v>
      </c>
      <c r="G9" s="297"/>
      <c r="H9" s="297"/>
      <c r="I9" s="301">
        <f>H9*G9</f>
        <v>0</v>
      </c>
      <c r="J9" s="530"/>
    </row>
    <row r="10" spans="1:10" ht="24.95" customHeight="1">
      <c r="A10" s="529"/>
      <c r="B10" s="529"/>
      <c r="C10" s="528"/>
      <c r="D10" s="529"/>
      <c r="E10" s="296" t="s">
        <v>1570</v>
      </c>
      <c r="F10" s="296" t="s">
        <v>1344</v>
      </c>
      <c r="G10" s="297">
        <f>0.3*(1.2*2+2)*60+0.3*(1.2*2+1)*10</f>
        <v>89.4</v>
      </c>
      <c r="H10" s="297">
        <v>236</v>
      </c>
      <c r="I10" s="301">
        <f>H10*G10</f>
        <v>21098.400000000001</v>
      </c>
      <c r="J10" s="530"/>
    </row>
    <row r="11" spans="1:10" ht="24.95" customHeight="1">
      <c r="A11" s="529"/>
      <c r="B11" s="529"/>
      <c r="C11" s="528"/>
      <c r="D11" s="305" t="s">
        <v>1060</v>
      </c>
      <c r="E11" s="305"/>
      <c r="F11" s="296"/>
      <c r="G11" s="306"/>
      <c r="H11" s="306"/>
      <c r="I11" s="306">
        <f>SUM(I3:I10)</f>
        <v>294880.40000000002</v>
      </c>
      <c r="J11" s="530"/>
    </row>
    <row r="12" spans="1:10" ht="24.95" customHeight="1">
      <c r="A12" s="529"/>
      <c r="B12" s="529"/>
      <c r="C12" s="528"/>
      <c r="D12" s="305" t="s">
        <v>1571</v>
      </c>
      <c r="E12" s="305"/>
      <c r="F12" s="296"/>
      <c r="G12" s="306"/>
      <c r="H12" s="306"/>
      <c r="I12" s="306">
        <f>I11*0.12</f>
        <v>35385.648000000001</v>
      </c>
      <c r="J12" s="530"/>
    </row>
    <row r="13" spans="1:10" ht="24.95" customHeight="1">
      <c r="A13" s="529"/>
      <c r="B13" s="529"/>
      <c r="C13" s="528"/>
      <c r="D13" s="305" t="s">
        <v>1062</v>
      </c>
      <c r="E13" s="305"/>
      <c r="F13" s="296"/>
      <c r="G13" s="306"/>
      <c r="H13" s="306"/>
      <c r="I13" s="306">
        <f>SUM(I11:I12)</f>
        <v>330266.04800000001</v>
      </c>
      <c r="J13" s="530"/>
    </row>
    <row r="14" spans="1:10" ht="24.95" customHeight="1">
      <c r="A14" s="529">
        <v>2</v>
      </c>
      <c r="B14" s="529" t="s">
        <v>900</v>
      </c>
      <c r="C14" s="528" t="s">
        <v>1078</v>
      </c>
      <c r="D14" s="529" t="s">
        <v>1572</v>
      </c>
      <c r="E14" s="296" t="s">
        <v>1573</v>
      </c>
      <c r="F14" s="296" t="s">
        <v>1344</v>
      </c>
      <c r="G14" s="301">
        <f>69*4</f>
        <v>276</v>
      </c>
      <c r="H14" s="297">
        <v>200</v>
      </c>
      <c r="I14" s="301">
        <f t="shared" ref="I14:I23" si="0">G14*H14</f>
        <v>55200</v>
      </c>
      <c r="J14" s="530">
        <f>ROUND(I30*0.8,0)</f>
        <v>579393</v>
      </c>
    </row>
    <row r="15" spans="1:10" ht="24.95" customHeight="1">
      <c r="A15" s="529"/>
      <c r="B15" s="529"/>
      <c r="C15" s="528"/>
      <c r="D15" s="529"/>
      <c r="E15" s="296" t="s">
        <v>1568</v>
      </c>
      <c r="F15" s="296" t="s">
        <v>1344</v>
      </c>
      <c r="G15" s="301">
        <f>(33*3.6-1*2*2-2.39*1.8*2-3.8*1.8*2)*4</f>
        <v>370.06399999999996</v>
      </c>
      <c r="H15" s="301">
        <v>48</v>
      </c>
      <c r="I15" s="301">
        <f t="shared" si="0"/>
        <v>17763.072</v>
      </c>
      <c r="J15" s="530"/>
    </row>
    <row r="16" spans="1:10" ht="24.95" customHeight="1">
      <c r="A16" s="529"/>
      <c r="B16" s="529"/>
      <c r="C16" s="528"/>
      <c r="D16" s="529"/>
      <c r="E16" s="296" t="s">
        <v>1574</v>
      </c>
      <c r="F16" s="296" t="s">
        <v>1058</v>
      </c>
      <c r="G16" s="297">
        <f>32*4</f>
        <v>128</v>
      </c>
      <c r="H16" s="297">
        <v>35</v>
      </c>
      <c r="I16" s="301">
        <f t="shared" si="0"/>
        <v>4480</v>
      </c>
      <c r="J16" s="530"/>
    </row>
    <row r="17" spans="1:10" ht="24.95" customHeight="1">
      <c r="A17" s="529"/>
      <c r="B17" s="529"/>
      <c r="C17" s="528"/>
      <c r="D17" s="529"/>
      <c r="E17" s="296" t="s">
        <v>1575</v>
      </c>
      <c r="F17" s="296" t="s">
        <v>1344</v>
      </c>
      <c r="G17" s="297">
        <v>288</v>
      </c>
      <c r="H17" s="297">
        <v>100</v>
      </c>
      <c r="I17" s="301">
        <f t="shared" si="0"/>
        <v>28800</v>
      </c>
      <c r="J17" s="530"/>
    </row>
    <row r="18" spans="1:10" ht="24.95" customHeight="1">
      <c r="A18" s="529"/>
      <c r="B18" s="529"/>
      <c r="C18" s="528"/>
      <c r="D18" s="529"/>
      <c r="E18" s="296" t="s">
        <v>1576</v>
      </c>
      <c r="F18" s="296" t="s">
        <v>1067</v>
      </c>
      <c r="G18" s="297">
        <v>36</v>
      </c>
      <c r="H18" s="297">
        <v>200</v>
      </c>
      <c r="I18" s="301">
        <f t="shared" si="0"/>
        <v>7200</v>
      </c>
      <c r="J18" s="530"/>
    </row>
    <row r="19" spans="1:10" ht="24.95" customHeight="1">
      <c r="A19" s="529"/>
      <c r="B19" s="529"/>
      <c r="C19" s="528"/>
      <c r="D19" s="529"/>
      <c r="E19" s="296" t="s">
        <v>1577</v>
      </c>
      <c r="F19" s="296" t="s">
        <v>1344</v>
      </c>
      <c r="G19" s="297">
        <v>119.23</v>
      </c>
      <c r="H19" s="297">
        <v>148</v>
      </c>
      <c r="I19" s="301">
        <f t="shared" si="0"/>
        <v>17646.04</v>
      </c>
      <c r="J19" s="530"/>
    </row>
    <row r="20" spans="1:10" ht="24.95" customHeight="1">
      <c r="A20" s="529"/>
      <c r="B20" s="529"/>
      <c r="C20" s="528"/>
      <c r="D20" s="529"/>
      <c r="E20" s="296" t="s">
        <v>1568</v>
      </c>
      <c r="F20" s="296" t="s">
        <v>1344</v>
      </c>
      <c r="G20" s="297">
        <v>140.58000000000001</v>
      </c>
      <c r="H20" s="297">
        <v>41</v>
      </c>
      <c r="I20" s="301">
        <f t="shared" si="0"/>
        <v>5763.7800000000007</v>
      </c>
      <c r="J20" s="530"/>
    </row>
    <row r="21" spans="1:10" ht="24.95" customHeight="1">
      <c r="A21" s="529"/>
      <c r="B21" s="529"/>
      <c r="C21" s="528"/>
      <c r="D21" s="529"/>
      <c r="E21" s="296" t="s">
        <v>1578</v>
      </c>
      <c r="F21" s="296" t="s">
        <v>1344</v>
      </c>
      <c r="G21" s="297">
        <v>25.8</v>
      </c>
      <c r="H21" s="297">
        <v>236</v>
      </c>
      <c r="I21" s="301">
        <f t="shared" si="0"/>
        <v>6088.8</v>
      </c>
      <c r="J21" s="530"/>
    </row>
    <row r="22" spans="1:10" ht="24.95" customHeight="1">
      <c r="A22" s="529"/>
      <c r="B22" s="529"/>
      <c r="C22" s="528"/>
      <c r="D22" s="529"/>
      <c r="E22" s="296" t="s">
        <v>1579</v>
      </c>
      <c r="F22" s="296" t="s">
        <v>1067</v>
      </c>
      <c r="G22" s="297">
        <v>36</v>
      </c>
      <c r="H22" s="297">
        <v>200</v>
      </c>
      <c r="I22" s="301">
        <f t="shared" si="0"/>
        <v>7200</v>
      </c>
      <c r="J22" s="530"/>
    </row>
    <row r="23" spans="1:10" ht="24.95" customHeight="1">
      <c r="A23" s="529"/>
      <c r="B23" s="529"/>
      <c r="C23" s="528"/>
      <c r="D23" s="529" t="s">
        <v>1580</v>
      </c>
      <c r="E23" s="296" t="s">
        <v>1581</v>
      </c>
      <c r="F23" s="296" t="s">
        <v>1344</v>
      </c>
      <c r="G23" s="557">
        <v>1695</v>
      </c>
      <c r="H23" s="557">
        <v>51</v>
      </c>
      <c r="I23" s="557">
        <f t="shared" si="0"/>
        <v>86445</v>
      </c>
      <c r="J23" s="530"/>
    </row>
    <row r="24" spans="1:10" ht="24.95" customHeight="1">
      <c r="A24" s="529"/>
      <c r="B24" s="529"/>
      <c r="C24" s="528"/>
      <c r="D24" s="529"/>
      <c r="E24" s="296" t="s">
        <v>1582</v>
      </c>
      <c r="F24" s="296" t="s">
        <v>1344</v>
      </c>
      <c r="G24" s="557"/>
      <c r="H24" s="557"/>
      <c r="I24" s="557"/>
      <c r="J24" s="530"/>
    </row>
    <row r="25" spans="1:10" ht="24.95" customHeight="1">
      <c r="A25" s="529"/>
      <c r="B25" s="529"/>
      <c r="C25" s="528"/>
      <c r="D25" s="529"/>
      <c r="E25" s="296" t="s">
        <v>1583</v>
      </c>
      <c r="F25" s="296" t="s">
        <v>1344</v>
      </c>
      <c r="G25" s="297">
        <v>1695</v>
      </c>
      <c r="H25" s="297">
        <v>210</v>
      </c>
      <c r="I25" s="301">
        <f>G25*H25</f>
        <v>355950</v>
      </c>
      <c r="J25" s="530"/>
    </row>
    <row r="26" spans="1:10" ht="24.95" customHeight="1">
      <c r="A26" s="529"/>
      <c r="B26" s="529"/>
      <c r="C26" s="528"/>
      <c r="D26" s="305" t="s">
        <v>1060</v>
      </c>
      <c r="E26" s="305"/>
      <c r="F26" s="296"/>
      <c r="G26" s="306"/>
      <c r="H26" s="306"/>
      <c r="I26" s="306">
        <f>SUM(I14:I25)</f>
        <v>592536.69200000004</v>
      </c>
      <c r="J26" s="530"/>
    </row>
    <row r="27" spans="1:10" ht="24.95" customHeight="1">
      <c r="A27" s="529"/>
      <c r="B27" s="529"/>
      <c r="C27" s="528"/>
      <c r="D27" s="305" t="s">
        <v>1571</v>
      </c>
      <c r="E27" s="305"/>
      <c r="F27" s="296"/>
      <c r="G27" s="297"/>
      <c r="H27" s="297"/>
      <c r="I27" s="306">
        <f>I26*0.12</f>
        <v>71104.403040000005</v>
      </c>
      <c r="J27" s="530"/>
    </row>
    <row r="28" spans="1:10" ht="24.95" customHeight="1">
      <c r="A28" s="529"/>
      <c r="B28" s="529"/>
      <c r="C28" s="528"/>
      <c r="D28" s="256" t="s">
        <v>1303</v>
      </c>
      <c r="E28" s="256"/>
      <c r="F28" s="296" t="s">
        <v>1082</v>
      </c>
      <c r="G28" s="297">
        <v>17</v>
      </c>
      <c r="H28" s="297">
        <v>1800</v>
      </c>
      <c r="I28" s="312">
        <f>G28*H28</f>
        <v>30600</v>
      </c>
      <c r="J28" s="530"/>
    </row>
    <row r="29" spans="1:10" ht="24.95" customHeight="1">
      <c r="A29" s="529"/>
      <c r="B29" s="529"/>
      <c r="C29" s="528"/>
      <c r="D29" s="256" t="s">
        <v>1318</v>
      </c>
      <c r="E29" s="256"/>
      <c r="F29" s="296" t="s">
        <v>1095</v>
      </c>
      <c r="G29" s="297">
        <v>1</v>
      </c>
      <c r="H29" s="297">
        <v>30000</v>
      </c>
      <c r="I29" s="312">
        <v>30000</v>
      </c>
      <c r="J29" s="530"/>
    </row>
    <row r="30" spans="1:10" ht="24.95" customHeight="1">
      <c r="A30" s="529"/>
      <c r="B30" s="529"/>
      <c r="C30" s="528"/>
      <c r="D30" s="305" t="s">
        <v>1062</v>
      </c>
      <c r="E30" s="305"/>
      <c r="F30" s="296"/>
      <c r="G30" s="306"/>
      <c r="H30" s="306"/>
      <c r="I30" s="306">
        <f>SUM(I26:I29)</f>
        <v>724241.09504000004</v>
      </c>
      <c r="J30" s="530"/>
    </row>
    <row r="31" spans="1:10" ht="24.95" customHeight="1">
      <c r="A31" s="529">
        <v>3</v>
      </c>
      <c r="B31" s="529" t="s">
        <v>969</v>
      </c>
      <c r="C31" s="528" t="s">
        <v>1078</v>
      </c>
      <c r="D31" s="529" t="s">
        <v>1584</v>
      </c>
      <c r="E31" s="296" t="s">
        <v>1585</v>
      </c>
      <c r="F31" s="296" t="s">
        <v>1344</v>
      </c>
      <c r="G31" s="557">
        <v>1800</v>
      </c>
      <c r="H31" s="557">
        <v>51</v>
      </c>
      <c r="I31" s="557">
        <f>G31*H31</f>
        <v>91800</v>
      </c>
      <c r="J31" s="530">
        <f>ROUND(I37*0.8,0)</f>
        <v>452813</v>
      </c>
    </row>
    <row r="32" spans="1:10" ht="24.95" customHeight="1">
      <c r="A32" s="529"/>
      <c r="B32" s="529"/>
      <c r="C32" s="528"/>
      <c r="D32" s="529"/>
      <c r="E32" s="296" t="s">
        <v>1582</v>
      </c>
      <c r="F32" s="296" t="s">
        <v>1344</v>
      </c>
      <c r="G32" s="557"/>
      <c r="H32" s="557"/>
      <c r="I32" s="557"/>
      <c r="J32" s="530"/>
    </row>
    <row r="33" spans="1:11" ht="24.95" customHeight="1">
      <c r="A33" s="529"/>
      <c r="B33" s="529"/>
      <c r="C33" s="528"/>
      <c r="D33" s="529"/>
      <c r="E33" s="296" t="s">
        <v>1586</v>
      </c>
      <c r="F33" s="296" t="s">
        <v>1344</v>
      </c>
      <c r="G33" s="301">
        <v>1800</v>
      </c>
      <c r="H33" s="301">
        <v>200</v>
      </c>
      <c r="I33" s="301">
        <f>G33*H33</f>
        <v>360000</v>
      </c>
      <c r="J33" s="530"/>
    </row>
    <row r="34" spans="1:11" ht="24.95" customHeight="1">
      <c r="A34" s="529"/>
      <c r="B34" s="529"/>
      <c r="C34" s="528"/>
      <c r="D34" s="305" t="s">
        <v>1060</v>
      </c>
      <c r="E34" s="305"/>
      <c r="F34" s="296"/>
      <c r="G34" s="306"/>
      <c r="H34" s="306"/>
      <c r="I34" s="306">
        <f>SUM(I31:I33)</f>
        <v>451800</v>
      </c>
      <c r="J34" s="530"/>
    </row>
    <row r="35" spans="1:11" ht="24.95" customHeight="1">
      <c r="A35" s="529"/>
      <c r="B35" s="529"/>
      <c r="C35" s="528"/>
      <c r="D35" s="305" t="s">
        <v>1571</v>
      </c>
      <c r="E35" s="305"/>
      <c r="F35" s="296"/>
      <c r="G35" s="306"/>
      <c r="H35" s="306"/>
      <c r="I35" s="306">
        <f>I34*0.12</f>
        <v>54216</v>
      </c>
      <c r="J35" s="530"/>
    </row>
    <row r="36" spans="1:11" ht="24.95" customHeight="1">
      <c r="A36" s="529"/>
      <c r="B36" s="529"/>
      <c r="C36" s="528"/>
      <c r="D36" s="256" t="s">
        <v>1318</v>
      </c>
      <c r="E36" s="256"/>
      <c r="F36" s="296" t="s">
        <v>1095</v>
      </c>
      <c r="G36" s="297">
        <v>2</v>
      </c>
      <c r="H36" s="297">
        <v>30000</v>
      </c>
      <c r="I36" s="312">
        <v>60000</v>
      </c>
      <c r="J36" s="530"/>
    </row>
    <row r="37" spans="1:11" ht="24.95" customHeight="1">
      <c r="A37" s="529"/>
      <c r="B37" s="529"/>
      <c r="C37" s="528"/>
      <c r="D37" s="305" t="s">
        <v>1062</v>
      </c>
      <c r="E37" s="305"/>
      <c r="F37" s="296"/>
      <c r="G37" s="306"/>
      <c r="H37" s="306"/>
      <c r="I37" s="306">
        <f>SUM(I34:I36)</f>
        <v>566016</v>
      </c>
      <c r="J37" s="530"/>
    </row>
    <row r="38" spans="1:11" ht="24.95" customHeight="1">
      <c r="A38" s="529">
        <v>4</v>
      </c>
      <c r="B38" s="529" t="s">
        <v>1587</v>
      </c>
      <c r="C38" s="528" t="s">
        <v>1078</v>
      </c>
      <c r="D38" s="529" t="s">
        <v>1334</v>
      </c>
      <c r="E38" s="296" t="s">
        <v>1585</v>
      </c>
      <c r="F38" s="296" t="s">
        <v>1344</v>
      </c>
      <c r="G38" s="557">
        <v>1700</v>
      </c>
      <c r="H38" s="557">
        <v>51</v>
      </c>
      <c r="I38" s="557">
        <f>G38*H38</f>
        <v>86700</v>
      </c>
      <c r="J38" s="558">
        <f>ROUND(I45*0.8,0)</f>
        <v>406323</v>
      </c>
    </row>
    <row r="39" spans="1:11" ht="24.95" customHeight="1">
      <c r="A39" s="529"/>
      <c r="B39" s="529"/>
      <c r="C39" s="528"/>
      <c r="D39" s="529"/>
      <c r="E39" s="296" t="s">
        <v>1582</v>
      </c>
      <c r="F39" s="296" t="s">
        <v>1344</v>
      </c>
      <c r="G39" s="557"/>
      <c r="H39" s="557"/>
      <c r="I39" s="557"/>
      <c r="J39" s="558"/>
    </row>
    <row r="40" spans="1:11" ht="24.95" customHeight="1">
      <c r="A40" s="529"/>
      <c r="B40" s="529"/>
      <c r="C40" s="528"/>
      <c r="D40" s="529"/>
      <c r="E40" s="296" t="s">
        <v>1588</v>
      </c>
      <c r="F40" s="296" t="s">
        <v>1058</v>
      </c>
      <c r="G40" s="301"/>
      <c r="H40" s="301"/>
      <c r="I40" s="301">
        <v>0</v>
      </c>
      <c r="J40" s="558"/>
    </row>
    <row r="41" spans="1:11" ht="24.95" customHeight="1">
      <c r="A41" s="529"/>
      <c r="B41" s="529"/>
      <c r="C41" s="528"/>
      <c r="D41" s="529"/>
      <c r="E41" s="296" t="s">
        <v>1586</v>
      </c>
      <c r="F41" s="296" t="s">
        <v>1344</v>
      </c>
      <c r="G41" s="301">
        <v>1700</v>
      </c>
      <c r="H41" s="301">
        <v>200</v>
      </c>
      <c r="I41" s="301">
        <f>G41*H41</f>
        <v>340000</v>
      </c>
      <c r="J41" s="558"/>
    </row>
    <row r="42" spans="1:11" ht="24.95" customHeight="1">
      <c r="A42" s="529"/>
      <c r="B42" s="529"/>
      <c r="C42" s="528"/>
      <c r="D42" s="305" t="s">
        <v>1060</v>
      </c>
      <c r="E42" s="305"/>
      <c r="F42" s="296"/>
      <c r="G42" s="306"/>
      <c r="H42" s="306"/>
      <c r="I42" s="306">
        <f>SUM(I38:I41)</f>
        <v>426700</v>
      </c>
      <c r="J42" s="558"/>
    </row>
    <row r="43" spans="1:11" ht="24.95" customHeight="1">
      <c r="A43" s="529"/>
      <c r="B43" s="529"/>
      <c r="C43" s="528"/>
      <c r="D43" s="305" t="s">
        <v>1571</v>
      </c>
      <c r="E43" s="305"/>
      <c r="F43" s="296"/>
      <c r="G43" s="306"/>
      <c r="H43" s="306"/>
      <c r="I43" s="306">
        <f>I42*0.12</f>
        <v>51204</v>
      </c>
      <c r="J43" s="558"/>
    </row>
    <row r="44" spans="1:11" ht="24.95" customHeight="1">
      <c r="A44" s="529"/>
      <c r="B44" s="529"/>
      <c r="C44" s="528"/>
      <c r="D44" s="256" t="s">
        <v>1318</v>
      </c>
      <c r="E44" s="256"/>
      <c r="F44" s="296" t="s">
        <v>1095</v>
      </c>
      <c r="G44" s="297">
        <v>1</v>
      </c>
      <c r="H44" s="297">
        <v>30000</v>
      </c>
      <c r="I44" s="312">
        <v>30000</v>
      </c>
      <c r="J44" s="558"/>
    </row>
    <row r="45" spans="1:11" ht="24.95" customHeight="1">
      <c r="A45" s="529"/>
      <c r="B45" s="529"/>
      <c r="C45" s="528"/>
      <c r="D45" s="305" t="s">
        <v>1062</v>
      </c>
      <c r="E45" s="305"/>
      <c r="F45" s="296"/>
      <c r="G45" s="306"/>
      <c r="H45" s="306"/>
      <c r="I45" s="306">
        <f>SUM(I42:I44)</f>
        <v>507904</v>
      </c>
      <c r="J45" s="558"/>
    </row>
    <row r="46" spans="1:11" ht="24.95" customHeight="1">
      <c r="A46" s="262"/>
      <c r="B46" s="262"/>
      <c r="C46" s="262"/>
      <c r="D46" s="241" t="s">
        <v>21</v>
      </c>
      <c r="E46" s="242"/>
      <c r="F46" s="243"/>
      <c r="G46" s="316"/>
      <c r="H46" s="316"/>
      <c r="I46" s="317">
        <f>I13+I30+I37+I45</f>
        <v>2128427.14304</v>
      </c>
      <c r="J46" s="323">
        <f>SUM(J3:J45)</f>
        <v>1702742</v>
      </c>
      <c r="K46" s="300">
        <f>I46-J46</f>
        <v>425685.14304</v>
      </c>
    </row>
  </sheetData>
  <mergeCells count="32">
    <mergeCell ref="A1:J1"/>
    <mergeCell ref="J3:J13"/>
    <mergeCell ref="J14:J30"/>
    <mergeCell ref="J31:J37"/>
    <mergeCell ref="J38:J45"/>
    <mergeCell ref="H31:H32"/>
    <mergeCell ref="I31:I32"/>
    <mergeCell ref="A38:A45"/>
    <mergeCell ref="B38:B45"/>
    <mergeCell ref="C38:C45"/>
    <mergeCell ref="D38:D41"/>
    <mergeCell ref="G38:G39"/>
    <mergeCell ref="H38:H39"/>
    <mergeCell ref="I38:I39"/>
    <mergeCell ref="D19:D22"/>
    <mergeCell ref="D23:D25"/>
    <mergeCell ref="G23:G24"/>
    <mergeCell ref="H23:H24"/>
    <mergeCell ref="I23:I24"/>
    <mergeCell ref="A31:A37"/>
    <mergeCell ref="B31:B37"/>
    <mergeCell ref="C31:C37"/>
    <mergeCell ref="D31:D33"/>
    <mergeCell ref="G31:G32"/>
    <mergeCell ref="A3:A13"/>
    <mergeCell ref="B3:B13"/>
    <mergeCell ref="C3:C13"/>
    <mergeCell ref="D3:D10"/>
    <mergeCell ref="A14:A30"/>
    <mergeCell ref="B14:B30"/>
    <mergeCell ref="C14:C30"/>
    <mergeCell ref="D14:D18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portrait" r:id="rId1"/>
  <headerFooter>
    <oddFooter>第 &amp;P 页，共 &amp;N 页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>
  <dimension ref="A1:XEX39"/>
  <sheetViews>
    <sheetView topLeftCell="A16" workbookViewId="0">
      <selection activeCell="L40" sqref="L40"/>
    </sheetView>
  </sheetViews>
  <sheetFormatPr defaultColWidth="7.875" defaultRowHeight="13.5"/>
  <cols>
    <col min="1" max="1" width="4.375" style="290" customWidth="1"/>
    <col min="2" max="2" width="6.25" style="290" customWidth="1"/>
    <col min="3" max="3" width="5.75" style="290" customWidth="1"/>
    <col min="4" max="4" width="7" style="290" customWidth="1"/>
    <col min="5" max="5" width="14.75" style="290" customWidth="1"/>
    <col min="6" max="6" width="17.75" style="290" customWidth="1"/>
    <col min="7" max="7" width="6.375" style="290" customWidth="1"/>
    <col min="8" max="8" width="7.875" style="318" customWidth="1"/>
    <col min="9" max="9" width="8.875" style="318" customWidth="1"/>
    <col min="10" max="10" width="14.25" style="319" customWidth="1"/>
    <col min="11" max="11" width="11.5" style="290" customWidth="1"/>
    <col min="12" max="12" width="13.625" style="290" customWidth="1"/>
    <col min="13" max="251" width="7.875" style="290"/>
    <col min="252" max="252" width="4.375" style="290" customWidth="1"/>
    <col min="253" max="253" width="6.25" style="290" customWidth="1"/>
    <col min="254" max="254" width="5.75" style="290" customWidth="1"/>
    <col min="255" max="255" width="7" style="290" customWidth="1"/>
    <col min="256" max="256" width="14.75" style="290" customWidth="1"/>
    <col min="257" max="257" width="13.875" style="290" customWidth="1"/>
    <col min="258" max="258" width="5.625" style="290" customWidth="1"/>
    <col min="259" max="259" width="6" style="290" customWidth="1"/>
    <col min="260" max="260" width="7.75" style="290" customWidth="1"/>
    <col min="261" max="261" width="11.875" style="290" customWidth="1"/>
    <col min="262" max="262" width="12.5" style="290" customWidth="1"/>
    <col min="263" max="268" width="7.875" style="290"/>
    <col min="269" max="269" width="11" style="290" customWidth="1"/>
    <col min="270" max="507" width="7.875" style="290"/>
    <col min="508" max="508" width="4.375" style="290" customWidth="1"/>
    <col min="509" max="509" width="6.25" style="290" customWidth="1"/>
    <col min="510" max="510" width="5.75" style="290" customWidth="1"/>
    <col min="511" max="511" width="7" style="290" customWidth="1"/>
    <col min="512" max="512" width="14.75" style="290" customWidth="1"/>
    <col min="513" max="513" width="13.875" style="290" customWidth="1"/>
    <col min="514" max="514" width="5.625" style="290" customWidth="1"/>
    <col min="515" max="515" width="6" style="290" customWidth="1"/>
    <col min="516" max="516" width="7.75" style="290" customWidth="1"/>
    <col min="517" max="517" width="11.875" style="290" customWidth="1"/>
    <col min="518" max="518" width="12.5" style="290" customWidth="1"/>
    <col min="519" max="524" width="7.875" style="290"/>
    <col min="525" max="525" width="11" style="290" customWidth="1"/>
    <col min="526" max="763" width="7.875" style="290"/>
    <col min="764" max="764" width="4.375" style="290" customWidth="1"/>
    <col min="765" max="765" width="6.25" style="290" customWidth="1"/>
    <col min="766" max="766" width="5.75" style="290" customWidth="1"/>
    <col min="767" max="767" width="7" style="290" customWidth="1"/>
    <col min="768" max="768" width="14.75" style="290" customWidth="1"/>
    <col min="769" max="769" width="13.875" style="290" customWidth="1"/>
    <col min="770" max="770" width="5.625" style="290" customWidth="1"/>
    <col min="771" max="771" width="6" style="290" customWidth="1"/>
    <col min="772" max="772" width="7.75" style="290" customWidth="1"/>
    <col min="773" max="773" width="11.875" style="290" customWidth="1"/>
    <col min="774" max="774" width="12.5" style="290" customWidth="1"/>
    <col min="775" max="780" width="7.875" style="290"/>
    <col min="781" max="781" width="11" style="290" customWidth="1"/>
    <col min="782" max="1019" width="7.875" style="290"/>
    <col min="1020" max="1020" width="4.375" style="290" customWidth="1"/>
    <col min="1021" max="1021" width="6.25" style="290" customWidth="1"/>
    <col min="1022" max="1022" width="5.75" style="290" customWidth="1"/>
    <col min="1023" max="1023" width="7" style="290" customWidth="1"/>
    <col min="1024" max="1024" width="14.75" style="290" customWidth="1"/>
    <col min="1025" max="1025" width="13.875" style="290" customWidth="1"/>
    <col min="1026" max="1026" width="5.625" style="290" customWidth="1"/>
    <col min="1027" max="1027" width="6" style="290" customWidth="1"/>
    <col min="1028" max="1028" width="7.75" style="290" customWidth="1"/>
    <col min="1029" max="1029" width="11.875" style="290" customWidth="1"/>
    <col min="1030" max="1030" width="12.5" style="290" customWidth="1"/>
    <col min="1031" max="1036" width="7.875" style="290"/>
    <col min="1037" max="1037" width="11" style="290" customWidth="1"/>
    <col min="1038" max="1275" width="7.875" style="290"/>
    <col min="1276" max="1276" width="4.375" style="290" customWidth="1"/>
    <col min="1277" max="1277" width="6.25" style="290" customWidth="1"/>
    <col min="1278" max="1278" width="5.75" style="290" customWidth="1"/>
    <col min="1279" max="1279" width="7" style="290" customWidth="1"/>
    <col min="1280" max="1280" width="14.75" style="290" customWidth="1"/>
    <col min="1281" max="1281" width="13.875" style="290" customWidth="1"/>
    <col min="1282" max="1282" width="5.625" style="290" customWidth="1"/>
    <col min="1283" max="1283" width="6" style="290" customWidth="1"/>
    <col min="1284" max="1284" width="7.75" style="290" customWidth="1"/>
    <col min="1285" max="1285" width="11.875" style="290" customWidth="1"/>
    <col min="1286" max="1286" width="12.5" style="290" customWidth="1"/>
    <col min="1287" max="1292" width="7.875" style="290"/>
    <col min="1293" max="1293" width="11" style="290" customWidth="1"/>
    <col min="1294" max="1531" width="7.875" style="290"/>
    <col min="1532" max="1532" width="4.375" style="290" customWidth="1"/>
    <col min="1533" max="1533" width="6.25" style="290" customWidth="1"/>
    <col min="1534" max="1534" width="5.75" style="290" customWidth="1"/>
    <col min="1535" max="1535" width="7" style="290" customWidth="1"/>
    <col min="1536" max="1536" width="14.75" style="290" customWidth="1"/>
    <col min="1537" max="1537" width="13.875" style="290" customWidth="1"/>
    <col min="1538" max="1538" width="5.625" style="290" customWidth="1"/>
    <col min="1539" max="1539" width="6" style="290" customWidth="1"/>
    <col min="1540" max="1540" width="7.75" style="290" customWidth="1"/>
    <col min="1541" max="1541" width="11.875" style="290" customWidth="1"/>
    <col min="1542" max="1542" width="12.5" style="290" customWidth="1"/>
    <col min="1543" max="1548" width="7.875" style="290"/>
    <col min="1549" max="1549" width="11" style="290" customWidth="1"/>
    <col min="1550" max="1787" width="7.875" style="290"/>
    <col min="1788" max="1788" width="4.375" style="290" customWidth="1"/>
    <col min="1789" max="1789" width="6.25" style="290" customWidth="1"/>
    <col min="1790" max="1790" width="5.75" style="290" customWidth="1"/>
    <col min="1791" max="1791" width="7" style="290" customWidth="1"/>
    <col min="1792" max="1792" width="14.75" style="290" customWidth="1"/>
    <col min="1793" max="1793" width="13.875" style="290" customWidth="1"/>
    <col min="1794" max="1794" width="5.625" style="290" customWidth="1"/>
    <col min="1795" max="1795" width="6" style="290" customWidth="1"/>
    <col min="1796" max="1796" width="7.75" style="290" customWidth="1"/>
    <col min="1797" max="1797" width="11.875" style="290" customWidth="1"/>
    <col min="1798" max="1798" width="12.5" style="290" customWidth="1"/>
    <col min="1799" max="1804" width="7.875" style="290"/>
    <col min="1805" max="1805" width="11" style="290" customWidth="1"/>
    <col min="1806" max="2043" width="7.875" style="290"/>
    <col min="2044" max="2044" width="4.375" style="290" customWidth="1"/>
    <col min="2045" max="2045" width="6.25" style="290" customWidth="1"/>
    <col min="2046" max="2046" width="5.75" style="290" customWidth="1"/>
    <col min="2047" max="2047" width="7" style="290" customWidth="1"/>
    <col min="2048" max="2048" width="14.75" style="290" customWidth="1"/>
    <col min="2049" max="2049" width="13.875" style="290" customWidth="1"/>
    <col min="2050" max="2050" width="5.625" style="290" customWidth="1"/>
    <col min="2051" max="2051" width="6" style="290" customWidth="1"/>
    <col min="2052" max="2052" width="7.75" style="290" customWidth="1"/>
    <col min="2053" max="2053" width="11.875" style="290" customWidth="1"/>
    <col min="2054" max="2054" width="12.5" style="290" customWidth="1"/>
    <col min="2055" max="2060" width="7.875" style="290"/>
    <col min="2061" max="2061" width="11" style="290" customWidth="1"/>
    <col min="2062" max="2299" width="7.875" style="290"/>
    <col min="2300" max="2300" width="4.375" style="290" customWidth="1"/>
    <col min="2301" max="2301" width="6.25" style="290" customWidth="1"/>
    <col min="2302" max="2302" width="5.75" style="290" customWidth="1"/>
    <col min="2303" max="2303" width="7" style="290" customWidth="1"/>
    <col min="2304" max="2304" width="14.75" style="290" customWidth="1"/>
    <col min="2305" max="2305" width="13.875" style="290" customWidth="1"/>
    <col min="2306" max="2306" width="5.625" style="290" customWidth="1"/>
    <col min="2307" max="2307" width="6" style="290" customWidth="1"/>
    <col min="2308" max="2308" width="7.75" style="290" customWidth="1"/>
    <col min="2309" max="2309" width="11.875" style="290" customWidth="1"/>
    <col min="2310" max="2310" width="12.5" style="290" customWidth="1"/>
    <col min="2311" max="2316" width="7.875" style="290"/>
    <col min="2317" max="2317" width="11" style="290" customWidth="1"/>
    <col min="2318" max="2555" width="7.875" style="290"/>
    <col min="2556" max="2556" width="4.375" style="290" customWidth="1"/>
    <col min="2557" max="2557" width="6.25" style="290" customWidth="1"/>
    <col min="2558" max="2558" width="5.75" style="290" customWidth="1"/>
    <col min="2559" max="2559" width="7" style="290" customWidth="1"/>
    <col min="2560" max="2560" width="14.75" style="290" customWidth="1"/>
    <col min="2561" max="2561" width="13.875" style="290" customWidth="1"/>
    <col min="2562" max="2562" width="5.625" style="290" customWidth="1"/>
    <col min="2563" max="2563" width="6" style="290" customWidth="1"/>
    <col min="2564" max="2564" width="7.75" style="290" customWidth="1"/>
    <col min="2565" max="2565" width="11.875" style="290" customWidth="1"/>
    <col min="2566" max="2566" width="12.5" style="290" customWidth="1"/>
    <col min="2567" max="2572" width="7.875" style="290"/>
    <col min="2573" max="2573" width="11" style="290" customWidth="1"/>
    <col min="2574" max="2811" width="7.875" style="290"/>
    <col min="2812" max="2812" width="4.375" style="290" customWidth="1"/>
    <col min="2813" max="2813" width="6.25" style="290" customWidth="1"/>
    <col min="2814" max="2814" width="5.75" style="290" customWidth="1"/>
    <col min="2815" max="2815" width="7" style="290" customWidth="1"/>
    <col min="2816" max="2816" width="14.75" style="290" customWidth="1"/>
    <col min="2817" max="2817" width="13.875" style="290" customWidth="1"/>
    <col min="2818" max="2818" width="5.625" style="290" customWidth="1"/>
    <col min="2819" max="2819" width="6" style="290" customWidth="1"/>
    <col min="2820" max="2820" width="7.75" style="290" customWidth="1"/>
    <col min="2821" max="2821" width="11.875" style="290" customWidth="1"/>
    <col min="2822" max="2822" width="12.5" style="290" customWidth="1"/>
    <col min="2823" max="2828" width="7.875" style="290"/>
    <col min="2829" max="2829" width="11" style="290" customWidth="1"/>
    <col min="2830" max="3067" width="7.875" style="290"/>
    <col min="3068" max="3068" width="4.375" style="290" customWidth="1"/>
    <col min="3069" max="3069" width="6.25" style="290" customWidth="1"/>
    <col min="3070" max="3070" width="5.75" style="290" customWidth="1"/>
    <col min="3071" max="3071" width="7" style="290" customWidth="1"/>
    <col min="3072" max="3072" width="14.75" style="290" customWidth="1"/>
    <col min="3073" max="3073" width="13.875" style="290" customWidth="1"/>
    <col min="3074" max="3074" width="5.625" style="290" customWidth="1"/>
    <col min="3075" max="3075" width="6" style="290" customWidth="1"/>
    <col min="3076" max="3076" width="7.75" style="290" customWidth="1"/>
    <col min="3077" max="3077" width="11.875" style="290" customWidth="1"/>
    <col min="3078" max="3078" width="12.5" style="290" customWidth="1"/>
    <col min="3079" max="3084" width="7.875" style="290"/>
    <col min="3085" max="3085" width="11" style="290" customWidth="1"/>
    <col min="3086" max="3323" width="7.875" style="290"/>
    <col min="3324" max="3324" width="4.375" style="290" customWidth="1"/>
    <col min="3325" max="3325" width="6.25" style="290" customWidth="1"/>
    <col min="3326" max="3326" width="5.75" style="290" customWidth="1"/>
    <col min="3327" max="3327" width="7" style="290" customWidth="1"/>
    <col min="3328" max="3328" width="14.75" style="290" customWidth="1"/>
    <col min="3329" max="3329" width="13.875" style="290" customWidth="1"/>
    <col min="3330" max="3330" width="5.625" style="290" customWidth="1"/>
    <col min="3331" max="3331" width="6" style="290" customWidth="1"/>
    <col min="3332" max="3332" width="7.75" style="290" customWidth="1"/>
    <col min="3333" max="3333" width="11.875" style="290" customWidth="1"/>
    <col min="3334" max="3334" width="12.5" style="290" customWidth="1"/>
    <col min="3335" max="3340" width="7.875" style="290"/>
    <col min="3341" max="3341" width="11" style="290" customWidth="1"/>
    <col min="3342" max="3579" width="7.875" style="290"/>
    <col min="3580" max="3580" width="4.375" style="290" customWidth="1"/>
    <col min="3581" max="3581" width="6.25" style="290" customWidth="1"/>
    <col min="3582" max="3582" width="5.75" style="290" customWidth="1"/>
    <col min="3583" max="3583" width="7" style="290" customWidth="1"/>
    <col min="3584" max="3584" width="14.75" style="290" customWidth="1"/>
    <col min="3585" max="3585" width="13.875" style="290" customWidth="1"/>
    <col min="3586" max="3586" width="5.625" style="290" customWidth="1"/>
    <col min="3587" max="3587" width="6" style="290" customWidth="1"/>
    <col min="3588" max="3588" width="7.75" style="290" customWidth="1"/>
    <col min="3589" max="3589" width="11.875" style="290" customWidth="1"/>
    <col min="3590" max="3590" width="12.5" style="290" customWidth="1"/>
    <col min="3591" max="3596" width="7.875" style="290"/>
    <col min="3597" max="3597" width="11" style="290" customWidth="1"/>
    <col min="3598" max="3835" width="7.875" style="290"/>
    <col min="3836" max="3836" width="4.375" style="290" customWidth="1"/>
    <col min="3837" max="3837" width="6.25" style="290" customWidth="1"/>
    <col min="3838" max="3838" width="5.75" style="290" customWidth="1"/>
    <col min="3839" max="3839" width="7" style="290" customWidth="1"/>
    <col min="3840" max="3840" width="14.75" style="290" customWidth="1"/>
    <col min="3841" max="3841" width="13.875" style="290" customWidth="1"/>
    <col min="3842" max="3842" width="5.625" style="290" customWidth="1"/>
    <col min="3843" max="3843" width="6" style="290" customWidth="1"/>
    <col min="3844" max="3844" width="7.75" style="290" customWidth="1"/>
    <col min="3845" max="3845" width="11.875" style="290" customWidth="1"/>
    <col min="3846" max="3846" width="12.5" style="290" customWidth="1"/>
    <col min="3847" max="3852" width="7.875" style="290"/>
    <col min="3853" max="3853" width="11" style="290" customWidth="1"/>
    <col min="3854" max="4091" width="7.875" style="290"/>
    <col min="4092" max="4092" width="4.375" style="290" customWidth="1"/>
    <col min="4093" max="4093" width="6.25" style="290" customWidth="1"/>
    <col min="4094" max="4094" width="5.75" style="290" customWidth="1"/>
    <col min="4095" max="4095" width="7" style="290" customWidth="1"/>
    <col min="4096" max="4096" width="14.75" style="290" customWidth="1"/>
    <col min="4097" max="4097" width="13.875" style="290" customWidth="1"/>
    <col min="4098" max="4098" width="5.625" style="290" customWidth="1"/>
    <col min="4099" max="4099" width="6" style="290" customWidth="1"/>
    <col min="4100" max="4100" width="7.75" style="290" customWidth="1"/>
    <col min="4101" max="4101" width="11.875" style="290" customWidth="1"/>
    <col min="4102" max="4102" width="12.5" style="290" customWidth="1"/>
    <col min="4103" max="4108" width="7.875" style="290"/>
    <col min="4109" max="4109" width="11" style="290" customWidth="1"/>
    <col min="4110" max="4347" width="7.875" style="290"/>
    <col min="4348" max="4348" width="4.375" style="290" customWidth="1"/>
    <col min="4349" max="4349" width="6.25" style="290" customWidth="1"/>
    <col min="4350" max="4350" width="5.75" style="290" customWidth="1"/>
    <col min="4351" max="4351" width="7" style="290" customWidth="1"/>
    <col min="4352" max="4352" width="14.75" style="290" customWidth="1"/>
    <col min="4353" max="4353" width="13.875" style="290" customWidth="1"/>
    <col min="4354" max="4354" width="5.625" style="290" customWidth="1"/>
    <col min="4355" max="4355" width="6" style="290" customWidth="1"/>
    <col min="4356" max="4356" width="7.75" style="290" customWidth="1"/>
    <col min="4357" max="4357" width="11.875" style="290" customWidth="1"/>
    <col min="4358" max="4358" width="12.5" style="290" customWidth="1"/>
    <col min="4359" max="4364" width="7.875" style="290"/>
    <col min="4365" max="4365" width="11" style="290" customWidth="1"/>
    <col min="4366" max="4603" width="7.875" style="290"/>
    <col min="4604" max="4604" width="4.375" style="290" customWidth="1"/>
    <col min="4605" max="4605" width="6.25" style="290" customWidth="1"/>
    <col min="4606" max="4606" width="5.75" style="290" customWidth="1"/>
    <col min="4607" max="4607" width="7" style="290" customWidth="1"/>
    <col min="4608" max="4608" width="14.75" style="290" customWidth="1"/>
    <col min="4609" max="4609" width="13.875" style="290" customWidth="1"/>
    <col min="4610" max="4610" width="5.625" style="290" customWidth="1"/>
    <col min="4611" max="4611" width="6" style="290" customWidth="1"/>
    <col min="4612" max="4612" width="7.75" style="290" customWidth="1"/>
    <col min="4613" max="4613" width="11.875" style="290" customWidth="1"/>
    <col min="4614" max="4614" width="12.5" style="290" customWidth="1"/>
    <col min="4615" max="4620" width="7.875" style="290"/>
    <col min="4621" max="4621" width="11" style="290" customWidth="1"/>
    <col min="4622" max="4859" width="7.875" style="290"/>
    <col min="4860" max="4860" width="4.375" style="290" customWidth="1"/>
    <col min="4861" max="4861" width="6.25" style="290" customWidth="1"/>
    <col min="4862" max="4862" width="5.75" style="290" customWidth="1"/>
    <col min="4863" max="4863" width="7" style="290" customWidth="1"/>
    <col min="4864" max="4864" width="14.75" style="290" customWidth="1"/>
    <col min="4865" max="4865" width="13.875" style="290" customWidth="1"/>
    <col min="4866" max="4866" width="5.625" style="290" customWidth="1"/>
    <col min="4867" max="4867" width="6" style="290" customWidth="1"/>
    <col min="4868" max="4868" width="7.75" style="290" customWidth="1"/>
    <col min="4869" max="4869" width="11.875" style="290" customWidth="1"/>
    <col min="4870" max="4870" width="12.5" style="290" customWidth="1"/>
    <col min="4871" max="4876" width="7.875" style="290"/>
    <col min="4877" max="4877" width="11" style="290" customWidth="1"/>
    <col min="4878" max="5115" width="7.875" style="290"/>
    <col min="5116" max="5116" width="4.375" style="290" customWidth="1"/>
    <col min="5117" max="5117" width="6.25" style="290" customWidth="1"/>
    <col min="5118" max="5118" width="5.75" style="290" customWidth="1"/>
    <col min="5119" max="5119" width="7" style="290" customWidth="1"/>
    <col min="5120" max="5120" width="14.75" style="290" customWidth="1"/>
    <col min="5121" max="5121" width="13.875" style="290" customWidth="1"/>
    <col min="5122" max="5122" width="5.625" style="290" customWidth="1"/>
    <col min="5123" max="5123" width="6" style="290" customWidth="1"/>
    <col min="5124" max="5124" width="7.75" style="290" customWidth="1"/>
    <col min="5125" max="5125" width="11.875" style="290" customWidth="1"/>
    <col min="5126" max="5126" width="12.5" style="290" customWidth="1"/>
    <col min="5127" max="5132" width="7.875" style="290"/>
    <col min="5133" max="5133" width="11" style="290" customWidth="1"/>
    <col min="5134" max="5371" width="7.875" style="290"/>
    <col min="5372" max="5372" width="4.375" style="290" customWidth="1"/>
    <col min="5373" max="5373" width="6.25" style="290" customWidth="1"/>
    <col min="5374" max="5374" width="5.75" style="290" customWidth="1"/>
    <col min="5375" max="5375" width="7" style="290" customWidth="1"/>
    <col min="5376" max="5376" width="14.75" style="290" customWidth="1"/>
    <col min="5377" max="5377" width="13.875" style="290" customWidth="1"/>
    <col min="5378" max="5378" width="5.625" style="290" customWidth="1"/>
    <col min="5379" max="5379" width="6" style="290" customWidth="1"/>
    <col min="5380" max="5380" width="7.75" style="290" customWidth="1"/>
    <col min="5381" max="5381" width="11.875" style="290" customWidth="1"/>
    <col min="5382" max="5382" width="12.5" style="290" customWidth="1"/>
    <col min="5383" max="5388" width="7.875" style="290"/>
    <col min="5389" max="5389" width="11" style="290" customWidth="1"/>
    <col min="5390" max="5627" width="7.875" style="290"/>
    <col min="5628" max="5628" width="4.375" style="290" customWidth="1"/>
    <col min="5629" max="5629" width="6.25" style="290" customWidth="1"/>
    <col min="5630" max="5630" width="5.75" style="290" customWidth="1"/>
    <col min="5631" max="5631" width="7" style="290" customWidth="1"/>
    <col min="5632" max="5632" width="14.75" style="290" customWidth="1"/>
    <col min="5633" max="5633" width="13.875" style="290" customWidth="1"/>
    <col min="5634" max="5634" width="5.625" style="290" customWidth="1"/>
    <col min="5635" max="5635" width="6" style="290" customWidth="1"/>
    <col min="5636" max="5636" width="7.75" style="290" customWidth="1"/>
    <col min="5637" max="5637" width="11.875" style="290" customWidth="1"/>
    <col min="5638" max="5638" width="12.5" style="290" customWidth="1"/>
    <col min="5639" max="5644" width="7.875" style="290"/>
    <col min="5645" max="5645" width="11" style="290" customWidth="1"/>
    <col min="5646" max="5883" width="7.875" style="290"/>
    <col min="5884" max="5884" width="4.375" style="290" customWidth="1"/>
    <col min="5885" max="5885" width="6.25" style="290" customWidth="1"/>
    <col min="5886" max="5886" width="5.75" style="290" customWidth="1"/>
    <col min="5887" max="5887" width="7" style="290" customWidth="1"/>
    <col min="5888" max="5888" width="14.75" style="290" customWidth="1"/>
    <col min="5889" max="5889" width="13.875" style="290" customWidth="1"/>
    <col min="5890" max="5890" width="5.625" style="290" customWidth="1"/>
    <col min="5891" max="5891" width="6" style="290" customWidth="1"/>
    <col min="5892" max="5892" width="7.75" style="290" customWidth="1"/>
    <col min="5893" max="5893" width="11.875" style="290" customWidth="1"/>
    <col min="5894" max="5894" width="12.5" style="290" customWidth="1"/>
    <col min="5895" max="5900" width="7.875" style="290"/>
    <col min="5901" max="5901" width="11" style="290" customWidth="1"/>
    <col min="5902" max="6139" width="7.875" style="290"/>
    <col min="6140" max="6140" width="4.375" style="290" customWidth="1"/>
    <col min="6141" max="6141" width="6.25" style="290" customWidth="1"/>
    <col min="6142" max="6142" width="5.75" style="290" customWidth="1"/>
    <col min="6143" max="6143" width="7" style="290" customWidth="1"/>
    <col min="6144" max="6144" width="14.75" style="290" customWidth="1"/>
    <col min="6145" max="6145" width="13.875" style="290" customWidth="1"/>
    <col min="6146" max="6146" width="5.625" style="290" customWidth="1"/>
    <col min="6147" max="6147" width="6" style="290" customWidth="1"/>
    <col min="6148" max="6148" width="7.75" style="290" customWidth="1"/>
    <col min="6149" max="6149" width="11.875" style="290" customWidth="1"/>
    <col min="6150" max="6150" width="12.5" style="290" customWidth="1"/>
    <col min="6151" max="6156" width="7.875" style="290"/>
    <col min="6157" max="6157" width="11" style="290" customWidth="1"/>
    <col min="6158" max="6395" width="7.875" style="290"/>
    <col min="6396" max="6396" width="4.375" style="290" customWidth="1"/>
    <col min="6397" max="6397" width="6.25" style="290" customWidth="1"/>
    <col min="6398" max="6398" width="5.75" style="290" customWidth="1"/>
    <col min="6399" max="6399" width="7" style="290" customWidth="1"/>
    <col min="6400" max="6400" width="14.75" style="290" customWidth="1"/>
    <col min="6401" max="6401" width="13.875" style="290" customWidth="1"/>
    <col min="6402" max="6402" width="5.625" style="290" customWidth="1"/>
    <col min="6403" max="6403" width="6" style="290" customWidth="1"/>
    <col min="6404" max="6404" width="7.75" style="290" customWidth="1"/>
    <col min="6405" max="6405" width="11.875" style="290" customWidth="1"/>
    <col min="6406" max="6406" width="12.5" style="290" customWidth="1"/>
    <col min="6407" max="6412" width="7.875" style="290"/>
    <col min="6413" max="6413" width="11" style="290" customWidth="1"/>
    <col min="6414" max="6651" width="7.875" style="290"/>
    <col min="6652" max="6652" width="4.375" style="290" customWidth="1"/>
    <col min="6653" max="6653" width="6.25" style="290" customWidth="1"/>
    <col min="6654" max="6654" width="5.75" style="290" customWidth="1"/>
    <col min="6655" max="6655" width="7" style="290" customWidth="1"/>
    <col min="6656" max="6656" width="14.75" style="290" customWidth="1"/>
    <col min="6657" max="6657" width="13.875" style="290" customWidth="1"/>
    <col min="6658" max="6658" width="5.625" style="290" customWidth="1"/>
    <col min="6659" max="6659" width="6" style="290" customWidth="1"/>
    <col min="6660" max="6660" width="7.75" style="290" customWidth="1"/>
    <col min="6661" max="6661" width="11.875" style="290" customWidth="1"/>
    <col min="6662" max="6662" width="12.5" style="290" customWidth="1"/>
    <col min="6663" max="6668" width="7.875" style="290"/>
    <col min="6669" max="6669" width="11" style="290" customWidth="1"/>
    <col min="6670" max="6907" width="7.875" style="290"/>
    <col min="6908" max="6908" width="4.375" style="290" customWidth="1"/>
    <col min="6909" max="6909" width="6.25" style="290" customWidth="1"/>
    <col min="6910" max="6910" width="5.75" style="290" customWidth="1"/>
    <col min="6911" max="6911" width="7" style="290" customWidth="1"/>
    <col min="6912" max="6912" width="14.75" style="290" customWidth="1"/>
    <col min="6913" max="6913" width="13.875" style="290" customWidth="1"/>
    <col min="6914" max="6914" width="5.625" style="290" customWidth="1"/>
    <col min="6915" max="6915" width="6" style="290" customWidth="1"/>
    <col min="6916" max="6916" width="7.75" style="290" customWidth="1"/>
    <col min="6917" max="6917" width="11.875" style="290" customWidth="1"/>
    <col min="6918" max="6918" width="12.5" style="290" customWidth="1"/>
    <col min="6919" max="6924" width="7.875" style="290"/>
    <col min="6925" max="6925" width="11" style="290" customWidth="1"/>
    <col min="6926" max="7163" width="7.875" style="290"/>
    <col min="7164" max="7164" width="4.375" style="290" customWidth="1"/>
    <col min="7165" max="7165" width="6.25" style="290" customWidth="1"/>
    <col min="7166" max="7166" width="5.75" style="290" customWidth="1"/>
    <col min="7167" max="7167" width="7" style="290" customWidth="1"/>
    <col min="7168" max="7168" width="14.75" style="290" customWidth="1"/>
    <col min="7169" max="7169" width="13.875" style="290" customWidth="1"/>
    <col min="7170" max="7170" width="5.625" style="290" customWidth="1"/>
    <col min="7171" max="7171" width="6" style="290" customWidth="1"/>
    <col min="7172" max="7172" width="7.75" style="290" customWidth="1"/>
    <col min="7173" max="7173" width="11.875" style="290" customWidth="1"/>
    <col min="7174" max="7174" width="12.5" style="290" customWidth="1"/>
    <col min="7175" max="7180" width="7.875" style="290"/>
    <col min="7181" max="7181" width="11" style="290" customWidth="1"/>
    <col min="7182" max="7419" width="7.875" style="290"/>
    <col min="7420" max="7420" width="4.375" style="290" customWidth="1"/>
    <col min="7421" max="7421" width="6.25" style="290" customWidth="1"/>
    <col min="7422" max="7422" width="5.75" style="290" customWidth="1"/>
    <col min="7423" max="7423" width="7" style="290" customWidth="1"/>
    <col min="7424" max="7424" width="14.75" style="290" customWidth="1"/>
    <col min="7425" max="7425" width="13.875" style="290" customWidth="1"/>
    <col min="7426" max="7426" width="5.625" style="290" customWidth="1"/>
    <col min="7427" max="7427" width="6" style="290" customWidth="1"/>
    <col min="7428" max="7428" width="7.75" style="290" customWidth="1"/>
    <col min="7429" max="7429" width="11.875" style="290" customWidth="1"/>
    <col min="7430" max="7430" width="12.5" style="290" customWidth="1"/>
    <col min="7431" max="7436" width="7.875" style="290"/>
    <col min="7437" max="7437" width="11" style="290" customWidth="1"/>
    <col min="7438" max="7675" width="7.875" style="290"/>
    <col min="7676" max="7676" width="4.375" style="290" customWidth="1"/>
    <col min="7677" max="7677" width="6.25" style="290" customWidth="1"/>
    <col min="7678" max="7678" width="5.75" style="290" customWidth="1"/>
    <col min="7679" max="7679" width="7" style="290" customWidth="1"/>
    <col min="7680" max="7680" width="14.75" style="290" customWidth="1"/>
    <col min="7681" max="7681" width="13.875" style="290" customWidth="1"/>
    <col min="7682" max="7682" width="5.625" style="290" customWidth="1"/>
    <col min="7683" max="7683" width="6" style="290" customWidth="1"/>
    <col min="7684" max="7684" width="7.75" style="290" customWidth="1"/>
    <col min="7685" max="7685" width="11.875" style="290" customWidth="1"/>
    <col min="7686" max="7686" width="12.5" style="290" customWidth="1"/>
    <col min="7687" max="7692" width="7.875" style="290"/>
    <col min="7693" max="7693" width="11" style="290" customWidth="1"/>
    <col min="7694" max="7931" width="7.875" style="290"/>
    <col min="7932" max="7932" width="4.375" style="290" customWidth="1"/>
    <col min="7933" max="7933" width="6.25" style="290" customWidth="1"/>
    <col min="7934" max="7934" width="5.75" style="290" customWidth="1"/>
    <col min="7935" max="7935" width="7" style="290" customWidth="1"/>
    <col min="7936" max="7936" width="14.75" style="290" customWidth="1"/>
    <col min="7937" max="7937" width="13.875" style="290" customWidth="1"/>
    <col min="7938" max="7938" width="5.625" style="290" customWidth="1"/>
    <col min="7939" max="7939" width="6" style="290" customWidth="1"/>
    <col min="7940" max="7940" width="7.75" style="290" customWidth="1"/>
    <col min="7941" max="7941" width="11.875" style="290" customWidth="1"/>
    <col min="7942" max="7942" width="12.5" style="290" customWidth="1"/>
    <col min="7943" max="7948" width="7.875" style="290"/>
    <col min="7949" max="7949" width="11" style="290" customWidth="1"/>
    <col min="7950" max="8187" width="7.875" style="290"/>
    <col min="8188" max="8188" width="4.375" style="290" customWidth="1"/>
    <col min="8189" max="8189" width="6.25" style="290" customWidth="1"/>
    <col min="8190" max="8190" width="5.75" style="290" customWidth="1"/>
    <col min="8191" max="8191" width="7" style="290" customWidth="1"/>
    <col min="8192" max="8192" width="14.75" style="290" customWidth="1"/>
    <col min="8193" max="8193" width="13.875" style="290" customWidth="1"/>
    <col min="8194" max="8194" width="5.625" style="290" customWidth="1"/>
    <col min="8195" max="8195" width="6" style="290" customWidth="1"/>
    <col min="8196" max="8196" width="7.75" style="290" customWidth="1"/>
    <col min="8197" max="8197" width="11.875" style="290" customWidth="1"/>
    <col min="8198" max="8198" width="12.5" style="290" customWidth="1"/>
    <col min="8199" max="8204" width="7.875" style="290"/>
    <col min="8205" max="8205" width="11" style="290" customWidth="1"/>
    <col min="8206" max="8443" width="7.875" style="290"/>
    <col min="8444" max="8444" width="4.375" style="290" customWidth="1"/>
    <col min="8445" max="8445" width="6.25" style="290" customWidth="1"/>
    <col min="8446" max="8446" width="5.75" style="290" customWidth="1"/>
    <col min="8447" max="8447" width="7" style="290" customWidth="1"/>
    <col min="8448" max="8448" width="14.75" style="290" customWidth="1"/>
    <col min="8449" max="8449" width="13.875" style="290" customWidth="1"/>
    <col min="8450" max="8450" width="5.625" style="290" customWidth="1"/>
    <col min="8451" max="8451" width="6" style="290" customWidth="1"/>
    <col min="8452" max="8452" width="7.75" style="290" customWidth="1"/>
    <col min="8453" max="8453" width="11.875" style="290" customWidth="1"/>
    <col min="8454" max="8454" width="12.5" style="290" customWidth="1"/>
    <col min="8455" max="8460" width="7.875" style="290"/>
    <col min="8461" max="8461" width="11" style="290" customWidth="1"/>
    <col min="8462" max="8699" width="7.875" style="290"/>
    <col min="8700" max="8700" width="4.375" style="290" customWidth="1"/>
    <col min="8701" max="8701" width="6.25" style="290" customWidth="1"/>
    <col min="8702" max="8702" width="5.75" style="290" customWidth="1"/>
    <col min="8703" max="8703" width="7" style="290" customWidth="1"/>
    <col min="8704" max="8704" width="14.75" style="290" customWidth="1"/>
    <col min="8705" max="8705" width="13.875" style="290" customWidth="1"/>
    <col min="8706" max="8706" width="5.625" style="290" customWidth="1"/>
    <col min="8707" max="8707" width="6" style="290" customWidth="1"/>
    <col min="8708" max="8708" width="7.75" style="290" customWidth="1"/>
    <col min="8709" max="8709" width="11.875" style="290" customWidth="1"/>
    <col min="8710" max="8710" width="12.5" style="290" customWidth="1"/>
    <col min="8711" max="8716" width="7.875" style="290"/>
    <col min="8717" max="8717" width="11" style="290" customWidth="1"/>
    <col min="8718" max="8955" width="7.875" style="290"/>
    <col min="8956" max="8956" width="4.375" style="290" customWidth="1"/>
    <col min="8957" max="8957" width="6.25" style="290" customWidth="1"/>
    <col min="8958" max="8958" width="5.75" style="290" customWidth="1"/>
    <col min="8959" max="8959" width="7" style="290" customWidth="1"/>
    <col min="8960" max="8960" width="14.75" style="290" customWidth="1"/>
    <col min="8961" max="8961" width="13.875" style="290" customWidth="1"/>
    <col min="8962" max="8962" width="5.625" style="290" customWidth="1"/>
    <col min="8963" max="8963" width="6" style="290" customWidth="1"/>
    <col min="8964" max="8964" width="7.75" style="290" customWidth="1"/>
    <col min="8965" max="8965" width="11.875" style="290" customWidth="1"/>
    <col min="8966" max="8966" width="12.5" style="290" customWidth="1"/>
    <col min="8967" max="8972" width="7.875" style="290"/>
    <col min="8973" max="8973" width="11" style="290" customWidth="1"/>
    <col min="8974" max="9211" width="7.875" style="290"/>
    <col min="9212" max="9212" width="4.375" style="290" customWidth="1"/>
    <col min="9213" max="9213" width="6.25" style="290" customWidth="1"/>
    <col min="9214" max="9214" width="5.75" style="290" customWidth="1"/>
    <col min="9215" max="9215" width="7" style="290" customWidth="1"/>
    <col min="9216" max="9216" width="14.75" style="290" customWidth="1"/>
    <col min="9217" max="9217" width="13.875" style="290" customWidth="1"/>
    <col min="9218" max="9218" width="5.625" style="290" customWidth="1"/>
    <col min="9219" max="9219" width="6" style="290" customWidth="1"/>
    <col min="9220" max="9220" width="7.75" style="290" customWidth="1"/>
    <col min="9221" max="9221" width="11.875" style="290" customWidth="1"/>
    <col min="9222" max="9222" width="12.5" style="290" customWidth="1"/>
    <col min="9223" max="9228" width="7.875" style="290"/>
    <col min="9229" max="9229" width="11" style="290" customWidth="1"/>
    <col min="9230" max="9467" width="7.875" style="290"/>
    <col min="9468" max="9468" width="4.375" style="290" customWidth="1"/>
    <col min="9469" max="9469" width="6.25" style="290" customWidth="1"/>
    <col min="9470" max="9470" width="5.75" style="290" customWidth="1"/>
    <col min="9471" max="9471" width="7" style="290" customWidth="1"/>
    <col min="9472" max="9472" width="14.75" style="290" customWidth="1"/>
    <col min="9473" max="9473" width="13.875" style="290" customWidth="1"/>
    <col min="9474" max="9474" width="5.625" style="290" customWidth="1"/>
    <col min="9475" max="9475" width="6" style="290" customWidth="1"/>
    <col min="9476" max="9476" width="7.75" style="290" customWidth="1"/>
    <col min="9477" max="9477" width="11.875" style="290" customWidth="1"/>
    <col min="9478" max="9478" width="12.5" style="290" customWidth="1"/>
    <col min="9479" max="9484" width="7.875" style="290"/>
    <col min="9485" max="9485" width="11" style="290" customWidth="1"/>
    <col min="9486" max="9723" width="7.875" style="290"/>
    <col min="9724" max="9724" width="4.375" style="290" customWidth="1"/>
    <col min="9725" max="9725" width="6.25" style="290" customWidth="1"/>
    <col min="9726" max="9726" width="5.75" style="290" customWidth="1"/>
    <col min="9727" max="9727" width="7" style="290" customWidth="1"/>
    <col min="9728" max="9728" width="14.75" style="290" customWidth="1"/>
    <col min="9729" max="9729" width="13.875" style="290" customWidth="1"/>
    <col min="9730" max="9730" width="5.625" style="290" customWidth="1"/>
    <col min="9731" max="9731" width="6" style="290" customWidth="1"/>
    <col min="9732" max="9732" width="7.75" style="290" customWidth="1"/>
    <col min="9733" max="9733" width="11.875" style="290" customWidth="1"/>
    <col min="9734" max="9734" width="12.5" style="290" customWidth="1"/>
    <col min="9735" max="9740" width="7.875" style="290"/>
    <col min="9741" max="9741" width="11" style="290" customWidth="1"/>
    <col min="9742" max="9979" width="7.875" style="290"/>
    <col min="9980" max="9980" width="4.375" style="290" customWidth="1"/>
    <col min="9981" max="9981" width="6.25" style="290" customWidth="1"/>
    <col min="9982" max="9982" width="5.75" style="290" customWidth="1"/>
    <col min="9983" max="9983" width="7" style="290" customWidth="1"/>
    <col min="9984" max="9984" width="14.75" style="290" customWidth="1"/>
    <col min="9985" max="9985" width="13.875" style="290" customWidth="1"/>
    <col min="9986" max="9986" width="5.625" style="290" customWidth="1"/>
    <col min="9987" max="9987" width="6" style="290" customWidth="1"/>
    <col min="9988" max="9988" width="7.75" style="290" customWidth="1"/>
    <col min="9989" max="9989" width="11.875" style="290" customWidth="1"/>
    <col min="9990" max="9990" width="12.5" style="290" customWidth="1"/>
    <col min="9991" max="9996" width="7.875" style="290"/>
    <col min="9997" max="9997" width="11" style="290" customWidth="1"/>
    <col min="9998" max="10235" width="7.875" style="290"/>
    <col min="10236" max="10236" width="4.375" style="290" customWidth="1"/>
    <col min="10237" max="10237" width="6.25" style="290" customWidth="1"/>
    <col min="10238" max="10238" width="5.75" style="290" customWidth="1"/>
    <col min="10239" max="10239" width="7" style="290" customWidth="1"/>
    <col min="10240" max="10240" width="14.75" style="290" customWidth="1"/>
    <col min="10241" max="10241" width="13.875" style="290" customWidth="1"/>
    <col min="10242" max="10242" width="5.625" style="290" customWidth="1"/>
    <col min="10243" max="10243" width="6" style="290" customWidth="1"/>
    <col min="10244" max="10244" width="7.75" style="290" customWidth="1"/>
    <col min="10245" max="10245" width="11.875" style="290" customWidth="1"/>
    <col min="10246" max="10246" width="12.5" style="290" customWidth="1"/>
    <col min="10247" max="10252" width="7.875" style="290"/>
    <col min="10253" max="10253" width="11" style="290" customWidth="1"/>
    <col min="10254" max="10491" width="7.875" style="290"/>
    <col min="10492" max="10492" width="4.375" style="290" customWidth="1"/>
    <col min="10493" max="10493" width="6.25" style="290" customWidth="1"/>
    <col min="10494" max="10494" width="5.75" style="290" customWidth="1"/>
    <col min="10495" max="10495" width="7" style="290" customWidth="1"/>
    <col min="10496" max="10496" width="14.75" style="290" customWidth="1"/>
    <col min="10497" max="10497" width="13.875" style="290" customWidth="1"/>
    <col min="10498" max="10498" width="5.625" style="290" customWidth="1"/>
    <col min="10499" max="10499" width="6" style="290" customWidth="1"/>
    <col min="10500" max="10500" width="7.75" style="290" customWidth="1"/>
    <col min="10501" max="10501" width="11.875" style="290" customWidth="1"/>
    <col min="10502" max="10502" width="12.5" style="290" customWidth="1"/>
    <col min="10503" max="10508" width="7.875" style="290"/>
    <col min="10509" max="10509" width="11" style="290" customWidth="1"/>
    <col min="10510" max="10747" width="7.875" style="290"/>
    <col min="10748" max="10748" width="4.375" style="290" customWidth="1"/>
    <col min="10749" max="10749" width="6.25" style="290" customWidth="1"/>
    <col min="10750" max="10750" width="5.75" style="290" customWidth="1"/>
    <col min="10751" max="10751" width="7" style="290" customWidth="1"/>
    <col min="10752" max="10752" width="14.75" style="290" customWidth="1"/>
    <col min="10753" max="10753" width="13.875" style="290" customWidth="1"/>
    <col min="10754" max="10754" width="5.625" style="290" customWidth="1"/>
    <col min="10755" max="10755" width="6" style="290" customWidth="1"/>
    <col min="10756" max="10756" width="7.75" style="290" customWidth="1"/>
    <col min="10757" max="10757" width="11.875" style="290" customWidth="1"/>
    <col min="10758" max="10758" width="12.5" style="290" customWidth="1"/>
    <col min="10759" max="10764" width="7.875" style="290"/>
    <col min="10765" max="10765" width="11" style="290" customWidth="1"/>
    <col min="10766" max="11003" width="7.875" style="290"/>
    <col min="11004" max="11004" width="4.375" style="290" customWidth="1"/>
    <col min="11005" max="11005" width="6.25" style="290" customWidth="1"/>
    <col min="11006" max="11006" width="5.75" style="290" customWidth="1"/>
    <col min="11007" max="11007" width="7" style="290" customWidth="1"/>
    <col min="11008" max="11008" width="14.75" style="290" customWidth="1"/>
    <col min="11009" max="11009" width="13.875" style="290" customWidth="1"/>
    <col min="11010" max="11010" width="5.625" style="290" customWidth="1"/>
    <col min="11011" max="11011" width="6" style="290" customWidth="1"/>
    <col min="11012" max="11012" width="7.75" style="290" customWidth="1"/>
    <col min="11013" max="11013" width="11.875" style="290" customWidth="1"/>
    <col min="11014" max="11014" width="12.5" style="290" customWidth="1"/>
    <col min="11015" max="11020" width="7.875" style="290"/>
    <col min="11021" max="11021" width="11" style="290" customWidth="1"/>
    <col min="11022" max="11259" width="7.875" style="290"/>
    <col min="11260" max="11260" width="4.375" style="290" customWidth="1"/>
    <col min="11261" max="11261" width="6.25" style="290" customWidth="1"/>
    <col min="11262" max="11262" width="5.75" style="290" customWidth="1"/>
    <col min="11263" max="11263" width="7" style="290" customWidth="1"/>
    <col min="11264" max="11264" width="14.75" style="290" customWidth="1"/>
    <col min="11265" max="11265" width="13.875" style="290" customWidth="1"/>
    <col min="11266" max="11266" width="5.625" style="290" customWidth="1"/>
    <col min="11267" max="11267" width="6" style="290" customWidth="1"/>
    <col min="11268" max="11268" width="7.75" style="290" customWidth="1"/>
    <col min="11269" max="11269" width="11.875" style="290" customWidth="1"/>
    <col min="11270" max="11270" width="12.5" style="290" customWidth="1"/>
    <col min="11271" max="11276" width="7.875" style="290"/>
    <col min="11277" max="11277" width="11" style="290" customWidth="1"/>
    <col min="11278" max="11515" width="7.875" style="290"/>
    <col min="11516" max="11516" width="4.375" style="290" customWidth="1"/>
    <col min="11517" max="11517" width="6.25" style="290" customWidth="1"/>
    <col min="11518" max="11518" width="5.75" style="290" customWidth="1"/>
    <col min="11519" max="11519" width="7" style="290" customWidth="1"/>
    <col min="11520" max="11520" width="14.75" style="290" customWidth="1"/>
    <col min="11521" max="11521" width="13.875" style="290" customWidth="1"/>
    <col min="11522" max="11522" width="5.625" style="290" customWidth="1"/>
    <col min="11523" max="11523" width="6" style="290" customWidth="1"/>
    <col min="11524" max="11524" width="7.75" style="290" customWidth="1"/>
    <col min="11525" max="11525" width="11.875" style="290" customWidth="1"/>
    <col min="11526" max="11526" width="12.5" style="290" customWidth="1"/>
    <col min="11527" max="11532" width="7.875" style="290"/>
    <col min="11533" max="11533" width="11" style="290" customWidth="1"/>
    <col min="11534" max="11771" width="7.875" style="290"/>
    <col min="11772" max="11772" width="4.375" style="290" customWidth="1"/>
    <col min="11773" max="11773" width="6.25" style="290" customWidth="1"/>
    <col min="11774" max="11774" width="5.75" style="290" customWidth="1"/>
    <col min="11775" max="11775" width="7" style="290" customWidth="1"/>
    <col min="11776" max="11776" width="14.75" style="290" customWidth="1"/>
    <col min="11777" max="11777" width="13.875" style="290" customWidth="1"/>
    <col min="11778" max="11778" width="5.625" style="290" customWidth="1"/>
    <col min="11779" max="11779" width="6" style="290" customWidth="1"/>
    <col min="11780" max="11780" width="7.75" style="290" customWidth="1"/>
    <col min="11781" max="11781" width="11.875" style="290" customWidth="1"/>
    <col min="11782" max="11782" width="12.5" style="290" customWidth="1"/>
    <col min="11783" max="11788" width="7.875" style="290"/>
    <col min="11789" max="11789" width="11" style="290" customWidth="1"/>
    <col min="11790" max="12027" width="7.875" style="290"/>
    <col min="12028" max="12028" width="4.375" style="290" customWidth="1"/>
    <col min="12029" max="12029" width="6.25" style="290" customWidth="1"/>
    <col min="12030" max="12030" width="5.75" style="290" customWidth="1"/>
    <col min="12031" max="12031" width="7" style="290" customWidth="1"/>
    <col min="12032" max="12032" width="14.75" style="290" customWidth="1"/>
    <col min="12033" max="12033" width="13.875" style="290" customWidth="1"/>
    <col min="12034" max="12034" width="5.625" style="290" customWidth="1"/>
    <col min="12035" max="12035" width="6" style="290" customWidth="1"/>
    <col min="12036" max="12036" width="7.75" style="290" customWidth="1"/>
    <col min="12037" max="12037" width="11.875" style="290" customWidth="1"/>
    <col min="12038" max="12038" width="12.5" style="290" customWidth="1"/>
    <col min="12039" max="12044" width="7.875" style="290"/>
    <col min="12045" max="12045" width="11" style="290" customWidth="1"/>
    <col min="12046" max="12283" width="7.875" style="290"/>
    <col min="12284" max="12284" width="4.375" style="290" customWidth="1"/>
    <col min="12285" max="12285" width="6.25" style="290" customWidth="1"/>
    <col min="12286" max="12286" width="5.75" style="290" customWidth="1"/>
    <col min="12287" max="12287" width="7" style="290" customWidth="1"/>
    <col min="12288" max="12288" width="14.75" style="290" customWidth="1"/>
    <col min="12289" max="12289" width="13.875" style="290" customWidth="1"/>
    <col min="12290" max="12290" width="5.625" style="290" customWidth="1"/>
    <col min="12291" max="12291" width="6" style="290" customWidth="1"/>
    <col min="12292" max="12292" width="7.75" style="290" customWidth="1"/>
    <col min="12293" max="12293" width="11.875" style="290" customWidth="1"/>
    <col min="12294" max="12294" width="12.5" style="290" customWidth="1"/>
    <col min="12295" max="12300" width="7.875" style="290"/>
    <col min="12301" max="12301" width="11" style="290" customWidth="1"/>
    <col min="12302" max="12539" width="7.875" style="290"/>
    <col min="12540" max="12540" width="4.375" style="290" customWidth="1"/>
    <col min="12541" max="12541" width="6.25" style="290" customWidth="1"/>
    <col min="12542" max="12542" width="5.75" style="290" customWidth="1"/>
    <col min="12543" max="12543" width="7" style="290" customWidth="1"/>
    <col min="12544" max="12544" width="14.75" style="290" customWidth="1"/>
    <col min="12545" max="12545" width="13.875" style="290" customWidth="1"/>
    <col min="12546" max="12546" width="5.625" style="290" customWidth="1"/>
    <col min="12547" max="12547" width="6" style="290" customWidth="1"/>
    <col min="12548" max="12548" width="7.75" style="290" customWidth="1"/>
    <col min="12549" max="12549" width="11.875" style="290" customWidth="1"/>
    <col min="12550" max="12550" width="12.5" style="290" customWidth="1"/>
    <col min="12551" max="12556" width="7.875" style="290"/>
    <col min="12557" max="12557" width="11" style="290" customWidth="1"/>
    <col min="12558" max="12795" width="7.875" style="290"/>
    <col min="12796" max="12796" width="4.375" style="290" customWidth="1"/>
    <col min="12797" max="12797" width="6.25" style="290" customWidth="1"/>
    <col min="12798" max="12798" width="5.75" style="290" customWidth="1"/>
    <col min="12799" max="12799" width="7" style="290" customWidth="1"/>
    <col min="12800" max="12800" width="14.75" style="290" customWidth="1"/>
    <col min="12801" max="12801" width="13.875" style="290" customWidth="1"/>
    <col min="12802" max="12802" width="5.625" style="290" customWidth="1"/>
    <col min="12803" max="12803" width="6" style="290" customWidth="1"/>
    <col min="12804" max="12804" width="7.75" style="290" customWidth="1"/>
    <col min="12805" max="12805" width="11.875" style="290" customWidth="1"/>
    <col min="12806" max="12806" width="12.5" style="290" customWidth="1"/>
    <col min="12807" max="12812" width="7.875" style="290"/>
    <col min="12813" max="12813" width="11" style="290" customWidth="1"/>
    <col min="12814" max="13051" width="7.875" style="290"/>
    <col min="13052" max="13052" width="4.375" style="290" customWidth="1"/>
    <col min="13053" max="13053" width="6.25" style="290" customWidth="1"/>
    <col min="13054" max="13054" width="5.75" style="290" customWidth="1"/>
    <col min="13055" max="13055" width="7" style="290" customWidth="1"/>
    <col min="13056" max="13056" width="14.75" style="290" customWidth="1"/>
    <col min="13057" max="13057" width="13.875" style="290" customWidth="1"/>
    <col min="13058" max="13058" width="5.625" style="290" customWidth="1"/>
    <col min="13059" max="13059" width="6" style="290" customWidth="1"/>
    <col min="13060" max="13060" width="7.75" style="290" customWidth="1"/>
    <col min="13061" max="13061" width="11.875" style="290" customWidth="1"/>
    <col min="13062" max="13062" width="12.5" style="290" customWidth="1"/>
    <col min="13063" max="13068" width="7.875" style="290"/>
    <col min="13069" max="13069" width="11" style="290" customWidth="1"/>
    <col min="13070" max="13307" width="7.875" style="290"/>
    <col min="13308" max="13308" width="4.375" style="290" customWidth="1"/>
    <col min="13309" max="13309" width="6.25" style="290" customWidth="1"/>
    <col min="13310" max="13310" width="5.75" style="290" customWidth="1"/>
    <col min="13311" max="13311" width="7" style="290" customWidth="1"/>
    <col min="13312" max="13312" width="14.75" style="290" customWidth="1"/>
    <col min="13313" max="13313" width="13.875" style="290" customWidth="1"/>
    <col min="13314" max="13314" width="5.625" style="290" customWidth="1"/>
    <col min="13315" max="13315" width="6" style="290" customWidth="1"/>
    <col min="13316" max="13316" width="7.75" style="290" customWidth="1"/>
    <col min="13317" max="13317" width="11.875" style="290" customWidth="1"/>
    <col min="13318" max="13318" width="12.5" style="290" customWidth="1"/>
    <col min="13319" max="13324" width="7.875" style="290"/>
    <col min="13325" max="13325" width="11" style="290" customWidth="1"/>
    <col min="13326" max="13563" width="7.875" style="290"/>
    <col min="13564" max="13564" width="4.375" style="290" customWidth="1"/>
    <col min="13565" max="13565" width="6.25" style="290" customWidth="1"/>
    <col min="13566" max="13566" width="5.75" style="290" customWidth="1"/>
    <col min="13567" max="13567" width="7" style="290" customWidth="1"/>
    <col min="13568" max="13568" width="14.75" style="290" customWidth="1"/>
    <col min="13569" max="13569" width="13.875" style="290" customWidth="1"/>
    <col min="13570" max="13570" width="5.625" style="290" customWidth="1"/>
    <col min="13571" max="13571" width="6" style="290" customWidth="1"/>
    <col min="13572" max="13572" width="7.75" style="290" customWidth="1"/>
    <col min="13573" max="13573" width="11.875" style="290" customWidth="1"/>
    <col min="13574" max="13574" width="12.5" style="290" customWidth="1"/>
    <col min="13575" max="13580" width="7.875" style="290"/>
    <col min="13581" max="13581" width="11" style="290" customWidth="1"/>
    <col min="13582" max="13819" width="7.875" style="290"/>
    <col min="13820" max="13820" width="4.375" style="290" customWidth="1"/>
    <col min="13821" max="13821" width="6.25" style="290" customWidth="1"/>
    <col min="13822" max="13822" width="5.75" style="290" customWidth="1"/>
    <col min="13823" max="13823" width="7" style="290" customWidth="1"/>
    <col min="13824" max="13824" width="14.75" style="290" customWidth="1"/>
    <col min="13825" max="13825" width="13.875" style="290" customWidth="1"/>
    <col min="13826" max="13826" width="5.625" style="290" customWidth="1"/>
    <col min="13827" max="13827" width="6" style="290" customWidth="1"/>
    <col min="13828" max="13828" width="7.75" style="290" customWidth="1"/>
    <col min="13829" max="13829" width="11.875" style="290" customWidth="1"/>
    <col min="13830" max="13830" width="12.5" style="290" customWidth="1"/>
    <col min="13831" max="13836" width="7.875" style="290"/>
    <col min="13837" max="13837" width="11" style="290" customWidth="1"/>
    <col min="13838" max="14075" width="7.875" style="290"/>
    <col min="14076" max="14076" width="4.375" style="290" customWidth="1"/>
    <col min="14077" max="14077" width="6.25" style="290" customWidth="1"/>
    <col min="14078" max="14078" width="5.75" style="290" customWidth="1"/>
    <col min="14079" max="14079" width="7" style="290" customWidth="1"/>
    <col min="14080" max="14080" width="14.75" style="290" customWidth="1"/>
    <col min="14081" max="14081" width="13.875" style="290" customWidth="1"/>
    <col min="14082" max="14082" width="5.625" style="290" customWidth="1"/>
    <col min="14083" max="14083" width="6" style="290" customWidth="1"/>
    <col min="14084" max="14084" width="7.75" style="290" customWidth="1"/>
    <col min="14085" max="14085" width="11.875" style="290" customWidth="1"/>
    <col min="14086" max="14086" width="12.5" style="290" customWidth="1"/>
    <col min="14087" max="14092" width="7.875" style="290"/>
    <col min="14093" max="14093" width="11" style="290" customWidth="1"/>
    <col min="14094" max="14331" width="7.875" style="290"/>
    <col min="14332" max="14332" width="4.375" style="290" customWidth="1"/>
    <col min="14333" max="14333" width="6.25" style="290" customWidth="1"/>
    <col min="14334" max="14334" width="5.75" style="290" customWidth="1"/>
    <col min="14335" max="14335" width="7" style="290" customWidth="1"/>
    <col min="14336" max="14336" width="14.75" style="290" customWidth="1"/>
    <col min="14337" max="14337" width="13.875" style="290" customWidth="1"/>
    <col min="14338" max="14338" width="5.625" style="290" customWidth="1"/>
    <col min="14339" max="14339" width="6" style="290" customWidth="1"/>
    <col min="14340" max="14340" width="7.75" style="290" customWidth="1"/>
    <col min="14341" max="14341" width="11.875" style="290" customWidth="1"/>
    <col min="14342" max="14342" width="12.5" style="290" customWidth="1"/>
    <col min="14343" max="14348" width="7.875" style="290"/>
    <col min="14349" max="14349" width="11" style="290" customWidth="1"/>
    <col min="14350" max="14587" width="7.875" style="290"/>
    <col min="14588" max="14588" width="4.375" style="290" customWidth="1"/>
    <col min="14589" max="14589" width="6.25" style="290" customWidth="1"/>
    <col min="14590" max="14590" width="5.75" style="290" customWidth="1"/>
    <col min="14591" max="14591" width="7" style="290" customWidth="1"/>
    <col min="14592" max="14592" width="14.75" style="290" customWidth="1"/>
    <col min="14593" max="14593" width="13.875" style="290" customWidth="1"/>
    <col min="14594" max="14594" width="5.625" style="290" customWidth="1"/>
    <col min="14595" max="14595" width="6" style="290" customWidth="1"/>
    <col min="14596" max="14596" width="7.75" style="290" customWidth="1"/>
    <col min="14597" max="14597" width="11.875" style="290" customWidth="1"/>
    <col min="14598" max="14598" width="12.5" style="290" customWidth="1"/>
    <col min="14599" max="14604" width="7.875" style="290"/>
    <col min="14605" max="14605" width="11" style="290" customWidth="1"/>
    <col min="14606" max="14843" width="7.875" style="290"/>
    <col min="14844" max="14844" width="4.375" style="290" customWidth="1"/>
    <col min="14845" max="14845" width="6.25" style="290" customWidth="1"/>
    <col min="14846" max="14846" width="5.75" style="290" customWidth="1"/>
    <col min="14847" max="14847" width="7" style="290" customWidth="1"/>
    <col min="14848" max="14848" width="14.75" style="290" customWidth="1"/>
    <col min="14849" max="14849" width="13.875" style="290" customWidth="1"/>
    <col min="14850" max="14850" width="5.625" style="290" customWidth="1"/>
    <col min="14851" max="14851" width="6" style="290" customWidth="1"/>
    <col min="14852" max="14852" width="7.75" style="290" customWidth="1"/>
    <col min="14853" max="14853" width="11.875" style="290" customWidth="1"/>
    <col min="14854" max="14854" width="12.5" style="290" customWidth="1"/>
    <col min="14855" max="14860" width="7.875" style="290"/>
    <col min="14861" max="14861" width="11" style="290" customWidth="1"/>
    <col min="14862" max="15099" width="7.875" style="290"/>
    <col min="15100" max="15100" width="4.375" style="290" customWidth="1"/>
    <col min="15101" max="15101" width="6.25" style="290" customWidth="1"/>
    <col min="15102" max="15102" width="5.75" style="290" customWidth="1"/>
    <col min="15103" max="15103" width="7" style="290" customWidth="1"/>
    <col min="15104" max="15104" width="14.75" style="290" customWidth="1"/>
    <col min="15105" max="15105" width="13.875" style="290" customWidth="1"/>
    <col min="15106" max="15106" width="5.625" style="290" customWidth="1"/>
    <col min="15107" max="15107" width="6" style="290" customWidth="1"/>
    <col min="15108" max="15108" width="7.75" style="290" customWidth="1"/>
    <col min="15109" max="15109" width="11.875" style="290" customWidth="1"/>
    <col min="15110" max="15110" width="12.5" style="290" customWidth="1"/>
    <col min="15111" max="15116" width="7.875" style="290"/>
    <col min="15117" max="15117" width="11" style="290" customWidth="1"/>
    <col min="15118" max="15355" width="7.875" style="290"/>
    <col min="15356" max="15356" width="4.375" style="290" customWidth="1"/>
    <col min="15357" max="15357" width="6.25" style="290" customWidth="1"/>
    <col min="15358" max="15358" width="5.75" style="290" customWidth="1"/>
    <col min="15359" max="15359" width="7" style="290" customWidth="1"/>
    <col min="15360" max="15360" width="14.75" style="290" customWidth="1"/>
    <col min="15361" max="15361" width="13.875" style="290" customWidth="1"/>
    <col min="15362" max="15362" width="5.625" style="290" customWidth="1"/>
    <col min="15363" max="15363" width="6" style="290" customWidth="1"/>
    <col min="15364" max="15364" width="7.75" style="290" customWidth="1"/>
    <col min="15365" max="15365" width="11.875" style="290" customWidth="1"/>
    <col min="15366" max="15366" width="12.5" style="290" customWidth="1"/>
    <col min="15367" max="15372" width="7.875" style="290"/>
    <col min="15373" max="15373" width="11" style="290" customWidth="1"/>
    <col min="15374" max="15611" width="7.875" style="290"/>
    <col min="15612" max="15612" width="4.375" style="290" customWidth="1"/>
    <col min="15613" max="15613" width="6.25" style="290" customWidth="1"/>
    <col min="15614" max="15614" width="5.75" style="290" customWidth="1"/>
    <col min="15615" max="15615" width="7" style="290" customWidth="1"/>
    <col min="15616" max="15616" width="14.75" style="290" customWidth="1"/>
    <col min="15617" max="15617" width="13.875" style="290" customWidth="1"/>
    <col min="15618" max="15618" width="5.625" style="290" customWidth="1"/>
    <col min="15619" max="15619" width="6" style="290" customWidth="1"/>
    <col min="15620" max="15620" width="7.75" style="290" customWidth="1"/>
    <col min="15621" max="15621" width="11.875" style="290" customWidth="1"/>
    <col min="15622" max="15622" width="12.5" style="290" customWidth="1"/>
    <col min="15623" max="15628" width="7.875" style="290"/>
    <col min="15629" max="15629" width="11" style="290" customWidth="1"/>
    <col min="15630" max="15867" width="7.875" style="290"/>
    <col min="15868" max="15868" width="4.375" style="290" customWidth="1"/>
    <col min="15869" max="15869" width="6.25" style="290" customWidth="1"/>
    <col min="15870" max="15870" width="5.75" style="290" customWidth="1"/>
    <col min="15871" max="15871" width="7" style="290" customWidth="1"/>
    <col min="15872" max="15872" width="14.75" style="290" customWidth="1"/>
    <col min="15873" max="15873" width="13.875" style="290" customWidth="1"/>
    <col min="15874" max="15874" width="5.625" style="290" customWidth="1"/>
    <col min="15875" max="15875" width="6" style="290" customWidth="1"/>
    <col min="15876" max="15876" width="7.75" style="290" customWidth="1"/>
    <col min="15877" max="15877" width="11.875" style="290" customWidth="1"/>
    <col min="15878" max="15878" width="12.5" style="290" customWidth="1"/>
    <col min="15879" max="15884" width="7.875" style="290"/>
    <col min="15885" max="15885" width="11" style="290" customWidth="1"/>
    <col min="15886" max="16123" width="7.875" style="290"/>
    <col min="16124" max="16124" width="4.375" style="290" customWidth="1"/>
    <col min="16125" max="16125" width="6.25" style="290" customWidth="1"/>
    <col min="16126" max="16126" width="5.75" style="290" customWidth="1"/>
    <col min="16127" max="16127" width="7" style="290" customWidth="1"/>
    <col min="16128" max="16128" width="14.75" style="290" customWidth="1"/>
    <col min="16129" max="16129" width="13.875" style="290" customWidth="1"/>
    <col min="16130" max="16130" width="5.625" style="290" customWidth="1"/>
    <col min="16131" max="16131" width="6" style="290" customWidth="1"/>
    <col min="16132" max="16132" width="7.75" style="290" customWidth="1"/>
    <col min="16133" max="16133" width="11.875" style="290" customWidth="1"/>
    <col min="16134" max="16134" width="12.5" style="290" customWidth="1"/>
    <col min="16135" max="16140" width="7.875" style="290"/>
    <col min="16141" max="16141" width="11" style="290" customWidth="1"/>
    <col min="16142" max="16378" width="7.875" style="290"/>
    <col min="16379" max="16384" width="7.875" style="240"/>
  </cols>
  <sheetData>
    <row r="1" spans="1:14" s="337" customFormat="1" ht="30" customHeight="1">
      <c r="A1" s="548" t="s">
        <v>1339</v>
      </c>
      <c r="B1" s="549"/>
      <c r="C1" s="549"/>
      <c r="D1" s="549"/>
      <c r="E1" s="549"/>
      <c r="F1" s="549"/>
      <c r="G1" s="549"/>
      <c r="H1" s="550"/>
      <c r="I1" s="550"/>
      <c r="J1" s="550"/>
      <c r="K1" s="551"/>
    </row>
    <row r="2" spans="1:14" s="295" customFormat="1" ht="21" customHeight="1">
      <c r="A2" s="291" t="s">
        <v>12</v>
      </c>
      <c r="B2" s="291" t="s">
        <v>1040</v>
      </c>
      <c r="C2" s="291" t="s">
        <v>1041</v>
      </c>
      <c r="D2" s="291" t="s">
        <v>1042</v>
      </c>
      <c r="E2" s="291" t="s">
        <v>1043</v>
      </c>
      <c r="F2" s="291" t="s">
        <v>1044</v>
      </c>
      <c r="G2" s="291" t="s">
        <v>1</v>
      </c>
      <c r="H2" s="292" t="s">
        <v>1045</v>
      </c>
      <c r="I2" s="293" t="s">
        <v>1275</v>
      </c>
      <c r="J2" s="294" t="s">
        <v>1276</v>
      </c>
      <c r="K2" s="291" t="s">
        <v>1417</v>
      </c>
    </row>
    <row r="3" spans="1:14" ht="21" customHeight="1">
      <c r="A3" s="529">
        <v>1</v>
      </c>
      <c r="B3" s="529" t="s">
        <v>1340</v>
      </c>
      <c r="C3" s="529" t="s">
        <v>1341</v>
      </c>
      <c r="D3" s="552" t="s">
        <v>1078</v>
      </c>
      <c r="E3" s="296" t="s">
        <v>1342</v>
      </c>
      <c r="F3" s="296" t="s">
        <v>1343</v>
      </c>
      <c r="G3" s="296" t="s">
        <v>1344</v>
      </c>
      <c r="H3" s="301">
        <v>760</v>
      </c>
      <c r="I3" s="301">
        <v>88</v>
      </c>
      <c r="J3" s="298">
        <v>66880</v>
      </c>
      <c r="K3" s="530">
        <f>ROUND(J12*0.8,0)</f>
        <v>112353</v>
      </c>
    </row>
    <row r="4" spans="1:14" ht="21" customHeight="1">
      <c r="A4" s="529"/>
      <c r="B4" s="529"/>
      <c r="C4" s="529"/>
      <c r="D4" s="552"/>
      <c r="E4" s="529" t="s">
        <v>1345</v>
      </c>
      <c r="F4" s="296" t="s">
        <v>1346</v>
      </c>
      <c r="G4" s="296" t="s">
        <v>1344</v>
      </c>
      <c r="H4" s="301">
        <v>70</v>
      </c>
      <c r="I4" s="301">
        <v>250</v>
      </c>
      <c r="J4" s="298">
        <v>17500</v>
      </c>
      <c r="K4" s="530"/>
    </row>
    <row r="5" spans="1:14" ht="21" customHeight="1">
      <c r="A5" s="529"/>
      <c r="B5" s="529"/>
      <c r="C5" s="529"/>
      <c r="D5" s="552"/>
      <c r="E5" s="529"/>
      <c r="F5" s="296" t="s">
        <v>1347</v>
      </c>
      <c r="G5" s="296" t="s">
        <v>1344</v>
      </c>
      <c r="H5" s="301">
        <v>33</v>
      </c>
      <c r="I5" s="301">
        <v>250</v>
      </c>
      <c r="J5" s="298">
        <v>8250</v>
      </c>
      <c r="K5" s="530"/>
    </row>
    <row r="6" spans="1:14" ht="21" customHeight="1">
      <c r="A6" s="529"/>
      <c r="B6" s="529"/>
      <c r="C6" s="529"/>
      <c r="D6" s="552"/>
      <c r="E6" s="529"/>
      <c r="F6" s="296" t="s">
        <v>1348</v>
      </c>
      <c r="G6" s="296" t="s">
        <v>1344</v>
      </c>
      <c r="H6" s="301">
        <v>60</v>
      </c>
      <c r="I6" s="301">
        <v>48</v>
      </c>
      <c r="J6" s="298">
        <v>2880</v>
      </c>
      <c r="K6" s="530"/>
    </row>
    <row r="7" spans="1:14" ht="21" customHeight="1">
      <c r="A7" s="529"/>
      <c r="B7" s="529"/>
      <c r="C7" s="529"/>
      <c r="D7" s="552"/>
      <c r="E7" s="529"/>
      <c r="F7" s="296" t="s">
        <v>1349</v>
      </c>
      <c r="G7" s="296" t="s">
        <v>1344</v>
      </c>
      <c r="H7" s="301">
        <v>70</v>
      </c>
      <c r="I7" s="301">
        <v>181</v>
      </c>
      <c r="J7" s="298">
        <v>12670</v>
      </c>
      <c r="K7" s="530"/>
    </row>
    <row r="8" spans="1:14" ht="21" customHeight="1">
      <c r="A8" s="529"/>
      <c r="B8" s="529"/>
      <c r="C8" s="529"/>
      <c r="D8" s="552"/>
      <c r="E8" s="529"/>
      <c r="F8" s="296" t="s">
        <v>1350</v>
      </c>
      <c r="G8" s="296" t="s">
        <v>1344</v>
      </c>
      <c r="H8" s="301">
        <v>70</v>
      </c>
      <c r="I8" s="297">
        <v>200</v>
      </c>
      <c r="J8" s="298">
        <v>14000</v>
      </c>
      <c r="K8" s="530"/>
    </row>
    <row r="9" spans="1:14" ht="21" customHeight="1">
      <c r="A9" s="529"/>
      <c r="B9" s="529"/>
      <c r="C9" s="529"/>
      <c r="D9" s="552"/>
      <c r="E9" s="305" t="s">
        <v>1060</v>
      </c>
      <c r="F9" s="296"/>
      <c r="G9" s="296"/>
      <c r="H9" s="306"/>
      <c r="I9" s="306"/>
      <c r="J9" s="294">
        <v>122180</v>
      </c>
      <c r="K9" s="530"/>
    </row>
    <row r="10" spans="1:14" ht="21" customHeight="1">
      <c r="A10" s="529"/>
      <c r="B10" s="529"/>
      <c r="C10" s="529"/>
      <c r="D10" s="552"/>
      <c r="E10" s="305" t="s">
        <v>1105</v>
      </c>
      <c r="F10" s="296"/>
      <c r="G10" s="296"/>
      <c r="H10" s="306"/>
      <c r="I10" s="306"/>
      <c r="J10" s="294">
        <v>14661.6</v>
      </c>
      <c r="K10" s="530"/>
    </row>
    <row r="11" spans="1:14" ht="21" customHeight="1">
      <c r="A11" s="529"/>
      <c r="B11" s="529"/>
      <c r="C11" s="529"/>
      <c r="D11" s="552"/>
      <c r="E11" s="307" t="s">
        <v>1081</v>
      </c>
      <c r="F11" s="296"/>
      <c r="G11" s="297" t="s">
        <v>1082</v>
      </c>
      <c r="H11" s="308">
        <v>2</v>
      </c>
      <c r="I11" s="308">
        <v>1800</v>
      </c>
      <c r="J11" s="298">
        <v>3600</v>
      </c>
      <c r="K11" s="530"/>
    </row>
    <row r="12" spans="1:14" ht="21" customHeight="1">
      <c r="A12" s="529"/>
      <c r="B12" s="529"/>
      <c r="C12" s="529"/>
      <c r="D12" s="552"/>
      <c r="E12" s="305" t="s">
        <v>1062</v>
      </c>
      <c r="F12" s="296"/>
      <c r="G12" s="296"/>
      <c r="H12" s="306"/>
      <c r="I12" s="306"/>
      <c r="J12" s="294">
        <v>140441.60000000001</v>
      </c>
      <c r="K12" s="530"/>
      <c r="M12" s="299"/>
      <c r="N12" s="299"/>
    </row>
    <row r="13" spans="1:14" ht="21" customHeight="1">
      <c r="A13" s="529">
        <v>2</v>
      </c>
      <c r="B13" s="529" t="s">
        <v>1351</v>
      </c>
      <c r="C13" s="552" t="s">
        <v>1352</v>
      </c>
      <c r="D13" s="552" t="s">
        <v>1050</v>
      </c>
      <c r="E13" s="529" t="s">
        <v>1306</v>
      </c>
      <c r="F13" s="296" t="s">
        <v>1353</v>
      </c>
      <c r="G13" s="296" t="s">
        <v>1344</v>
      </c>
      <c r="H13" s="301">
        <v>1067.8499999999999</v>
      </c>
      <c r="I13" s="301">
        <v>50</v>
      </c>
      <c r="J13" s="298">
        <v>53392.5</v>
      </c>
      <c r="K13" s="530">
        <f>ROUND(J38*0.8,0)</f>
        <v>2884156</v>
      </c>
      <c r="M13" s="299"/>
      <c r="N13" s="299"/>
    </row>
    <row r="14" spans="1:14" ht="21" customHeight="1">
      <c r="A14" s="529"/>
      <c r="B14" s="529"/>
      <c r="C14" s="552"/>
      <c r="D14" s="552"/>
      <c r="E14" s="529"/>
      <c r="F14" s="296" t="s">
        <v>1354</v>
      </c>
      <c r="G14" s="296" t="s">
        <v>1344</v>
      </c>
      <c r="H14" s="301">
        <v>1067.8499999999999</v>
      </c>
      <c r="I14" s="297">
        <v>255</v>
      </c>
      <c r="J14" s="298">
        <v>272301.75</v>
      </c>
      <c r="K14" s="530"/>
      <c r="M14" s="299"/>
      <c r="N14" s="299"/>
    </row>
    <row r="15" spans="1:14" ht="21" customHeight="1">
      <c r="A15" s="529"/>
      <c r="B15" s="529"/>
      <c r="C15" s="552"/>
      <c r="D15" s="552"/>
      <c r="E15" s="529"/>
      <c r="F15" s="296" t="s">
        <v>1355</v>
      </c>
      <c r="G15" s="296" t="s">
        <v>1344</v>
      </c>
      <c r="H15" s="301">
        <v>138</v>
      </c>
      <c r="I15" s="297">
        <v>50</v>
      </c>
      <c r="J15" s="298">
        <v>6900</v>
      </c>
      <c r="K15" s="530"/>
      <c r="M15" s="299"/>
      <c r="N15" s="299"/>
    </row>
    <row r="16" spans="1:14" ht="21" customHeight="1">
      <c r="A16" s="529"/>
      <c r="B16" s="529"/>
      <c r="C16" s="552"/>
      <c r="D16" s="552"/>
      <c r="E16" s="529"/>
      <c r="F16" s="296" t="s">
        <v>1356</v>
      </c>
      <c r="G16" s="296" t="s">
        <v>1058</v>
      </c>
      <c r="H16" s="301">
        <v>78</v>
      </c>
      <c r="I16" s="297">
        <v>230</v>
      </c>
      <c r="J16" s="298">
        <v>17940</v>
      </c>
      <c r="K16" s="530"/>
      <c r="M16" s="299"/>
      <c r="N16" s="299"/>
    </row>
    <row r="17" spans="1:14" ht="21" customHeight="1">
      <c r="A17" s="529"/>
      <c r="B17" s="529"/>
      <c r="C17" s="552"/>
      <c r="D17" s="552"/>
      <c r="E17" s="529"/>
      <c r="F17" s="296" t="s">
        <v>1357</v>
      </c>
      <c r="G17" s="296" t="s">
        <v>1058</v>
      </c>
      <c r="H17" s="301">
        <v>140</v>
      </c>
      <c r="I17" s="297">
        <v>100</v>
      </c>
      <c r="J17" s="298">
        <v>14000</v>
      </c>
      <c r="K17" s="530"/>
      <c r="M17" s="299"/>
      <c r="N17" s="299"/>
    </row>
    <row r="18" spans="1:14" ht="21" customHeight="1">
      <c r="A18" s="529"/>
      <c r="B18" s="529"/>
      <c r="C18" s="552"/>
      <c r="D18" s="552"/>
      <c r="E18" s="529"/>
      <c r="F18" s="296" t="s">
        <v>1358</v>
      </c>
      <c r="G18" s="296" t="s">
        <v>1344</v>
      </c>
      <c r="H18" s="301">
        <v>1017</v>
      </c>
      <c r="I18" s="297">
        <v>45</v>
      </c>
      <c r="J18" s="298">
        <v>45765</v>
      </c>
      <c r="K18" s="530"/>
      <c r="M18" s="299"/>
      <c r="N18" s="299"/>
    </row>
    <row r="19" spans="1:14" ht="21" customHeight="1">
      <c r="A19" s="529"/>
      <c r="B19" s="529"/>
      <c r="C19" s="552"/>
      <c r="D19" s="552"/>
      <c r="E19" s="529"/>
      <c r="F19" s="296" t="s">
        <v>1359</v>
      </c>
      <c r="G19" s="296" t="s">
        <v>1344</v>
      </c>
      <c r="H19" s="301">
        <v>1017</v>
      </c>
      <c r="I19" s="297">
        <v>55</v>
      </c>
      <c r="J19" s="298">
        <v>55935</v>
      </c>
      <c r="K19" s="530"/>
      <c r="M19" s="299"/>
      <c r="N19" s="299"/>
    </row>
    <row r="20" spans="1:14" ht="21" customHeight="1">
      <c r="A20" s="529"/>
      <c r="B20" s="529"/>
      <c r="C20" s="552"/>
      <c r="D20" s="552"/>
      <c r="E20" s="529"/>
      <c r="F20" s="296" t="s">
        <v>1360</v>
      </c>
      <c r="G20" s="296" t="s">
        <v>1344</v>
      </c>
      <c r="H20" s="301">
        <v>915</v>
      </c>
      <c r="I20" s="301">
        <v>30</v>
      </c>
      <c r="J20" s="298">
        <v>27450</v>
      </c>
      <c r="K20" s="530"/>
      <c r="M20" s="299"/>
      <c r="N20" s="299"/>
    </row>
    <row r="21" spans="1:14" ht="21" customHeight="1">
      <c r="A21" s="529"/>
      <c r="B21" s="529"/>
      <c r="C21" s="552"/>
      <c r="D21" s="552"/>
      <c r="E21" s="529"/>
      <c r="F21" s="296" t="s">
        <v>1361</v>
      </c>
      <c r="G21" s="296" t="s">
        <v>1344</v>
      </c>
      <c r="H21" s="301">
        <v>915</v>
      </c>
      <c r="I21" s="301">
        <v>380</v>
      </c>
      <c r="J21" s="298">
        <v>347700</v>
      </c>
      <c r="K21" s="530"/>
      <c r="M21" s="299"/>
      <c r="N21" s="299"/>
    </row>
    <row r="22" spans="1:14" ht="21" customHeight="1">
      <c r="A22" s="529"/>
      <c r="B22" s="529"/>
      <c r="C22" s="552"/>
      <c r="D22" s="552"/>
      <c r="E22" s="529"/>
      <c r="F22" s="296" t="s">
        <v>1362</v>
      </c>
      <c r="G22" s="296" t="s">
        <v>1344</v>
      </c>
      <c r="H22" s="301">
        <v>1040</v>
      </c>
      <c r="I22" s="301">
        <v>48</v>
      </c>
      <c r="J22" s="298">
        <v>49920</v>
      </c>
      <c r="K22" s="530"/>
      <c r="M22" s="299"/>
      <c r="N22" s="299"/>
    </row>
    <row r="23" spans="1:14" ht="21" customHeight="1">
      <c r="A23" s="529"/>
      <c r="B23" s="529"/>
      <c r="C23" s="552"/>
      <c r="D23" s="552"/>
      <c r="E23" s="529"/>
      <c r="F23" s="296" t="s">
        <v>1363</v>
      </c>
      <c r="G23" s="296" t="s">
        <v>1344</v>
      </c>
      <c r="H23" s="301">
        <v>65</v>
      </c>
      <c r="I23" s="301">
        <v>168</v>
      </c>
      <c r="J23" s="298">
        <v>10920</v>
      </c>
      <c r="K23" s="530"/>
      <c r="M23" s="299"/>
      <c r="N23" s="299"/>
    </row>
    <row r="24" spans="1:14" ht="21" customHeight="1">
      <c r="A24" s="529"/>
      <c r="B24" s="529"/>
      <c r="C24" s="552"/>
      <c r="D24" s="552"/>
      <c r="E24" s="529"/>
      <c r="F24" s="296" t="s">
        <v>1364</v>
      </c>
      <c r="G24" s="296" t="s">
        <v>1365</v>
      </c>
      <c r="H24" s="301">
        <v>42</v>
      </c>
      <c r="I24" s="297">
        <v>320</v>
      </c>
      <c r="J24" s="298">
        <v>13440</v>
      </c>
      <c r="K24" s="530"/>
      <c r="M24" s="299"/>
      <c r="N24" s="299"/>
    </row>
    <row r="25" spans="1:14" ht="21" customHeight="1">
      <c r="A25" s="529"/>
      <c r="B25" s="529"/>
      <c r="C25" s="552"/>
      <c r="D25" s="552"/>
      <c r="E25" s="529"/>
      <c r="F25" s="296" t="s">
        <v>1366</v>
      </c>
      <c r="G25" s="296" t="s">
        <v>1344</v>
      </c>
      <c r="H25" s="301">
        <v>1100</v>
      </c>
      <c r="I25" s="301">
        <v>25</v>
      </c>
      <c r="J25" s="298">
        <v>27500</v>
      </c>
      <c r="K25" s="530"/>
      <c r="M25" s="299"/>
      <c r="N25" s="299"/>
    </row>
    <row r="26" spans="1:14" ht="21" customHeight="1">
      <c r="A26" s="529"/>
      <c r="B26" s="529"/>
      <c r="C26" s="552"/>
      <c r="D26" s="552"/>
      <c r="E26" s="529" t="s">
        <v>1312</v>
      </c>
      <c r="F26" s="296" t="s">
        <v>1367</v>
      </c>
      <c r="G26" s="296" t="s">
        <v>1344</v>
      </c>
      <c r="H26" s="301">
        <v>2566</v>
      </c>
      <c r="I26" s="301">
        <v>20</v>
      </c>
      <c r="J26" s="298">
        <v>51320</v>
      </c>
      <c r="K26" s="530"/>
      <c r="M26" s="299"/>
      <c r="N26" s="299"/>
    </row>
    <row r="27" spans="1:14" ht="21" customHeight="1">
      <c r="A27" s="529"/>
      <c r="B27" s="529"/>
      <c r="C27" s="552"/>
      <c r="D27" s="552"/>
      <c r="E27" s="529"/>
      <c r="F27" s="296" t="s">
        <v>1368</v>
      </c>
      <c r="G27" s="296" t="s">
        <v>1344</v>
      </c>
      <c r="H27" s="301">
        <v>2566</v>
      </c>
      <c r="I27" s="301">
        <v>200</v>
      </c>
      <c r="J27" s="298">
        <v>513200</v>
      </c>
      <c r="K27" s="530"/>
      <c r="M27" s="299"/>
      <c r="N27" s="299"/>
    </row>
    <row r="28" spans="1:14" ht="21" customHeight="1">
      <c r="A28" s="529"/>
      <c r="B28" s="529"/>
      <c r="C28" s="552"/>
      <c r="D28" s="552"/>
      <c r="E28" s="529"/>
      <c r="F28" s="296" t="s">
        <v>1369</v>
      </c>
      <c r="G28" s="296" t="s">
        <v>1058</v>
      </c>
      <c r="H28" s="301">
        <v>20</v>
      </c>
      <c r="I28" s="301">
        <v>200</v>
      </c>
      <c r="J28" s="298">
        <v>4000</v>
      </c>
      <c r="K28" s="530"/>
      <c r="N28" s="299"/>
    </row>
    <row r="29" spans="1:14" ht="21" customHeight="1">
      <c r="A29" s="529"/>
      <c r="B29" s="529"/>
      <c r="C29" s="552"/>
      <c r="D29" s="552"/>
      <c r="E29" s="529" t="s">
        <v>1258</v>
      </c>
      <c r="F29" s="296" t="s">
        <v>1370</v>
      </c>
      <c r="G29" s="296" t="s">
        <v>1344</v>
      </c>
      <c r="H29" s="301">
        <v>1510</v>
      </c>
      <c r="I29" s="301">
        <v>20</v>
      </c>
      <c r="J29" s="298">
        <v>30200</v>
      </c>
      <c r="K29" s="530"/>
      <c r="M29" s="299"/>
      <c r="N29" s="299"/>
    </row>
    <row r="30" spans="1:14" ht="21" customHeight="1">
      <c r="A30" s="529"/>
      <c r="B30" s="529"/>
      <c r="C30" s="552"/>
      <c r="D30" s="552"/>
      <c r="E30" s="529"/>
      <c r="F30" s="296" t="s">
        <v>1371</v>
      </c>
      <c r="G30" s="296" t="s">
        <v>1344</v>
      </c>
      <c r="H30" s="301">
        <v>1510</v>
      </c>
      <c r="I30" s="301">
        <v>210</v>
      </c>
      <c r="J30" s="298">
        <v>317100</v>
      </c>
      <c r="K30" s="530"/>
      <c r="M30" s="299"/>
      <c r="N30" s="299"/>
    </row>
    <row r="31" spans="1:14" ht="21" customHeight="1">
      <c r="A31" s="529"/>
      <c r="B31" s="529"/>
      <c r="C31" s="552"/>
      <c r="D31" s="552"/>
      <c r="E31" s="296" t="s">
        <v>1372</v>
      </c>
      <c r="F31" s="296" t="s">
        <v>1373</v>
      </c>
      <c r="G31" s="296" t="s">
        <v>1344</v>
      </c>
      <c r="H31" s="301">
        <v>527.75</v>
      </c>
      <c r="I31" s="301">
        <v>2500</v>
      </c>
      <c r="J31" s="298">
        <v>1319375</v>
      </c>
      <c r="K31" s="530"/>
      <c r="M31" s="299"/>
      <c r="N31" s="299"/>
    </row>
    <row r="32" spans="1:14" ht="21" customHeight="1">
      <c r="A32" s="529"/>
      <c r="B32" s="529"/>
      <c r="C32" s="552"/>
      <c r="D32" s="552"/>
      <c r="E32" s="305" t="s">
        <v>1060</v>
      </c>
      <c r="F32" s="305"/>
      <c r="G32" s="305"/>
      <c r="H32" s="306"/>
      <c r="I32" s="306"/>
      <c r="J32" s="294">
        <v>3178359.25</v>
      </c>
      <c r="K32" s="530"/>
      <c r="M32" s="299"/>
      <c r="N32" s="299"/>
    </row>
    <row r="33" spans="1:14" ht="21" customHeight="1">
      <c r="A33" s="529"/>
      <c r="B33" s="529"/>
      <c r="C33" s="552"/>
      <c r="D33" s="552"/>
      <c r="E33" s="305" t="s">
        <v>1105</v>
      </c>
      <c r="F33" s="305"/>
      <c r="G33" s="305"/>
      <c r="H33" s="306"/>
      <c r="I33" s="306"/>
      <c r="J33" s="294">
        <v>317835.92499999999</v>
      </c>
      <c r="K33" s="530"/>
      <c r="M33" s="299"/>
      <c r="N33" s="299"/>
    </row>
    <row r="34" spans="1:14" ht="21" customHeight="1">
      <c r="A34" s="529"/>
      <c r="B34" s="529"/>
      <c r="C34" s="552"/>
      <c r="D34" s="552"/>
      <c r="E34" s="307" t="s">
        <v>1374</v>
      </c>
      <c r="F34" s="296"/>
      <c r="G34" s="296" t="s">
        <v>1095</v>
      </c>
      <c r="H34" s="308">
        <v>1</v>
      </c>
      <c r="I34" s="308">
        <v>30000</v>
      </c>
      <c r="J34" s="298">
        <v>30000</v>
      </c>
      <c r="K34" s="530"/>
      <c r="M34" s="299"/>
      <c r="N34" s="299"/>
    </row>
    <row r="35" spans="1:14" ht="21" customHeight="1">
      <c r="A35" s="529"/>
      <c r="B35" s="529"/>
      <c r="C35" s="552"/>
      <c r="D35" s="552"/>
      <c r="E35" s="307" t="s">
        <v>1375</v>
      </c>
      <c r="F35" s="307"/>
      <c r="G35" s="296" t="s">
        <v>1095</v>
      </c>
      <c r="H35" s="308">
        <v>1</v>
      </c>
      <c r="I35" s="308">
        <v>30000</v>
      </c>
      <c r="J35" s="298">
        <v>30000</v>
      </c>
      <c r="K35" s="530"/>
      <c r="M35" s="299"/>
      <c r="N35" s="299"/>
    </row>
    <row r="36" spans="1:14" ht="21" customHeight="1">
      <c r="A36" s="529"/>
      <c r="B36" s="529"/>
      <c r="C36" s="552"/>
      <c r="D36" s="552"/>
      <c r="E36" s="307" t="s">
        <v>1081</v>
      </c>
      <c r="F36" s="307"/>
      <c r="G36" s="296" t="s">
        <v>1082</v>
      </c>
      <c r="H36" s="297">
        <v>5</v>
      </c>
      <c r="I36" s="297">
        <v>1800</v>
      </c>
      <c r="J36" s="298">
        <v>9000</v>
      </c>
      <c r="K36" s="530"/>
      <c r="M36" s="299"/>
      <c r="N36" s="299"/>
    </row>
    <row r="37" spans="1:14" ht="21" customHeight="1">
      <c r="A37" s="529"/>
      <c r="B37" s="529"/>
      <c r="C37" s="552"/>
      <c r="D37" s="552"/>
      <c r="E37" s="307" t="s">
        <v>1376</v>
      </c>
      <c r="F37" s="307"/>
      <c r="G37" s="296" t="s">
        <v>1095</v>
      </c>
      <c r="H37" s="297">
        <v>1</v>
      </c>
      <c r="I37" s="297">
        <v>40000</v>
      </c>
      <c r="J37" s="298">
        <v>40000</v>
      </c>
      <c r="K37" s="530"/>
      <c r="M37" s="299"/>
      <c r="N37" s="299"/>
    </row>
    <row r="38" spans="1:14" ht="21" customHeight="1">
      <c r="A38" s="529"/>
      <c r="B38" s="529"/>
      <c r="C38" s="552"/>
      <c r="D38" s="552"/>
      <c r="E38" s="305" t="s">
        <v>1062</v>
      </c>
      <c r="F38" s="305"/>
      <c r="G38" s="305"/>
      <c r="H38" s="306"/>
      <c r="I38" s="306"/>
      <c r="J38" s="294">
        <v>3605195.1749999998</v>
      </c>
      <c r="K38" s="530"/>
      <c r="M38" s="299"/>
      <c r="N38" s="299"/>
    </row>
    <row r="39" spans="1:14" ht="21" customHeight="1">
      <c r="A39" s="305" t="s">
        <v>1377</v>
      </c>
      <c r="B39" s="305" t="s">
        <v>869</v>
      </c>
      <c r="C39" s="320"/>
      <c r="D39" s="320"/>
      <c r="E39" s="305" t="s">
        <v>21</v>
      </c>
      <c r="F39" s="291"/>
      <c r="G39" s="291"/>
      <c r="H39" s="306"/>
      <c r="I39" s="306"/>
      <c r="J39" s="294">
        <v>3745636.78</v>
      </c>
      <c r="K39" s="323">
        <f>SUM(K3:K38)</f>
        <v>2996509</v>
      </c>
      <c r="L39" s="300">
        <f>J39-K39</f>
        <v>749127.7799999998</v>
      </c>
    </row>
  </sheetData>
  <mergeCells count="15">
    <mergeCell ref="K3:K12"/>
    <mergeCell ref="K13:K38"/>
    <mergeCell ref="A1:K1"/>
    <mergeCell ref="A13:A38"/>
    <mergeCell ref="B13:B38"/>
    <mergeCell ref="C13:C38"/>
    <mergeCell ref="D13:D38"/>
    <mergeCell ref="E13:E25"/>
    <mergeCell ref="E26:E28"/>
    <mergeCell ref="E29:E30"/>
    <mergeCell ref="A3:A12"/>
    <mergeCell ref="B3:B12"/>
    <mergeCell ref="C3:C12"/>
    <mergeCell ref="D3:D12"/>
    <mergeCell ref="E4:E8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portrait" r:id="rId1"/>
  <headerFooter>
    <oddFooter>第 &amp;P 页，共 &amp;N 页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>
  <dimension ref="A1:XEU79"/>
  <sheetViews>
    <sheetView topLeftCell="A55" workbookViewId="0">
      <selection activeCell="L80" sqref="L80"/>
    </sheetView>
  </sheetViews>
  <sheetFormatPr defaultColWidth="7.875" defaultRowHeight="13.5"/>
  <cols>
    <col min="1" max="1" width="4.375" style="239" customWidth="1"/>
    <col min="2" max="2" width="7.875" style="239"/>
    <col min="3" max="3" width="6.5" style="239" customWidth="1"/>
    <col min="4" max="4" width="7.875" style="239"/>
    <col min="5" max="5" width="18.5" style="239" customWidth="1"/>
    <col min="6" max="6" width="20.5" style="239" customWidth="1"/>
    <col min="7" max="7" width="5.25" style="239" customWidth="1"/>
    <col min="8" max="8" width="7.875" style="264" customWidth="1"/>
    <col min="9" max="9" width="8" style="264" customWidth="1"/>
    <col min="10" max="10" width="12.875" style="265" customWidth="1"/>
    <col min="11" max="11" width="11.125" style="332" customWidth="1"/>
    <col min="12" max="12" width="13.25" style="239" customWidth="1"/>
    <col min="13" max="16375" width="7.875" style="239"/>
    <col min="16376" max="16384" width="7.875" style="240"/>
  </cols>
  <sheetData>
    <row r="1" spans="1:11" ht="30" customHeight="1">
      <c r="A1" s="525" t="s">
        <v>1209</v>
      </c>
      <c r="B1" s="525"/>
      <c r="C1" s="525"/>
      <c r="D1" s="525"/>
      <c r="E1" s="525"/>
      <c r="F1" s="525"/>
      <c r="G1" s="525"/>
      <c r="H1" s="526"/>
      <c r="I1" s="526"/>
      <c r="J1" s="526"/>
      <c r="K1" s="502"/>
    </row>
    <row r="2" spans="1:11" ht="21.95" customHeight="1">
      <c r="A2" s="281" t="s">
        <v>12</v>
      </c>
      <c r="B2" s="281" t="s">
        <v>1040</v>
      </c>
      <c r="C2" s="281" t="s">
        <v>1041</v>
      </c>
      <c r="D2" s="281" t="s">
        <v>1042</v>
      </c>
      <c r="E2" s="281" t="s">
        <v>1043</v>
      </c>
      <c r="F2" s="281" t="s">
        <v>1044</v>
      </c>
      <c r="G2" s="281" t="s">
        <v>1</v>
      </c>
      <c r="H2" s="243" t="s">
        <v>1045</v>
      </c>
      <c r="I2" s="244" t="s">
        <v>1046</v>
      </c>
      <c r="J2" s="245" t="s">
        <v>1047</v>
      </c>
      <c r="K2" s="241" t="s">
        <v>1417</v>
      </c>
    </row>
    <row r="3" spans="1:11" ht="21.95" customHeight="1">
      <c r="A3" s="520">
        <v>1</v>
      </c>
      <c r="B3" s="520" t="s">
        <v>1210</v>
      </c>
      <c r="C3" s="520" t="s">
        <v>1211</v>
      </c>
      <c r="D3" s="520" t="s">
        <v>1050</v>
      </c>
      <c r="E3" s="520" t="s">
        <v>1212</v>
      </c>
      <c r="F3" s="282" t="s">
        <v>1213</v>
      </c>
      <c r="G3" s="248" t="s">
        <v>1053</v>
      </c>
      <c r="H3" s="249">
        <v>1810</v>
      </c>
      <c r="I3" s="249">
        <v>50</v>
      </c>
      <c r="J3" s="250">
        <v>90500</v>
      </c>
      <c r="K3" s="524">
        <f>ROUND(J9*0.8,0)</f>
        <v>450944</v>
      </c>
    </row>
    <row r="4" spans="1:11" ht="21.95" customHeight="1">
      <c r="A4" s="520"/>
      <c r="B4" s="520"/>
      <c r="C4" s="520"/>
      <c r="D4" s="520"/>
      <c r="E4" s="521"/>
      <c r="F4" s="247" t="s">
        <v>1214</v>
      </c>
      <c r="G4" s="248" t="s">
        <v>1053</v>
      </c>
      <c r="H4" s="249">
        <v>1810</v>
      </c>
      <c r="I4" s="249">
        <v>200</v>
      </c>
      <c r="J4" s="250">
        <v>362000</v>
      </c>
      <c r="K4" s="524"/>
    </row>
    <row r="5" spans="1:11" ht="21.95" customHeight="1">
      <c r="A5" s="520"/>
      <c r="B5" s="520"/>
      <c r="C5" s="520"/>
      <c r="D5" s="520"/>
      <c r="E5" s="521"/>
      <c r="F5" s="247" t="s">
        <v>1215</v>
      </c>
      <c r="G5" s="248" t="s">
        <v>1058</v>
      </c>
      <c r="H5" s="249">
        <v>120</v>
      </c>
      <c r="I5" s="249">
        <v>200</v>
      </c>
      <c r="J5" s="250">
        <v>24000</v>
      </c>
      <c r="K5" s="524"/>
    </row>
    <row r="6" spans="1:11" ht="21.95" customHeight="1">
      <c r="A6" s="521"/>
      <c r="B6" s="521"/>
      <c r="C6" s="521"/>
      <c r="D6" s="521"/>
      <c r="E6" s="283" t="s">
        <v>1060</v>
      </c>
      <c r="F6" s="284"/>
      <c r="G6" s="281"/>
      <c r="H6" s="285"/>
      <c r="I6" s="285"/>
      <c r="J6" s="286">
        <v>476500</v>
      </c>
      <c r="K6" s="524"/>
    </row>
    <row r="7" spans="1:11" ht="21.95" customHeight="1">
      <c r="A7" s="532"/>
      <c r="B7" s="532"/>
      <c r="C7" s="532"/>
      <c r="D7" s="535"/>
      <c r="E7" s="252" t="s">
        <v>1061</v>
      </c>
      <c r="F7" s="252"/>
      <c r="G7" s="252"/>
      <c r="H7" s="267"/>
      <c r="I7" s="267"/>
      <c r="J7" s="287">
        <v>57180</v>
      </c>
      <c r="K7" s="524"/>
    </row>
    <row r="8" spans="1:11" ht="21.95" customHeight="1">
      <c r="A8" s="532"/>
      <c r="B8" s="532"/>
      <c r="C8" s="532"/>
      <c r="D8" s="535"/>
      <c r="E8" s="256" t="s">
        <v>1115</v>
      </c>
      <c r="F8" s="247"/>
      <c r="G8" s="247" t="s">
        <v>1095</v>
      </c>
      <c r="H8" s="253">
        <v>1</v>
      </c>
      <c r="I8" s="249">
        <v>30000</v>
      </c>
      <c r="J8" s="250">
        <v>30000</v>
      </c>
      <c r="K8" s="524"/>
    </row>
    <row r="9" spans="1:11" ht="21.95" customHeight="1">
      <c r="A9" s="533"/>
      <c r="B9" s="533"/>
      <c r="C9" s="533"/>
      <c r="D9" s="536"/>
      <c r="E9" s="252" t="s">
        <v>1062</v>
      </c>
      <c r="F9" s="252"/>
      <c r="G9" s="252"/>
      <c r="H9" s="267"/>
      <c r="I9" s="267"/>
      <c r="J9" s="287">
        <v>563680</v>
      </c>
      <c r="K9" s="524"/>
    </row>
    <row r="10" spans="1:11" ht="21.95" customHeight="1">
      <c r="A10" s="520">
        <v>2</v>
      </c>
      <c r="B10" s="521" t="s">
        <v>1216</v>
      </c>
      <c r="C10" s="521" t="s">
        <v>1217</v>
      </c>
      <c r="D10" s="521" t="s">
        <v>1050</v>
      </c>
      <c r="E10" s="520" t="s">
        <v>1218</v>
      </c>
      <c r="F10" s="247" t="s">
        <v>1219</v>
      </c>
      <c r="G10" s="248" t="s">
        <v>1053</v>
      </c>
      <c r="H10" s="249">
        <v>1450</v>
      </c>
      <c r="I10" s="249">
        <v>15</v>
      </c>
      <c r="J10" s="250">
        <v>21750</v>
      </c>
      <c r="K10" s="524">
        <f>ROUND(J18*0.8,0)</f>
        <v>362880</v>
      </c>
    </row>
    <row r="11" spans="1:11" ht="21.95" customHeight="1">
      <c r="A11" s="521"/>
      <c r="B11" s="521"/>
      <c r="C11" s="521"/>
      <c r="D11" s="521"/>
      <c r="E11" s="521"/>
      <c r="F11" s="247" t="s">
        <v>1220</v>
      </c>
      <c r="G11" s="248" t="s">
        <v>1053</v>
      </c>
      <c r="H11" s="249">
        <v>1450</v>
      </c>
      <c r="I11" s="249">
        <v>180</v>
      </c>
      <c r="J11" s="250">
        <v>261000</v>
      </c>
      <c r="K11" s="524"/>
    </row>
    <row r="12" spans="1:11" ht="21.95" customHeight="1">
      <c r="A12" s="521"/>
      <c r="B12" s="521"/>
      <c r="C12" s="521"/>
      <c r="D12" s="521"/>
      <c r="E12" s="521"/>
      <c r="F12" s="247" t="s">
        <v>1221</v>
      </c>
      <c r="G12" s="248" t="s">
        <v>1053</v>
      </c>
      <c r="H12" s="249">
        <v>1450</v>
      </c>
      <c r="I12" s="249">
        <v>60</v>
      </c>
      <c r="J12" s="250">
        <v>87000</v>
      </c>
      <c r="K12" s="524"/>
    </row>
    <row r="13" spans="1:11" ht="21.95" customHeight="1">
      <c r="A13" s="521"/>
      <c r="B13" s="521"/>
      <c r="C13" s="521"/>
      <c r="D13" s="521"/>
      <c r="E13" s="521"/>
      <c r="F13" s="247" t="s">
        <v>1222</v>
      </c>
      <c r="G13" s="248" t="s">
        <v>1058</v>
      </c>
      <c r="H13" s="249">
        <v>36</v>
      </c>
      <c r="I13" s="249">
        <v>350</v>
      </c>
      <c r="J13" s="250">
        <v>12600</v>
      </c>
      <c r="K13" s="524"/>
    </row>
    <row r="14" spans="1:11" ht="21.95" customHeight="1">
      <c r="A14" s="521"/>
      <c r="B14" s="521"/>
      <c r="C14" s="521"/>
      <c r="D14" s="521"/>
      <c r="E14" s="521"/>
      <c r="F14" s="247" t="s">
        <v>1223</v>
      </c>
      <c r="G14" s="248" t="s">
        <v>1058</v>
      </c>
      <c r="H14" s="249">
        <v>55</v>
      </c>
      <c r="I14" s="249">
        <v>150</v>
      </c>
      <c r="J14" s="250">
        <v>8250</v>
      </c>
      <c r="K14" s="524"/>
    </row>
    <row r="15" spans="1:11" ht="21.95" customHeight="1">
      <c r="A15" s="521"/>
      <c r="B15" s="521"/>
      <c r="C15" s="521"/>
      <c r="D15" s="521"/>
      <c r="E15" s="521"/>
      <c r="F15" s="247" t="s">
        <v>1055</v>
      </c>
      <c r="G15" s="248" t="s">
        <v>1053</v>
      </c>
      <c r="H15" s="249">
        <v>300</v>
      </c>
      <c r="I15" s="249">
        <v>48</v>
      </c>
      <c r="J15" s="250">
        <v>14400</v>
      </c>
      <c r="K15" s="524"/>
    </row>
    <row r="16" spans="1:11" ht="21.95" customHeight="1">
      <c r="A16" s="521"/>
      <c r="B16" s="521"/>
      <c r="C16" s="521"/>
      <c r="D16" s="521"/>
      <c r="E16" s="283" t="s">
        <v>1060</v>
      </c>
      <c r="F16" s="284"/>
      <c r="G16" s="281"/>
      <c r="H16" s="285"/>
      <c r="I16" s="285"/>
      <c r="J16" s="286">
        <v>405000</v>
      </c>
      <c r="K16" s="524"/>
    </row>
    <row r="17" spans="1:11" ht="21.95" customHeight="1">
      <c r="A17" s="521"/>
      <c r="B17" s="521"/>
      <c r="C17" s="521"/>
      <c r="D17" s="521"/>
      <c r="E17" s="252" t="s">
        <v>1061</v>
      </c>
      <c r="F17" s="252"/>
      <c r="G17" s="252"/>
      <c r="H17" s="267"/>
      <c r="I17" s="267"/>
      <c r="J17" s="287">
        <v>48600</v>
      </c>
      <c r="K17" s="524"/>
    </row>
    <row r="18" spans="1:11" ht="21.95" customHeight="1">
      <c r="A18" s="522"/>
      <c r="B18" s="522"/>
      <c r="C18" s="522"/>
      <c r="D18" s="522"/>
      <c r="E18" s="252" t="s">
        <v>1062</v>
      </c>
      <c r="F18" s="252"/>
      <c r="G18" s="252"/>
      <c r="H18" s="267"/>
      <c r="I18" s="267"/>
      <c r="J18" s="287">
        <v>453600</v>
      </c>
      <c r="K18" s="524"/>
    </row>
    <row r="19" spans="1:11" ht="21.95" customHeight="1">
      <c r="A19" s="521">
        <v>3</v>
      </c>
      <c r="B19" s="521" t="s">
        <v>1224</v>
      </c>
      <c r="C19" s="521" t="s">
        <v>1225</v>
      </c>
      <c r="D19" s="521" t="s">
        <v>1050</v>
      </c>
      <c r="E19" s="523" t="s">
        <v>1226</v>
      </c>
      <c r="F19" s="247" t="s">
        <v>1227</v>
      </c>
      <c r="G19" s="246" t="s">
        <v>1053</v>
      </c>
      <c r="H19" s="251">
        <v>3377</v>
      </c>
      <c r="I19" s="251">
        <v>48</v>
      </c>
      <c r="J19" s="250">
        <v>162096</v>
      </c>
      <c r="K19" s="524">
        <f>ROUND(J35*0.8,0)</f>
        <v>1079743</v>
      </c>
    </row>
    <row r="20" spans="1:11" ht="21.95" customHeight="1">
      <c r="A20" s="521"/>
      <c r="B20" s="521"/>
      <c r="C20" s="521"/>
      <c r="D20" s="521"/>
      <c r="E20" s="523"/>
      <c r="F20" s="247" t="s">
        <v>1228</v>
      </c>
      <c r="G20" s="246" t="s">
        <v>1053</v>
      </c>
      <c r="H20" s="253">
        <v>2235</v>
      </c>
      <c r="I20" s="253">
        <v>83</v>
      </c>
      <c r="J20" s="250">
        <v>185505</v>
      </c>
      <c r="K20" s="524"/>
    </row>
    <row r="21" spans="1:11" ht="21.95" customHeight="1">
      <c r="A21" s="521"/>
      <c r="B21" s="521"/>
      <c r="C21" s="521"/>
      <c r="D21" s="521"/>
      <c r="E21" s="523"/>
      <c r="F21" s="247" t="s">
        <v>1229</v>
      </c>
      <c r="G21" s="248" t="s">
        <v>1053</v>
      </c>
      <c r="H21" s="253">
        <v>1875</v>
      </c>
      <c r="I21" s="253">
        <v>80</v>
      </c>
      <c r="J21" s="250">
        <v>150000</v>
      </c>
      <c r="K21" s="524"/>
    </row>
    <row r="22" spans="1:11" ht="21.95" customHeight="1">
      <c r="A22" s="521"/>
      <c r="B22" s="521"/>
      <c r="C22" s="521"/>
      <c r="D22" s="521"/>
      <c r="E22" s="523" t="s">
        <v>1230</v>
      </c>
      <c r="F22" s="247" t="s">
        <v>1231</v>
      </c>
      <c r="G22" s="246" t="s">
        <v>1053</v>
      </c>
      <c r="H22" s="251">
        <v>1950</v>
      </c>
      <c r="I22" s="251">
        <v>48</v>
      </c>
      <c r="J22" s="250">
        <v>93600</v>
      </c>
      <c r="K22" s="524"/>
    </row>
    <row r="23" spans="1:11" ht="21.95" customHeight="1">
      <c r="A23" s="521"/>
      <c r="B23" s="521"/>
      <c r="C23" s="521"/>
      <c r="D23" s="521"/>
      <c r="E23" s="523"/>
      <c r="F23" s="247" t="s">
        <v>1228</v>
      </c>
      <c r="G23" s="246" t="s">
        <v>1053</v>
      </c>
      <c r="H23" s="253">
        <v>895</v>
      </c>
      <c r="I23" s="251">
        <v>83</v>
      </c>
      <c r="J23" s="250">
        <v>74285</v>
      </c>
      <c r="K23" s="524"/>
    </row>
    <row r="24" spans="1:11" ht="21.95" customHeight="1">
      <c r="A24" s="521"/>
      <c r="B24" s="521"/>
      <c r="C24" s="521"/>
      <c r="D24" s="521"/>
      <c r="E24" s="523"/>
      <c r="F24" s="247" t="s">
        <v>1229</v>
      </c>
      <c r="G24" s="246" t="s">
        <v>1053</v>
      </c>
      <c r="H24" s="253">
        <v>487</v>
      </c>
      <c r="I24" s="251">
        <v>80</v>
      </c>
      <c r="J24" s="250">
        <v>38960</v>
      </c>
      <c r="K24" s="524"/>
    </row>
    <row r="25" spans="1:11" ht="21.95" customHeight="1">
      <c r="A25" s="521"/>
      <c r="B25" s="521"/>
      <c r="C25" s="521"/>
      <c r="D25" s="521"/>
      <c r="E25" s="523"/>
      <c r="F25" s="247" t="s">
        <v>1232</v>
      </c>
      <c r="G25" s="246" t="s">
        <v>1058</v>
      </c>
      <c r="H25" s="253">
        <v>65</v>
      </c>
      <c r="I25" s="253">
        <v>450</v>
      </c>
      <c r="J25" s="250">
        <v>29250</v>
      </c>
      <c r="K25" s="524"/>
    </row>
    <row r="26" spans="1:11" ht="21.95" customHeight="1">
      <c r="A26" s="521"/>
      <c r="B26" s="521"/>
      <c r="C26" s="521"/>
      <c r="D26" s="521"/>
      <c r="E26" s="521" t="s">
        <v>1233</v>
      </c>
      <c r="F26" s="247" t="s">
        <v>1227</v>
      </c>
      <c r="G26" s="248" t="s">
        <v>1053</v>
      </c>
      <c r="H26" s="249">
        <v>799</v>
      </c>
      <c r="I26" s="249">
        <v>48</v>
      </c>
      <c r="J26" s="250">
        <v>38352</v>
      </c>
      <c r="K26" s="524"/>
    </row>
    <row r="27" spans="1:11" ht="21.95" customHeight="1">
      <c r="A27" s="521"/>
      <c r="B27" s="521"/>
      <c r="C27" s="521"/>
      <c r="D27" s="521"/>
      <c r="E27" s="521"/>
      <c r="F27" s="247" t="s">
        <v>1228</v>
      </c>
      <c r="G27" s="248" t="s">
        <v>1053</v>
      </c>
      <c r="H27" s="253">
        <v>468</v>
      </c>
      <c r="I27" s="249">
        <v>83</v>
      </c>
      <c r="J27" s="250">
        <v>38844</v>
      </c>
      <c r="K27" s="524"/>
    </row>
    <row r="28" spans="1:11" ht="21.95" customHeight="1">
      <c r="A28" s="521"/>
      <c r="B28" s="521"/>
      <c r="C28" s="521"/>
      <c r="D28" s="521"/>
      <c r="E28" s="521"/>
      <c r="F28" s="247" t="s">
        <v>1229</v>
      </c>
      <c r="G28" s="248" t="s">
        <v>1053</v>
      </c>
      <c r="H28" s="253">
        <v>175</v>
      </c>
      <c r="I28" s="249">
        <v>80</v>
      </c>
      <c r="J28" s="250">
        <v>14000</v>
      </c>
      <c r="K28" s="524"/>
    </row>
    <row r="29" spans="1:11" ht="21.95" customHeight="1">
      <c r="A29" s="521"/>
      <c r="B29" s="521"/>
      <c r="C29" s="521"/>
      <c r="D29" s="521"/>
      <c r="E29" s="521"/>
      <c r="F29" s="247" t="s">
        <v>1232</v>
      </c>
      <c r="G29" s="248" t="s">
        <v>1058</v>
      </c>
      <c r="H29" s="253">
        <v>30</v>
      </c>
      <c r="I29" s="253">
        <v>450</v>
      </c>
      <c r="J29" s="250">
        <v>13500</v>
      </c>
      <c r="K29" s="524"/>
    </row>
    <row r="30" spans="1:11" ht="21.95" customHeight="1">
      <c r="A30" s="521"/>
      <c r="B30" s="521"/>
      <c r="C30" s="521"/>
      <c r="D30" s="521"/>
      <c r="E30" s="520" t="s">
        <v>1234</v>
      </c>
      <c r="F30" s="248" t="s">
        <v>1235</v>
      </c>
      <c r="G30" s="248" t="s">
        <v>1053</v>
      </c>
      <c r="H30" s="249">
        <v>1000</v>
      </c>
      <c r="I30" s="249">
        <v>250</v>
      </c>
      <c r="J30" s="250">
        <v>250000</v>
      </c>
      <c r="K30" s="524"/>
    </row>
    <row r="31" spans="1:11" ht="21.95" customHeight="1">
      <c r="A31" s="521"/>
      <c r="B31" s="521"/>
      <c r="C31" s="521"/>
      <c r="D31" s="521"/>
      <c r="E31" s="522"/>
      <c r="F31" s="248" t="s">
        <v>1236</v>
      </c>
      <c r="G31" s="248" t="s">
        <v>1237</v>
      </c>
      <c r="H31" s="249">
        <v>10</v>
      </c>
      <c r="I31" s="249">
        <v>900</v>
      </c>
      <c r="J31" s="250">
        <v>9000</v>
      </c>
      <c r="K31" s="524"/>
    </row>
    <row r="32" spans="1:11" ht="21.95" customHeight="1">
      <c r="A32" s="521"/>
      <c r="B32" s="521"/>
      <c r="C32" s="521"/>
      <c r="D32" s="521"/>
      <c r="E32" s="283" t="s">
        <v>1060</v>
      </c>
      <c r="F32" s="288"/>
      <c r="G32" s="283"/>
      <c r="H32" s="289"/>
      <c r="I32" s="289"/>
      <c r="J32" s="287">
        <v>1097392</v>
      </c>
      <c r="K32" s="524"/>
    </row>
    <row r="33" spans="1:11" ht="21.95" customHeight="1">
      <c r="A33" s="532"/>
      <c r="B33" s="532"/>
      <c r="C33" s="532"/>
      <c r="D33" s="535"/>
      <c r="E33" s="252" t="s">
        <v>1061</v>
      </c>
      <c r="F33" s="252"/>
      <c r="G33" s="252"/>
      <c r="H33" s="267"/>
      <c r="I33" s="267"/>
      <c r="J33" s="287">
        <v>131687.04000000001</v>
      </c>
      <c r="K33" s="524"/>
    </row>
    <row r="34" spans="1:11" ht="21.95" customHeight="1">
      <c r="A34" s="532"/>
      <c r="B34" s="532"/>
      <c r="C34" s="532"/>
      <c r="D34" s="535"/>
      <c r="E34" s="256" t="s">
        <v>1081</v>
      </c>
      <c r="F34" s="247"/>
      <c r="G34" s="247" t="s">
        <v>1082</v>
      </c>
      <c r="H34" s="253">
        <v>67</v>
      </c>
      <c r="I34" s="253">
        <v>1800</v>
      </c>
      <c r="J34" s="250">
        <v>120600</v>
      </c>
      <c r="K34" s="524"/>
    </row>
    <row r="35" spans="1:11" ht="21.95" customHeight="1">
      <c r="A35" s="533"/>
      <c r="B35" s="533"/>
      <c r="C35" s="533"/>
      <c r="D35" s="536"/>
      <c r="E35" s="252" t="s">
        <v>1062</v>
      </c>
      <c r="F35" s="252"/>
      <c r="G35" s="252"/>
      <c r="H35" s="267"/>
      <c r="I35" s="267"/>
      <c r="J35" s="287">
        <v>1349679.04</v>
      </c>
      <c r="K35" s="524"/>
    </row>
    <row r="36" spans="1:11" ht="21.95" customHeight="1">
      <c r="A36" s="531">
        <v>4</v>
      </c>
      <c r="B36" s="531" t="s">
        <v>1238</v>
      </c>
      <c r="C36" s="531" t="s">
        <v>1239</v>
      </c>
      <c r="D36" s="534" t="s">
        <v>1078</v>
      </c>
      <c r="E36" s="531" t="s">
        <v>1234</v>
      </c>
      <c r="F36" s="247" t="s">
        <v>1240</v>
      </c>
      <c r="G36" s="247" t="s">
        <v>1053</v>
      </c>
      <c r="H36" s="253">
        <v>3120</v>
      </c>
      <c r="I36" s="253">
        <v>30</v>
      </c>
      <c r="J36" s="255">
        <v>93600</v>
      </c>
      <c r="K36" s="524">
        <f>ROUND(J43*0.8,0)</f>
        <v>847043</v>
      </c>
    </row>
    <row r="37" spans="1:11" ht="21.95" customHeight="1">
      <c r="A37" s="532"/>
      <c r="B37" s="532"/>
      <c r="C37" s="532"/>
      <c r="D37" s="535"/>
      <c r="E37" s="532"/>
      <c r="F37" s="247" t="s">
        <v>1241</v>
      </c>
      <c r="G37" s="247" t="s">
        <v>1053</v>
      </c>
      <c r="H37" s="253">
        <v>3120</v>
      </c>
      <c r="I37" s="253">
        <v>60</v>
      </c>
      <c r="J37" s="255">
        <v>187200</v>
      </c>
      <c r="K37" s="524"/>
    </row>
    <row r="38" spans="1:11" ht="21.95" customHeight="1">
      <c r="A38" s="532"/>
      <c r="B38" s="532"/>
      <c r="C38" s="532"/>
      <c r="D38" s="535"/>
      <c r="E38" s="532"/>
      <c r="F38" s="247" t="s">
        <v>1242</v>
      </c>
      <c r="G38" s="247" t="s">
        <v>1053</v>
      </c>
      <c r="H38" s="253">
        <v>3120</v>
      </c>
      <c r="I38" s="253">
        <v>100</v>
      </c>
      <c r="J38" s="255">
        <v>312000</v>
      </c>
      <c r="K38" s="524"/>
    </row>
    <row r="39" spans="1:11" ht="21.95" customHeight="1">
      <c r="A39" s="532"/>
      <c r="B39" s="532"/>
      <c r="C39" s="532"/>
      <c r="D39" s="535"/>
      <c r="E39" s="532"/>
      <c r="F39" s="247" t="s">
        <v>1243</v>
      </c>
      <c r="G39" s="247" t="s">
        <v>1053</v>
      </c>
      <c r="H39" s="253">
        <v>3120</v>
      </c>
      <c r="I39" s="253">
        <v>63</v>
      </c>
      <c r="J39" s="255">
        <v>196560</v>
      </c>
      <c r="K39" s="524"/>
    </row>
    <row r="40" spans="1:11" ht="21.95" customHeight="1">
      <c r="A40" s="532"/>
      <c r="B40" s="532"/>
      <c r="C40" s="532"/>
      <c r="D40" s="535"/>
      <c r="E40" s="533"/>
      <c r="F40" s="247" t="s">
        <v>1244</v>
      </c>
      <c r="G40" s="247" t="s">
        <v>1053</v>
      </c>
      <c r="H40" s="253">
        <v>3120</v>
      </c>
      <c r="I40" s="253">
        <v>50</v>
      </c>
      <c r="J40" s="255">
        <v>156000</v>
      </c>
      <c r="K40" s="524"/>
    </row>
    <row r="41" spans="1:11" ht="21.95" customHeight="1">
      <c r="A41" s="532"/>
      <c r="B41" s="532"/>
      <c r="C41" s="532"/>
      <c r="D41" s="535"/>
      <c r="E41" s="252" t="s">
        <v>1060</v>
      </c>
      <c r="F41" s="252"/>
      <c r="G41" s="252"/>
      <c r="H41" s="267"/>
      <c r="I41" s="267"/>
      <c r="J41" s="245">
        <v>945360</v>
      </c>
      <c r="K41" s="524"/>
    </row>
    <row r="42" spans="1:11" ht="21.95" customHeight="1">
      <c r="A42" s="532"/>
      <c r="B42" s="532"/>
      <c r="C42" s="532"/>
      <c r="D42" s="535"/>
      <c r="E42" s="252" t="s">
        <v>1061</v>
      </c>
      <c r="F42" s="252"/>
      <c r="G42" s="252"/>
      <c r="H42" s="267"/>
      <c r="I42" s="267"/>
      <c r="J42" s="245">
        <v>113443.2</v>
      </c>
      <c r="K42" s="524"/>
    </row>
    <row r="43" spans="1:11" ht="21.95" customHeight="1">
      <c r="A43" s="533"/>
      <c r="B43" s="533"/>
      <c r="C43" s="533"/>
      <c r="D43" s="536"/>
      <c r="E43" s="252" t="s">
        <v>1062</v>
      </c>
      <c r="F43" s="252"/>
      <c r="G43" s="252"/>
      <c r="H43" s="267"/>
      <c r="I43" s="267"/>
      <c r="J43" s="245">
        <v>1058803.2</v>
      </c>
      <c r="K43" s="524"/>
    </row>
    <row r="44" spans="1:11" ht="21.95" customHeight="1">
      <c r="A44" s="532">
        <v>5</v>
      </c>
      <c r="B44" s="532" t="s">
        <v>1245</v>
      </c>
      <c r="C44" s="532" t="s">
        <v>1246</v>
      </c>
      <c r="D44" s="535" t="s">
        <v>1050</v>
      </c>
      <c r="E44" s="531" t="s">
        <v>1247</v>
      </c>
      <c r="F44" s="247" t="s">
        <v>1248</v>
      </c>
      <c r="G44" s="247" t="s">
        <v>1053</v>
      </c>
      <c r="H44" s="253">
        <v>1790</v>
      </c>
      <c r="I44" s="253">
        <v>50</v>
      </c>
      <c r="J44" s="255">
        <v>89500</v>
      </c>
      <c r="K44" s="524">
        <f>ROUND(J49*0.8,0)</f>
        <v>534021</v>
      </c>
    </row>
    <row r="45" spans="1:11" ht="21.95" customHeight="1">
      <c r="A45" s="532"/>
      <c r="B45" s="532"/>
      <c r="C45" s="532"/>
      <c r="D45" s="535"/>
      <c r="E45" s="533"/>
      <c r="F45" s="247" t="s">
        <v>1249</v>
      </c>
      <c r="G45" s="247" t="s">
        <v>1053</v>
      </c>
      <c r="H45" s="253">
        <v>1790</v>
      </c>
      <c r="I45" s="253">
        <v>268</v>
      </c>
      <c r="J45" s="255">
        <v>479720</v>
      </c>
      <c r="K45" s="524"/>
    </row>
    <row r="46" spans="1:11" ht="21.95" customHeight="1">
      <c r="A46" s="532"/>
      <c r="B46" s="532"/>
      <c r="C46" s="532"/>
      <c r="D46" s="535"/>
      <c r="E46" s="252" t="s">
        <v>1060</v>
      </c>
      <c r="F46" s="247"/>
      <c r="G46" s="247"/>
      <c r="H46" s="253"/>
      <c r="I46" s="253"/>
      <c r="J46" s="245">
        <v>569220</v>
      </c>
      <c r="K46" s="524"/>
    </row>
    <row r="47" spans="1:11" ht="21.95" customHeight="1">
      <c r="A47" s="532"/>
      <c r="B47" s="532"/>
      <c r="C47" s="532"/>
      <c r="D47" s="535"/>
      <c r="E47" s="252" t="s">
        <v>1061</v>
      </c>
      <c r="F47" s="247"/>
      <c r="G47" s="247"/>
      <c r="H47" s="253"/>
      <c r="I47" s="253"/>
      <c r="J47" s="245">
        <v>68306.399999999994</v>
      </c>
      <c r="K47" s="524"/>
    </row>
    <row r="48" spans="1:11" ht="21.95" customHeight="1">
      <c r="A48" s="532"/>
      <c r="B48" s="532"/>
      <c r="C48" s="532"/>
      <c r="D48" s="535"/>
      <c r="E48" s="256" t="s">
        <v>1115</v>
      </c>
      <c r="F48" s="247"/>
      <c r="G48" s="247" t="s">
        <v>1095</v>
      </c>
      <c r="H48" s="253">
        <v>1</v>
      </c>
      <c r="I48" s="270">
        <v>30000</v>
      </c>
      <c r="J48" s="257">
        <v>30000</v>
      </c>
      <c r="K48" s="524"/>
    </row>
    <row r="49" spans="1:11" ht="21.95" customHeight="1">
      <c r="A49" s="533"/>
      <c r="B49" s="533"/>
      <c r="C49" s="533"/>
      <c r="D49" s="536"/>
      <c r="E49" s="252" t="s">
        <v>1062</v>
      </c>
      <c r="F49" s="247"/>
      <c r="G49" s="247"/>
      <c r="H49" s="253"/>
      <c r="I49" s="253"/>
      <c r="J49" s="245">
        <v>667526.40000000002</v>
      </c>
      <c r="K49" s="524"/>
    </row>
    <row r="50" spans="1:11" ht="21.95" customHeight="1">
      <c r="A50" s="532">
        <v>6</v>
      </c>
      <c r="B50" s="532" t="s">
        <v>1250</v>
      </c>
      <c r="C50" s="532" t="s">
        <v>1251</v>
      </c>
      <c r="D50" s="535" t="s">
        <v>1050</v>
      </c>
      <c r="E50" s="535" t="s">
        <v>1252</v>
      </c>
      <c r="F50" s="247" t="s">
        <v>1253</v>
      </c>
      <c r="G50" s="247" t="s">
        <v>1053</v>
      </c>
      <c r="H50" s="253">
        <v>1470</v>
      </c>
      <c r="I50" s="253">
        <v>210</v>
      </c>
      <c r="J50" s="255">
        <v>308700</v>
      </c>
      <c r="K50" s="524">
        <f>ROUND(J62*0.8,0)</f>
        <v>900625</v>
      </c>
    </row>
    <row r="51" spans="1:11" ht="21.95" customHeight="1">
      <c r="A51" s="532"/>
      <c r="B51" s="532"/>
      <c r="C51" s="532"/>
      <c r="D51" s="535"/>
      <c r="E51" s="535"/>
      <c r="F51" s="247" t="s">
        <v>1254</v>
      </c>
      <c r="G51" s="247" t="s">
        <v>1053</v>
      </c>
      <c r="H51" s="559">
        <v>1470</v>
      </c>
      <c r="I51" s="559">
        <v>221</v>
      </c>
      <c r="J51" s="561">
        <v>324870</v>
      </c>
      <c r="K51" s="524"/>
    </row>
    <row r="52" spans="1:11" ht="21.95" customHeight="1">
      <c r="A52" s="532"/>
      <c r="B52" s="532"/>
      <c r="C52" s="532"/>
      <c r="D52" s="535"/>
      <c r="E52" s="536"/>
      <c r="F52" s="247" t="s">
        <v>1255</v>
      </c>
      <c r="G52" s="247" t="s">
        <v>1053</v>
      </c>
      <c r="H52" s="560"/>
      <c r="I52" s="560"/>
      <c r="J52" s="562"/>
      <c r="K52" s="524"/>
    </row>
    <row r="53" spans="1:11" ht="21.95" customHeight="1">
      <c r="A53" s="532"/>
      <c r="B53" s="532"/>
      <c r="C53" s="532"/>
      <c r="D53" s="535"/>
      <c r="E53" s="535" t="s">
        <v>1107</v>
      </c>
      <c r="F53" s="247" t="s">
        <v>1253</v>
      </c>
      <c r="G53" s="247" t="s">
        <v>1053</v>
      </c>
      <c r="H53" s="253">
        <v>380</v>
      </c>
      <c r="I53" s="253">
        <v>210</v>
      </c>
      <c r="J53" s="255">
        <v>79800</v>
      </c>
      <c r="K53" s="524"/>
    </row>
    <row r="54" spans="1:11" ht="21.95" customHeight="1">
      <c r="A54" s="532"/>
      <c r="B54" s="532"/>
      <c r="C54" s="532"/>
      <c r="D54" s="535"/>
      <c r="E54" s="535"/>
      <c r="F54" s="247" t="s">
        <v>1254</v>
      </c>
      <c r="G54" s="247" t="s">
        <v>1053</v>
      </c>
      <c r="H54" s="559">
        <v>380</v>
      </c>
      <c r="I54" s="559">
        <v>319</v>
      </c>
      <c r="J54" s="561">
        <v>121220</v>
      </c>
      <c r="K54" s="524"/>
    </row>
    <row r="55" spans="1:11" ht="21.95" customHeight="1">
      <c r="A55" s="532"/>
      <c r="B55" s="532"/>
      <c r="C55" s="532"/>
      <c r="D55" s="535"/>
      <c r="E55" s="535"/>
      <c r="F55" s="247" t="s">
        <v>1256</v>
      </c>
      <c r="G55" s="247" t="s">
        <v>1053</v>
      </c>
      <c r="H55" s="563"/>
      <c r="I55" s="563"/>
      <c r="J55" s="564"/>
      <c r="K55" s="524"/>
    </row>
    <row r="56" spans="1:11" ht="21.95" customHeight="1">
      <c r="A56" s="532"/>
      <c r="B56" s="532"/>
      <c r="C56" s="532"/>
      <c r="D56" s="535"/>
      <c r="E56" s="536"/>
      <c r="F56" s="247" t="s">
        <v>1257</v>
      </c>
      <c r="G56" s="247" t="s">
        <v>1053</v>
      </c>
      <c r="H56" s="560"/>
      <c r="I56" s="560"/>
      <c r="J56" s="562"/>
      <c r="K56" s="524"/>
    </row>
    <row r="57" spans="1:11" ht="21.95" customHeight="1">
      <c r="A57" s="532"/>
      <c r="B57" s="532"/>
      <c r="C57" s="532"/>
      <c r="D57" s="535"/>
      <c r="E57" s="531" t="s">
        <v>1258</v>
      </c>
      <c r="F57" s="247" t="s">
        <v>1259</v>
      </c>
      <c r="G57" s="247" t="s">
        <v>1053</v>
      </c>
      <c r="H57" s="253">
        <v>450</v>
      </c>
      <c r="I57" s="253">
        <v>50</v>
      </c>
      <c r="J57" s="255">
        <v>22500</v>
      </c>
      <c r="K57" s="524"/>
    </row>
    <row r="58" spans="1:11" ht="21.95" customHeight="1">
      <c r="A58" s="532"/>
      <c r="B58" s="532"/>
      <c r="C58" s="532"/>
      <c r="D58" s="535"/>
      <c r="E58" s="536"/>
      <c r="F58" s="247" t="s">
        <v>1260</v>
      </c>
      <c r="G58" s="247" t="s">
        <v>1053</v>
      </c>
      <c r="H58" s="253">
        <v>450</v>
      </c>
      <c r="I58" s="253">
        <v>210</v>
      </c>
      <c r="J58" s="255">
        <v>94500</v>
      </c>
      <c r="K58" s="524"/>
    </row>
    <row r="59" spans="1:11" ht="21.95" customHeight="1">
      <c r="A59" s="532"/>
      <c r="B59" s="532"/>
      <c r="C59" s="532"/>
      <c r="D59" s="535"/>
      <c r="E59" s="252" t="s">
        <v>1060</v>
      </c>
      <c r="F59" s="247"/>
      <c r="G59" s="247"/>
      <c r="H59" s="253"/>
      <c r="I59" s="253"/>
      <c r="J59" s="245">
        <v>951590</v>
      </c>
      <c r="K59" s="524"/>
    </row>
    <row r="60" spans="1:11" ht="21.95" customHeight="1">
      <c r="A60" s="532"/>
      <c r="B60" s="532"/>
      <c r="C60" s="532"/>
      <c r="D60" s="535"/>
      <c r="E60" s="252" t="s">
        <v>1061</v>
      </c>
      <c r="F60" s="247"/>
      <c r="G60" s="247"/>
      <c r="H60" s="253"/>
      <c r="I60" s="253"/>
      <c r="J60" s="245">
        <v>114190.8</v>
      </c>
      <c r="K60" s="524"/>
    </row>
    <row r="61" spans="1:11" ht="21.95" customHeight="1">
      <c r="A61" s="532"/>
      <c r="B61" s="532"/>
      <c r="C61" s="532"/>
      <c r="D61" s="535"/>
      <c r="E61" s="256" t="s">
        <v>1115</v>
      </c>
      <c r="F61" s="247"/>
      <c r="G61" s="247" t="s">
        <v>1095</v>
      </c>
      <c r="H61" s="253">
        <v>2</v>
      </c>
      <c r="I61" s="253">
        <v>30000</v>
      </c>
      <c r="J61" s="257">
        <v>60000</v>
      </c>
      <c r="K61" s="524"/>
    </row>
    <row r="62" spans="1:11" ht="21.95" customHeight="1">
      <c r="A62" s="533"/>
      <c r="B62" s="533"/>
      <c r="C62" s="533"/>
      <c r="D62" s="536"/>
      <c r="E62" s="252" t="s">
        <v>1062</v>
      </c>
      <c r="F62" s="247"/>
      <c r="G62" s="247"/>
      <c r="H62" s="253"/>
      <c r="I62" s="253"/>
      <c r="J62" s="245">
        <v>1125780.8</v>
      </c>
      <c r="K62" s="524"/>
    </row>
    <row r="63" spans="1:11" ht="21.95" customHeight="1">
      <c r="A63" s="531">
        <v>7</v>
      </c>
      <c r="B63" s="531" t="s">
        <v>982</v>
      </c>
      <c r="C63" s="531" t="s">
        <v>1261</v>
      </c>
      <c r="D63" s="534" t="s">
        <v>1078</v>
      </c>
      <c r="E63" s="531" t="s">
        <v>1262</v>
      </c>
      <c r="F63" s="247" t="s">
        <v>1263</v>
      </c>
      <c r="G63" s="266" t="s">
        <v>1058</v>
      </c>
      <c r="H63" s="253">
        <v>200</v>
      </c>
      <c r="I63" s="253">
        <v>800</v>
      </c>
      <c r="J63" s="255">
        <v>160000</v>
      </c>
      <c r="K63" s="524">
        <f>ROUND(J70*0.8,0)</f>
        <v>163968</v>
      </c>
    </row>
    <row r="64" spans="1:11" ht="21.95" customHeight="1">
      <c r="A64" s="532"/>
      <c r="B64" s="532"/>
      <c r="C64" s="532"/>
      <c r="D64" s="535"/>
      <c r="E64" s="532"/>
      <c r="F64" s="247" t="s">
        <v>1264</v>
      </c>
      <c r="G64" s="247" t="s">
        <v>1095</v>
      </c>
      <c r="H64" s="253">
        <v>1</v>
      </c>
      <c r="I64" s="253">
        <v>5000</v>
      </c>
      <c r="J64" s="255">
        <v>5000</v>
      </c>
      <c r="K64" s="524"/>
    </row>
    <row r="65" spans="1:12" ht="21.95" customHeight="1">
      <c r="A65" s="532"/>
      <c r="B65" s="532"/>
      <c r="C65" s="532"/>
      <c r="D65" s="535"/>
      <c r="E65" s="532"/>
      <c r="F65" s="247" t="s">
        <v>1265</v>
      </c>
      <c r="G65" s="266" t="s">
        <v>1058</v>
      </c>
      <c r="H65" s="253">
        <v>650</v>
      </c>
      <c r="I65" s="253">
        <v>20</v>
      </c>
      <c r="J65" s="255">
        <v>13000</v>
      </c>
      <c r="K65" s="524"/>
    </row>
    <row r="66" spans="1:12" ht="21.95" customHeight="1">
      <c r="A66" s="532"/>
      <c r="B66" s="532"/>
      <c r="C66" s="532"/>
      <c r="D66" s="535"/>
      <c r="E66" s="532"/>
      <c r="F66" s="247" t="s">
        <v>1266</v>
      </c>
      <c r="G66" s="247" t="s">
        <v>1095</v>
      </c>
      <c r="H66" s="253">
        <v>0</v>
      </c>
      <c r="I66" s="253">
        <v>200000</v>
      </c>
      <c r="J66" s="255">
        <v>0</v>
      </c>
      <c r="K66" s="524"/>
    </row>
    <row r="67" spans="1:12" ht="21.95" customHeight="1">
      <c r="A67" s="532"/>
      <c r="B67" s="532"/>
      <c r="C67" s="532"/>
      <c r="D67" s="535"/>
      <c r="E67" s="533"/>
      <c r="F67" s="247" t="s">
        <v>1267</v>
      </c>
      <c r="G67" s="247" t="s">
        <v>1095</v>
      </c>
      <c r="H67" s="253">
        <v>1</v>
      </c>
      <c r="I67" s="253">
        <v>5000</v>
      </c>
      <c r="J67" s="255">
        <v>5000</v>
      </c>
      <c r="K67" s="524"/>
    </row>
    <row r="68" spans="1:12" ht="21.95" customHeight="1">
      <c r="A68" s="532"/>
      <c r="B68" s="532"/>
      <c r="C68" s="532"/>
      <c r="D68" s="535"/>
      <c r="E68" s="252" t="s">
        <v>1060</v>
      </c>
      <c r="F68" s="247"/>
      <c r="G68" s="247"/>
      <c r="H68" s="253"/>
      <c r="I68" s="253"/>
      <c r="J68" s="245">
        <v>183000</v>
      </c>
      <c r="K68" s="524"/>
    </row>
    <row r="69" spans="1:12" ht="21.95" customHeight="1">
      <c r="A69" s="532"/>
      <c r="B69" s="532"/>
      <c r="C69" s="532"/>
      <c r="D69" s="535"/>
      <c r="E69" s="252" t="s">
        <v>1061</v>
      </c>
      <c r="F69" s="247"/>
      <c r="G69" s="247"/>
      <c r="H69" s="253"/>
      <c r="I69" s="253"/>
      <c r="J69" s="245">
        <v>21960</v>
      </c>
      <c r="K69" s="524"/>
    </row>
    <row r="70" spans="1:12" ht="21.95" customHeight="1">
      <c r="A70" s="533"/>
      <c r="B70" s="533"/>
      <c r="C70" s="533"/>
      <c r="D70" s="536"/>
      <c r="E70" s="252" t="s">
        <v>1062</v>
      </c>
      <c r="F70" s="247"/>
      <c r="G70" s="247"/>
      <c r="H70" s="253"/>
      <c r="I70" s="253"/>
      <c r="J70" s="245">
        <v>204960</v>
      </c>
      <c r="K70" s="524"/>
    </row>
    <row r="71" spans="1:12" ht="21.95" customHeight="1">
      <c r="A71" s="531">
        <v>8</v>
      </c>
      <c r="B71" s="531" t="s">
        <v>985</v>
      </c>
      <c r="C71" s="531" t="s">
        <v>1268</v>
      </c>
      <c r="D71" s="565" t="s">
        <v>1078</v>
      </c>
      <c r="E71" s="531" t="s">
        <v>1269</v>
      </c>
      <c r="F71" s="269" t="s">
        <v>1270</v>
      </c>
      <c r="G71" s="247" t="s">
        <v>1053</v>
      </c>
      <c r="H71" s="251">
        <v>1000</v>
      </c>
      <c r="I71" s="251">
        <v>168</v>
      </c>
      <c r="J71" s="250">
        <v>168000</v>
      </c>
      <c r="K71" s="524">
        <f>ROUND(J78*0.8,0)</f>
        <v>395648</v>
      </c>
    </row>
    <row r="72" spans="1:12" ht="21.95" customHeight="1">
      <c r="A72" s="532"/>
      <c r="B72" s="532"/>
      <c r="C72" s="532"/>
      <c r="D72" s="537"/>
      <c r="E72" s="532"/>
      <c r="F72" s="269" t="s">
        <v>1271</v>
      </c>
      <c r="G72" s="247" t="s">
        <v>1053</v>
      </c>
      <c r="H72" s="251">
        <v>1000</v>
      </c>
      <c r="I72" s="251">
        <v>60</v>
      </c>
      <c r="J72" s="250">
        <v>60000</v>
      </c>
      <c r="K72" s="524"/>
    </row>
    <row r="73" spans="1:12" ht="21.95" customHeight="1">
      <c r="A73" s="532"/>
      <c r="B73" s="532"/>
      <c r="C73" s="532"/>
      <c r="D73" s="535"/>
      <c r="E73" s="532"/>
      <c r="F73" s="247" t="s">
        <v>1272</v>
      </c>
      <c r="G73" s="247" t="s">
        <v>1273</v>
      </c>
      <c r="H73" s="251">
        <v>400</v>
      </c>
      <c r="I73" s="251">
        <v>250</v>
      </c>
      <c r="J73" s="250">
        <v>100000</v>
      </c>
      <c r="K73" s="524"/>
    </row>
    <row r="74" spans="1:12" ht="21.95" customHeight="1">
      <c r="A74" s="532"/>
      <c r="B74" s="532"/>
      <c r="C74" s="532"/>
      <c r="D74" s="535"/>
      <c r="E74" s="533"/>
      <c r="F74" s="269" t="s">
        <v>1274</v>
      </c>
      <c r="G74" s="247" t="s">
        <v>1053</v>
      </c>
      <c r="H74" s="251">
        <v>1500</v>
      </c>
      <c r="I74" s="251">
        <v>50</v>
      </c>
      <c r="J74" s="250">
        <v>75000</v>
      </c>
      <c r="K74" s="524"/>
    </row>
    <row r="75" spans="1:12" ht="21.95" customHeight="1">
      <c r="A75" s="532"/>
      <c r="B75" s="532"/>
      <c r="C75" s="532"/>
      <c r="D75" s="535"/>
      <c r="E75" s="252" t="s">
        <v>1060</v>
      </c>
      <c r="F75" s="252"/>
      <c r="G75" s="252"/>
      <c r="H75" s="267"/>
      <c r="I75" s="267"/>
      <c r="J75" s="245">
        <v>403000</v>
      </c>
      <c r="K75" s="524"/>
    </row>
    <row r="76" spans="1:12" ht="21.95" customHeight="1">
      <c r="A76" s="532"/>
      <c r="B76" s="532"/>
      <c r="C76" s="532"/>
      <c r="D76" s="535"/>
      <c r="E76" s="252" t="s">
        <v>1061</v>
      </c>
      <c r="F76" s="252"/>
      <c r="G76" s="252"/>
      <c r="H76" s="267"/>
      <c r="I76" s="267"/>
      <c r="J76" s="245">
        <v>48360</v>
      </c>
      <c r="K76" s="524"/>
    </row>
    <row r="77" spans="1:12" ht="21.95" customHeight="1">
      <c r="A77" s="532"/>
      <c r="B77" s="532"/>
      <c r="C77" s="532"/>
      <c r="D77" s="535"/>
      <c r="E77" s="256" t="s">
        <v>1081</v>
      </c>
      <c r="F77" s="247"/>
      <c r="G77" s="247" t="s">
        <v>1082</v>
      </c>
      <c r="H77" s="253">
        <v>24</v>
      </c>
      <c r="I77" s="253">
        <v>1800</v>
      </c>
      <c r="J77" s="257">
        <v>43200</v>
      </c>
      <c r="K77" s="524"/>
    </row>
    <row r="78" spans="1:12" ht="21.95" customHeight="1">
      <c r="A78" s="533"/>
      <c r="B78" s="533"/>
      <c r="C78" s="533"/>
      <c r="D78" s="536"/>
      <c r="E78" s="252" t="s">
        <v>1062</v>
      </c>
      <c r="F78" s="247"/>
      <c r="G78" s="247"/>
      <c r="H78" s="253"/>
      <c r="I78" s="253"/>
      <c r="J78" s="245">
        <v>494560</v>
      </c>
      <c r="K78" s="524"/>
    </row>
    <row r="79" spans="1:12" ht="21.95" customHeight="1">
      <c r="A79" s="262"/>
      <c r="B79" s="262"/>
      <c r="C79" s="262"/>
      <c r="D79" s="262"/>
      <c r="E79" s="241" t="s">
        <v>21</v>
      </c>
      <c r="F79" s="241"/>
      <c r="G79" s="243"/>
      <c r="H79" s="243"/>
      <c r="I79" s="243"/>
      <c r="J79" s="263">
        <v>5918589.4400000004</v>
      </c>
      <c r="K79" s="353">
        <f>SUM(K3:K78)</f>
        <v>4734872</v>
      </c>
      <c r="L79" s="265">
        <f>J79-K79</f>
        <v>1183717.4400000004</v>
      </c>
    </row>
  </sheetData>
  <mergeCells count="61">
    <mergeCell ref="K63:K70"/>
    <mergeCell ref="K71:K78"/>
    <mergeCell ref="A1:K1"/>
    <mergeCell ref="K3:K9"/>
    <mergeCell ref="K10:K18"/>
    <mergeCell ref="K19:K35"/>
    <mergeCell ref="K36:K43"/>
    <mergeCell ref="K44:K49"/>
    <mergeCell ref="K50:K62"/>
    <mergeCell ref="A71:A78"/>
    <mergeCell ref="B71:B78"/>
    <mergeCell ref="C71:C78"/>
    <mergeCell ref="D71:D78"/>
    <mergeCell ref="E71:E72"/>
    <mergeCell ref="E73:E74"/>
    <mergeCell ref="E57:E58"/>
    <mergeCell ref="A63:A70"/>
    <mergeCell ref="B63:B70"/>
    <mergeCell ref="C63:C70"/>
    <mergeCell ref="D63:D70"/>
    <mergeCell ref="E63:E67"/>
    <mergeCell ref="H51:H52"/>
    <mergeCell ref="I51:I52"/>
    <mergeCell ref="J51:J52"/>
    <mergeCell ref="E53:E56"/>
    <mergeCell ref="H54:H56"/>
    <mergeCell ref="I54:I56"/>
    <mergeCell ref="J54:J56"/>
    <mergeCell ref="A44:A49"/>
    <mergeCell ref="B44:B49"/>
    <mergeCell ref="C44:C49"/>
    <mergeCell ref="D44:D49"/>
    <mergeCell ref="E44:E45"/>
    <mergeCell ref="A50:A62"/>
    <mergeCell ref="B50:B62"/>
    <mergeCell ref="C50:C62"/>
    <mergeCell ref="D50:D62"/>
    <mergeCell ref="E50:E52"/>
    <mergeCell ref="E22:E25"/>
    <mergeCell ref="E26:E29"/>
    <mergeCell ref="E30:E31"/>
    <mergeCell ref="A36:A43"/>
    <mergeCell ref="B36:B43"/>
    <mergeCell ref="C36:C43"/>
    <mergeCell ref="D36:D43"/>
    <mergeCell ref="E36:E40"/>
    <mergeCell ref="A19:A35"/>
    <mergeCell ref="B19:B35"/>
    <mergeCell ref="C19:C35"/>
    <mergeCell ref="D19:D35"/>
    <mergeCell ref="E19:E21"/>
    <mergeCell ref="A10:A18"/>
    <mergeCell ref="B10:B18"/>
    <mergeCell ref="C10:C18"/>
    <mergeCell ref="D10:D18"/>
    <mergeCell ref="E10:E15"/>
    <mergeCell ref="A3:A9"/>
    <mergeCell ref="B3:B9"/>
    <mergeCell ref="C3:C9"/>
    <mergeCell ref="D3:D9"/>
    <mergeCell ref="E3:E5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portrait" r:id="rId1"/>
  <headerFooter>
    <oddFooter>第 &amp;P 页，共 &amp;N 页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>
  <dimension ref="A1:AVM65"/>
  <sheetViews>
    <sheetView topLeftCell="A49" workbookViewId="0">
      <selection activeCell="L66" sqref="L66"/>
    </sheetView>
  </sheetViews>
  <sheetFormatPr defaultColWidth="7.875" defaultRowHeight="12"/>
  <cols>
    <col min="1" max="1" width="3.5" style="290" customWidth="1"/>
    <col min="2" max="2" width="6.25" style="290" customWidth="1"/>
    <col min="3" max="3" width="5.75" style="290" customWidth="1"/>
    <col min="4" max="4" width="7" style="290" customWidth="1"/>
    <col min="5" max="5" width="14.25" style="290" customWidth="1"/>
    <col min="6" max="6" width="20.875" style="290" customWidth="1"/>
    <col min="7" max="7" width="5.5" style="304" customWidth="1"/>
    <col min="8" max="8" width="7.375" style="329" customWidth="1"/>
    <col min="9" max="9" width="8.625" style="330" customWidth="1"/>
    <col min="10" max="10" width="14.125" style="331" customWidth="1"/>
    <col min="11" max="11" width="10.625" style="290" customWidth="1"/>
    <col min="12" max="12" width="14.5" style="290" customWidth="1"/>
    <col min="13" max="13" width="14.875" style="290" customWidth="1"/>
    <col min="14" max="253" width="7.875" style="290"/>
    <col min="254" max="254" width="3.5" style="290" customWidth="1"/>
    <col min="255" max="255" width="6.25" style="290" customWidth="1"/>
    <col min="256" max="256" width="5.75" style="290" customWidth="1"/>
    <col min="257" max="257" width="7" style="290" customWidth="1"/>
    <col min="258" max="258" width="15.125" style="290" customWidth="1"/>
    <col min="259" max="259" width="13.125" style="290" customWidth="1"/>
    <col min="260" max="260" width="7.75" style="290" customWidth="1"/>
    <col min="261" max="261" width="6" style="290" customWidth="1"/>
    <col min="262" max="262" width="9" style="290" customWidth="1"/>
    <col min="263" max="263" width="10" style="290" customWidth="1"/>
    <col min="264" max="264" width="18.125" style="290" customWidth="1"/>
    <col min="265" max="509" width="7.875" style="290"/>
    <col min="510" max="510" width="3.5" style="290" customWidth="1"/>
    <col min="511" max="511" width="6.25" style="290" customWidth="1"/>
    <col min="512" max="512" width="5.75" style="290" customWidth="1"/>
    <col min="513" max="513" width="7" style="290" customWidth="1"/>
    <col min="514" max="514" width="15.125" style="290" customWidth="1"/>
    <col min="515" max="515" width="13.125" style="290" customWidth="1"/>
    <col min="516" max="516" width="7.75" style="290" customWidth="1"/>
    <col min="517" max="517" width="6" style="290" customWidth="1"/>
    <col min="518" max="518" width="9" style="290" customWidth="1"/>
    <col min="519" max="519" width="10" style="290" customWidth="1"/>
    <col min="520" max="520" width="18.125" style="290" customWidth="1"/>
    <col min="521" max="765" width="7.875" style="290"/>
    <col min="766" max="766" width="3.5" style="290" customWidth="1"/>
    <col min="767" max="767" width="6.25" style="290" customWidth="1"/>
    <col min="768" max="768" width="5.75" style="290" customWidth="1"/>
    <col min="769" max="769" width="7" style="290" customWidth="1"/>
    <col min="770" max="770" width="15.125" style="290" customWidth="1"/>
    <col min="771" max="771" width="13.125" style="290" customWidth="1"/>
    <col min="772" max="772" width="7.75" style="290" customWidth="1"/>
    <col min="773" max="773" width="6" style="290" customWidth="1"/>
    <col min="774" max="774" width="9" style="290" customWidth="1"/>
    <col min="775" max="775" width="10" style="290" customWidth="1"/>
    <col min="776" max="776" width="18.125" style="290" customWidth="1"/>
    <col min="777" max="1021" width="7.875" style="290"/>
    <col min="1022" max="1022" width="3.5" style="290" customWidth="1"/>
    <col min="1023" max="1023" width="6.25" style="290" customWidth="1"/>
    <col min="1024" max="1024" width="5.75" style="290" customWidth="1"/>
    <col min="1025" max="1025" width="7" style="290" customWidth="1"/>
    <col min="1026" max="1026" width="15.125" style="290" customWidth="1"/>
    <col min="1027" max="1027" width="13.125" style="290" customWidth="1"/>
    <col min="1028" max="1028" width="7.75" style="290" customWidth="1"/>
    <col min="1029" max="1029" width="6" style="290" customWidth="1"/>
    <col min="1030" max="1030" width="9" style="290" customWidth="1"/>
    <col min="1031" max="1031" width="10" style="290" customWidth="1"/>
    <col min="1032" max="1032" width="18.125" style="290" customWidth="1"/>
    <col min="1033" max="1260" width="7.875" style="290"/>
    <col min="1261" max="1261" width="7.875" style="321"/>
    <col min="1262" max="1277" width="7.875" style="290"/>
    <col min="1278" max="1278" width="3.5" style="290" customWidth="1"/>
    <col min="1279" max="1279" width="6.25" style="290" customWidth="1"/>
    <col min="1280" max="1280" width="5.75" style="290" customWidth="1"/>
    <col min="1281" max="1281" width="7" style="290" customWidth="1"/>
    <col min="1282" max="1282" width="15.125" style="290" customWidth="1"/>
    <col min="1283" max="1283" width="13.125" style="290" customWidth="1"/>
    <col min="1284" max="1284" width="7.75" style="290" customWidth="1"/>
    <col min="1285" max="1285" width="6" style="290" customWidth="1"/>
    <col min="1286" max="1286" width="9" style="290" customWidth="1"/>
    <col min="1287" max="1287" width="10" style="290" customWidth="1"/>
    <col min="1288" max="1288" width="18.125" style="290" customWidth="1"/>
    <col min="1289" max="1533" width="7.875" style="290"/>
    <col min="1534" max="1534" width="3.5" style="290" customWidth="1"/>
    <col min="1535" max="1535" width="6.25" style="290" customWidth="1"/>
    <col min="1536" max="1536" width="5.75" style="290" customWidth="1"/>
    <col min="1537" max="1537" width="7" style="290" customWidth="1"/>
    <col min="1538" max="1538" width="15.125" style="290" customWidth="1"/>
    <col min="1539" max="1539" width="13.125" style="290" customWidth="1"/>
    <col min="1540" max="1540" width="7.75" style="290" customWidth="1"/>
    <col min="1541" max="1541" width="6" style="290" customWidth="1"/>
    <col min="1542" max="1542" width="9" style="290" customWidth="1"/>
    <col min="1543" max="1543" width="10" style="290" customWidth="1"/>
    <col min="1544" max="1544" width="18.125" style="290" customWidth="1"/>
    <col min="1545" max="1789" width="7.875" style="290"/>
    <col min="1790" max="1790" width="3.5" style="290" customWidth="1"/>
    <col min="1791" max="1791" width="6.25" style="290" customWidth="1"/>
    <col min="1792" max="1792" width="5.75" style="290" customWidth="1"/>
    <col min="1793" max="1793" width="7" style="290" customWidth="1"/>
    <col min="1794" max="1794" width="15.125" style="290" customWidth="1"/>
    <col min="1795" max="1795" width="13.125" style="290" customWidth="1"/>
    <col min="1796" max="1796" width="7.75" style="290" customWidth="1"/>
    <col min="1797" max="1797" width="6" style="290" customWidth="1"/>
    <col min="1798" max="1798" width="9" style="290" customWidth="1"/>
    <col min="1799" max="1799" width="10" style="290" customWidth="1"/>
    <col min="1800" max="1800" width="18.125" style="290" customWidth="1"/>
    <col min="1801" max="2045" width="7.875" style="290"/>
    <col min="2046" max="2046" width="3.5" style="290" customWidth="1"/>
    <col min="2047" max="2047" width="6.25" style="290" customWidth="1"/>
    <col min="2048" max="2048" width="5.75" style="290" customWidth="1"/>
    <col min="2049" max="2049" width="7" style="290" customWidth="1"/>
    <col min="2050" max="2050" width="15.125" style="290" customWidth="1"/>
    <col min="2051" max="2051" width="13.125" style="290" customWidth="1"/>
    <col min="2052" max="2052" width="7.75" style="290" customWidth="1"/>
    <col min="2053" max="2053" width="6" style="290" customWidth="1"/>
    <col min="2054" max="2054" width="9" style="290" customWidth="1"/>
    <col min="2055" max="2055" width="10" style="290" customWidth="1"/>
    <col min="2056" max="2056" width="18.125" style="290" customWidth="1"/>
    <col min="2057" max="2301" width="7.875" style="290"/>
    <col min="2302" max="2302" width="3.5" style="290" customWidth="1"/>
    <col min="2303" max="2303" width="6.25" style="290" customWidth="1"/>
    <col min="2304" max="2304" width="5.75" style="290" customWidth="1"/>
    <col min="2305" max="2305" width="7" style="290" customWidth="1"/>
    <col min="2306" max="2306" width="15.125" style="290" customWidth="1"/>
    <col min="2307" max="2307" width="13.125" style="290" customWidth="1"/>
    <col min="2308" max="2308" width="7.75" style="290" customWidth="1"/>
    <col min="2309" max="2309" width="6" style="290" customWidth="1"/>
    <col min="2310" max="2310" width="9" style="290" customWidth="1"/>
    <col min="2311" max="2311" width="10" style="290" customWidth="1"/>
    <col min="2312" max="2312" width="18.125" style="290" customWidth="1"/>
    <col min="2313" max="2557" width="7.875" style="290"/>
    <col min="2558" max="2558" width="3.5" style="290" customWidth="1"/>
    <col min="2559" max="2559" width="6.25" style="290" customWidth="1"/>
    <col min="2560" max="2560" width="5.75" style="290" customWidth="1"/>
    <col min="2561" max="2561" width="7" style="290" customWidth="1"/>
    <col min="2562" max="2562" width="15.125" style="290" customWidth="1"/>
    <col min="2563" max="2563" width="13.125" style="290" customWidth="1"/>
    <col min="2564" max="2564" width="7.75" style="290" customWidth="1"/>
    <col min="2565" max="2565" width="6" style="290" customWidth="1"/>
    <col min="2566" max="2566" width="9" style="290" customWidth="1"/>
    <col min="2567" max="2567" width="10" style="290" customWidth="1"/>
    <col min="2568" max="2568" width="18.125" style="290" customWidth="1"/>
    <col min="2569" max="2813" width="7.875" style="290"/>
    <col min="2814" max="2814" width="3.5" style="290" customWidth="1"/>
    <col min="2815" max="2815" width="6.25" style="290" customWidth="1"/>
    <col min="2816" max="2816" width="5.75" style="290" customWidth="1"/>
    <col min="2817" max="2817" width="7" style="290" customWidth="1"/>
    <col min="2818" max="2818" width="15.125" style="290" customWidth="1"/>
    <col min="2819" max="2819" width="13.125" style="290" customWidth="1"/>
    <col min="2820" max="2820" width="7.75" style="290" customWidth="1"/>
    <col min="2821" max="2821" width="6" style="290" customWidth="1"/>
    <col min="2822" max="2822" width="9" style="290" customWidth="1"/>
    <col min="2823" max="2823" width="10" style="290" customWidth="1"/>
    <col min="2824" max="2824" width="18.125" style="290" customWidth="1"/>
    <col min="2825" max="3069" width="7.875" style="290"/>
    <col min="3070" max="3070" width="3.5" style="290" customWidth="1"/>
    <col min="3071" max="3071" width="6.25" style="290" customWidth="1"/>
    <col min="3072" max="3072" width="5.75" style="290" customWidth="1"/>
    <col min="3073" max="3073" width="7" style="290" customWidth="1"/>
    <col min="3074" max="3074" width="15.125" style="290" customWidth="1"/>
    <col min="3075" max="3075" width="13.125" style="290" customWidth="1"/>
    <col min="3076" max="3076" width="7.75" style="290" customWidth="1"/>
    <col min="3077" max="3077" width="6" style="290" customWidth="1"/>
    <col min="3078" max="3078" width="9" style="290" customWidth="1"/>
    <col min="3079" max="3079" width="10" style="290" customWidth="1"/>
    <col min="3080" max="3080" width="18.125" style="290" customWidth="1"/>
    <col min="3081" max="3325" width="7.875" style="290"/>
    <col min="3326" max="3326" width="3.5" style="290" customWidth="1"/>
    <col min="3327" max="3327" width="6.25" style="290" customWidth="1"/>
    <col min="3328" max="3328" width="5.75" style="290" customWidth="1"/>
    <col min="3329" max="3329" width="7" style="290" customWidth="1"/>
    <col min="3330" max="3330" width="15.125" style="290" customWidth="1"/>
    <col min="3331" max="3331" width="13.125" style="290" customWidth="1"/>
    <col min="3332" max="3332" width="7.75" style="290" customWidth="1"/>
    <col min="3333" max="3333" width="6" style="290" customWidth="1"/>
    <col min="3334" max="3334" width="9" style="290" customWidth="1"/>
    <col min="3335" max="3335" width="10" style="290" customWidth="1"/>
    <col min="3336" max="3336" width="18.125" style="290" customWidth="1"/>
    <col min="3337" max="3581" width="7.875" style="290"/>
    <col min="3582" max="3582" width="3.5" style="290" customWidth="1"/>
    <col min="3583" max="3583" width="6.25" style="290" customWidth="1"/>
    <col min="3584" max="3584" width="5.75" style="290" customWidth="1"/>
    <col min="3585" max="3585" width="7" style="290" customWidth="1"/>
    <col min="3586" max="3586" width="15.125" style="290" customWidth="1"/>
    <col min="3587" max="3587" width="13.125" style="290" customWidth="1"/>
    <col min="3588" max="3588" width="7.75" style="290" customWidth="1"/>
    <col min="3589" max="3589" width="6" style="290" customWidth="1"/>
    <col min="3590" max="3590" width="9" style="290" customWidth="1"/>
    <col min="3591" max="3591" width="10" style="290" customWidth="1"/>
    <col min="3592" max="3592" width="18.125" style="290" customWidth="1"/>
    <col min="3593" max="3837" width="7.875" style="290"/>
    <col min="3838" max="3838" width="3.5" style="290" customWidth="1"/>
    <col min="3839" max="3839" width="6.25" style="290" customWidth="1"/>
    <col min="3840" max="3840" width="5.75" style="290" customWidth="1"/>
    <col min="3841" max="3841" width="7" style="290" customWidth="1"/>
    <col min="3842" max="3842" width="15.125" style="290" customWidth="1"/>
    <col min="3843" max="3843" width="13.125" style="290" customWidth="1"/>
    <col min="3844" max="3844" width="7.75" style="290" customWidth="1"/>
    <col min="3845" max="3845" width="6" style="290" customWidth="1"/>
    <col min="3846" max="3846" width="9" style="290" customWidth="1"/>
    <col min="3847" max="3847" width="10" style="290" customWidth="1"/>
    <col min="3848" max="3848" width="18.125" style="290" customWidth="1"/>
    <col min="3849" max="4093" width="7.875" style="290"/>
    <col min="4094" max="4094" width="3.5" style="290" customWidth="1"/>
    <col min="4095" max="4095" width="6.25" style="290" customWidth="1"/>
    <col min="4096" max="4096" width="5.75" style="290" customWidth="1"/>
    <col min="4097" max="4097" width="7" style="290" customWidth="1"/>
    <col min="4098" max="4098" width="15.125" style="290" customWidth="1"/>
    <col min="4099" max="4099" width="13.125" style="290" customWidth="1"/>
    <col min="4100" max="4100" width="7.75" style="290" customWidth="1"/>
    <col min="4101" max="4101" width="6" style="290" customWidth="1"/>
    <col min="4102" max="4102" width="9" style="290" customWidth="1"/>
    <col min="4103" max="4103" width="10" style="290" customWidth="1"/>
    <col min="4104" max="4104" width="18.125" style="290" customWidth="1"/>
    <col min="4105" max="4349" width="7.875" style="290"/>
    <col min="4350" max="4350" width="3.5" style="290" customWidth="1"/>
    <col min="4351" max="4351" width="6.25" style="290" customWidth="1"/>
    <col min="4352" max="4352" width="5.75" style="290" customWidth="1"/>
    <col min="4353" max="4353" width="7" style="290" customWidth="1"/>
    <col min="4354" max="4354" width="15.125" style="290" customWidth="1"/>
    <col min="4355" max="4355" width="13.125" style="290" customWidth="1"/>
    <col min="4356" max="4356" width="7.75" style="290" customWidth="1"/>
    <col min="4357" max="4357" width="6" style="290" customWidth="1"/>
    <col min="4358" max="4358" width="9" style="290" customWidth="1"/>
    <col min="4359" max="4359" width="10" style="290" customWidth="1"/>
    <col min="4360" max="4360" width="18.125" style="290" customWidth="1"/>
    <col min="4361" max="4605" width="7.875" style="290"/>
    <col min="4606" max="4606" width="3.5" style="290" customWidth="1"/>
    <col min="4607" max="4607" width="6.25" style="290" customWidth="1"/>
    <col min="4608" max="4608" width="5.75" style="290" customWidth="1"/>
    <col min="4609" max="4609" width="7" style="290" customWidth="1"/>
    <col min="4610" max="4610" width="15.125" style="290" customWidth="1"/>
    <col min="4611" max="4611" width="13.125" style="290" customWidth="1"/>
    <col min="4612" max="4612" width="7.75" style="290" customWidth="1"/>
    <col min="4613" max="4613" width="6" style="290" customWidth="1"/>
    <col min="4614" max="4614" width="9" style="290" customWidth="1"/>
    <col min="4615" max="4615" width="10" style="290" customWidth="1"/>
    <col min="4616" max="4616" width="18.125" style="290" customWidth="1"/>
    <col min="4617" max="4861" width="7.875" style="290"/>
    <col min="4862" max="4862" width="3.5" style="290" customWidth="1"/>
    <col min="4863" max="4863" width="6.25" style="290" customWidth="1"/>
    <col min="4864" max="4864" width="5.75" style="290" customWidth="1"/>
    <col min="4865" max="4865" width="7" style="290" customWidth="1"/>
    <col min="4866" max="4866" width="15.125" style="290" customWidth="1"/>
    <col min="4867" max="4867" width="13.125" style="290" customWidth="1"/>
    <col min="4868" max="4868" width="7.75" style="290" customWidth="1"/>
    <col min="4869" max="4869" width="6" style="290" customWidth="1"/>
    <col min="4870" max="4870" width="9" style="290" customWidth="1"/>
    <col min="4871" max="4871" width="10" style="290" customWidth="1"/>
    <col min="4872" max="4872" width="18.125" style="290" customWidth="1"/>
    <col min="4873" max="5117" width="7.875" style="290"/>
    <col min="5118" max="5118" width="3.5" style="290" customWidth="1"/>
    <col min="5119" max="5119" width="6.25" style="290" customWidth="1"/>
    <col min="5120" max="5120" width="5.75" style="290" customWidth="1"/>
    <col min="5121" max="5121" width="7" style="290" customWidth="1"/>
    <col min="5122" max="5122" width="15.125" style="290" customWidth="1"/>
    <col min="5123" max="5123" width="13.125" style="290" customWidth="1"/>
    <col min="5124" max="5124" width="7.75" style="290" customWidth="1"/>
    <col min="5125" max="5125" width="6" style="290" customWidth="1"/>
    <col min="5126" max="5126" width="9" style="290" customWidth="1"/>
    <col min="5127" max="5127" width="10" style="290" customWidth="1"/>
    <col min="5128" max="5128" width="18.125" style="290" customWidth="1"/>
    <col min="5129" max="5373" width="7.875" style="290"/>
    <col min="5374" max="5374" width="3.5" style="290" customWidth="1"/>
    <col min="5375" max="5375" width="6.25" style="290" customWidth="1"/>
    <col min="5376" max="5376" width="5.75" style="290" customWidth="1"/>
    <col min="5377" max="5377" width="7" style="290" customWidth="1"/>
    <col min="5378" max="5378" width="15.125" style="290" customWidth="1"/>
    <col min="5379" max="5379" width="13.125" style="290" customWidth="1"/>
    <col min="5380" max="5380" width="7.75" style="290" customWidth="1"/>
    <col min="5381" max="5381" width="6" style="290" customWidth="1"/>
    <col min="5382" max="5382" width="9" style="290" customWidth="1"/>
    <col min="5383" max="5383" width="10" style="290" customWidth="1"/>
    <col min="5384" max="5384" width="18.125" style="290" customWidth="1"/>
    <col min="5385" max="5629" width="7.875" style="290"/>
    <col min="5630" max="5630" width="3.5" style="290" customWidth="1"/>
    <col min="5631" max="5631" width="6.25" style="290" customWidth="1"/>
    <col min="5632" max="5632" width="5.75" style="290" customWidth="1"/>
    <col min="5633" max="5633" width="7" style="290" customWidth="1"/>
    <col min="5634" max="5634" width="15.125" style="290" customWidth="1"/>
    <col min="5635" max="5635" width="13.125" style="290" customWidth="1"/>
    <col min="5636" max="5636" width="7.75" style="290" customWidth="1"/>
    <col min="5637" max="5637" width="6" style="290" customWidth="1"/>
    <col min="5638" max="5638" width="9" style="290" customWidth="1"/>
    <col min="5639" max="5639" width="10" style="290" customWidth="1"/>
    <col min="5640" max="5640" width="18.125" style="290" customWidth="1"/>
    <col min="5641" max="5885" width="7.875" style="290"/>
    <col min="5886" max="5886" width="3.5" style="290" customWidth="1"/>
    <col min="5887" max="5887" width="6.25" style="290" customWidth="1"/>
    <col min="5888" max="5888" width="5.75" style="290" customWidth="1"/>
    <col min="5889" max="5889" width="7" style="290" customWidth="1"/>
    <col min="5890" max="5890" width="15.125" style="290" customWidth="1"/>
    <col min="5891" max="5891" width="13.125" style="290" customWidth="1"/>
    <col min="5892" max="5892" width="7.75" style="290" customWidth="1"/>
    <col min="5893" max="5893" width="6" style="290" customWidth="1"/>
    <col min="5894" max="5894" width="9" style="290" customWidth="1"/>
    <col min="5895" max="5895" width="10" style="290" customWidth="1"/>
    <col min="5896" max="5896" width="18.125" style="290" customWidth="1"/>
    <col min="5897" max="6141" width="7.875" style="290"/>
    <col min="6142" max="6142" width="3.5" style="290" customWidth="1"/>
    <col min="6143" max="6143" width="6.25" style="290" customWidth="1"/>
    <col min="6144" max="6144" width="5.75" style="290" customWidth="1"/>
    <col min="6145" max="6145" width="7" style="290" customWidth="1"/>
    <col min="6146" max="6146" width="15.125" style="290" customWidth="1"/>
    <col min="6147" max="6147" width="13.125" style="290" customWidth="1"/>
    <col min="6148" max="6148" width="7.75" style="290" customWidth="1"/>
    <col min="6149" max="6149" width="6" style="290" customWidth="1"/>
    <col min="6150" max="6150" width="9" style="290" customWidth="1"/>
    <col min="6151" max="6151" width="10" style="290" customWidth="1"/>
    <col min="6152" max="6152" width="18.125" style="290" customWidth="1"/>
    <col min="6153" max="6397" width="7.875" style="290"/>
    <col min="6398" max="6398" width="3.5" style="290" customWidth="1"/>
    <col min="6399" max="6399" width="6.25" style="290" customWidth="1"/>
    <col min="6400" max="6400" width="5.75" style="290" customWidth="1"/>
    <col min="6401" max="6401" width="7" style="290" customWidth="1"/>
    <col min="6402" max="6402" width="15.125" style="290" customWidth="1"/>
    <col min="6403" max="6403" width="13.125" style="290" customWidth="1"/>
    <col min="6404" max="6404" width="7.75" style="290" customWidth="1"/>
    <col min="6405" max="6405" width="6" style="290" customWidth="1"/>
    <col min="6406" max="6406" width="9" style="290" customWidth="1"/>
    <col min="6407" max="6407" width="10" style="290" customWidth="1"/>
    <col min="6408" max="6408" width="18.125" style="290" customWidth="1"/>
    <col min="6409" max="6653" width="7.875" style="290"/>
    <col min="6654" max="6654" width="3.5" style="290" customWidth="1"/>
    <col min="6655" max="6655" width="6.25" style="290" customWidth="1"/>
    <col min="6656" max="6656" width="5.75" style="290" customWidth="1"/>
    <col min="6657" max="6657" width="7" style="290" customWidth="1"/>
    <col min="6658" max="6658" width="15.125" style="290" customWidth="1"/>
    <col min="6659" max="6659" width="13.125" style="290" customWidth="1"/>
    <col min="6660" max="6660" width="7.75" style="290" customWidth="1"/>
    <col min="6661" max="6661" width="6" style="290" customWidth="1"/>
    <col min="6662" max="6662" width="9" style="290" customWidth="1"/>
    <col min="6663" max="6663" width="10" style="290" customWidth="1"/>
    <col min="6664" max="6664" width="18.125" style="290" customWidth="1"/>
    <col min="6665" max="6909" width="7.875" style="290"/>
    <col min="6910" max="6910" width="3.5" style="290" customWidth="1"/>
    <col min="6911" max="6911" width="6.25" style="290" customWidth="1"/>
    <col min="6912" max="6912" width="5.75" style="290" customWidth="1"/>
    <col min="6913" max="6913" width="7" style="290" customWidth="1"/>
    <col min="6914" max="6914" width="15.125" style="290" customWidth="1"/>
    <col min="6915" max="6915" width="13.125" style="290" customWidth="1"/>
    <col min="6916" max="6916" width="7.75" style="290" customWidth="1"/>
    <col min="6917" max="6917" width="6" style="290" customWidth="1"/>
    <col min="6918" max="6918" width="9" style="290" customWidth="1"/>
    <col min="6919" max="6919" width="10" style="290" customWidth="1"/>
    <col min="6920" max="6920" width="18.125" style="290" customWidth="1"/>
    <col min="6921" max="7165" width="7.875" style="290"/>
    <col min="7166" max="7166" width="3.5" style="290" customWidth="1"/>
    <col min="7167" max="7167" width="6.25" style="290" customWidth="1"/>
    <col min="7168" max="7168" width="5.75" style="290" customWidth="1"/>
    <col min="7169" max="7169" width="7" style="290" customWidth="1"/>
    <col min="7170" max="7170" width="15.125" style="290" customWidth="1"/>
    <col min="7171" max="7171" width="13.125" style="290" customWidth="1"/>
    <col min="7172" max="7172" width="7.75" style="290" customWidth="1"/>
    <col min="7173" max="7173" width="6" style="290" customWidth="1"/>
    <col min="7174" max="7174" width="9" style="290" customWidth="1"/>
    <col min="7175" max="7175" width="10" style="290" customWidth="1"/>
    <col min="7176" max="7176" width="18.125" style="290" customWidth="1"/>
    <col min="7177" max="7421" width="7.875" style="290"/>
    <col min="7422" max="7422" width="3.5" style="290" customWidth="1"/>
    <col min="7423" max="7423" width="6.25" style="290" customWidth="1"/>
    <col min="7424" max="7424" width="5.75" style="290" customWidth="1"/>
    <col min="7425" max="7425" width="7" style="290" customWidth="1"/>
    <col min="7426" max="7426" width="15.125" style="290" customWidth="1"/>
    <col min="7427" max="7427" width="13.125" style="290" customWidth="1"/>
    <col min="7428" max="7428" width="7.75" style="290" customWidth="1"/>
    <col min="7429" max="7429" width="6" style="290" customWidth="1"/>
    <col min="7430" max="7430" width="9" style="290" customWidth="1"/>
    <col min="7431" max="7431" width="10" style="290" customWidth="1"/>
    <col min="7432" max="7432" width="18.125" style="290" customWidth="1"/>
    <col min="7433" max="7677" width="7.875" style="290"/>
    <col min="7678" max="7678" width="3.5" style="290" customWidth="1"/>
    <col min="7679" max="7679" width="6.25" style="290" customWidth="1"/>
    <col min="7680" max="7680" width="5.75" style="290" customWidth="1"/>
    <col min="7681" max="7681" width="7" style="290" customWidth="1"/>
    <col min="7682" max="7682" width="15.125" style="290" customWidth="1"/>
    <col min="7683" max="7683" width="13.125" style="290" customWidth="1"/>
    <col min="7684" max="7684" width="7.75" style="290" customWidth="1"/>
    <col min="7685" max="7685" width="6" style="290" customWidth="1"/>
    <col min="7686" max="7686" width="9" style="290" customWidth="1"/>
    <col min="7687" max="7687" width="10" style="290" customWidth="1"/>
    <col min="7688" max="7688" width="18.125" style="290" customWidth="1"/>
    <col min="7689" max="7933" width="7.875" style="290"/>
    <col min="7934" max="7934" width="3.5" style="290" customWidth="1"/>
    <col min="7935" max="7935" width="6.25" style="290" customWidth="1"/>
    <col min="7936" max="7936" width="5.75" style="290" customWidth="1"/>
    <col min="7937" max="7937" width="7" style="290" customWidth="1"/>
    <col min="7938" max="7938" width="15.125" style="290" customWidth="1"/>
    <col min="7939" max="7939" width="13.125" style="290" customWidth="1"/>
    <col min="7940" max="7940" width="7.75" style="290" customWidth="1"/>
    <col min="7941" max="7941" width="6" style="290" customWidth="1"/>
    <col min="7942" max="7942" width="9" style="290" customWidth="1"/>
    <col min="7943" max="7943" width="10" style="290" customWidth="1"/>
    <col min="7944" max="7944" width="18.125" style="290" customWidth="1"/>
    <col min="7945" max="8189" width="7.875" style="290"/>
    <col min="8190" max="8190" width="3.5" style="290" customWidth="1"/>
    <col min="8191" max="8191" width="6.25" style="290" customWidth="1"/>
    <col min="8192" max="8192" width="5.75" style="290" customWidth="1"/>
    <col min="8193" max="8193" width="7" style="290" customWidth="1"/>
    <col min="8194" max="8194" width="15.125" style="290" customWidth="1"/>
    <col min="8195" max="8195" width="13.125" style="290" customWidth="1"/>
    <col min="8196" max="8196" width="7.75" style="290" customWidth="1"/>
    <col min="8197" max="8197" width="6" style="290" customWidth="1"/>
    <col min="8198" max="8198" width="9" style="290" customWidth="1"/>
    <col min="8199" max="8199" width="10" style="290" customWidth="1"/>
    <col min="8200" max="8200" width="18.125" style="290" customWidth="1"/>
    <col min="8201" max="8445" width="7.875" style="290"/>
    <col min="8446" max="8446" width="3.5" style="290" customWidth="1"/>
    <col min="8447" max="8447" width="6.25" style="290" customWidth="1"/>
    <col min="8448" max="8448" width="5.75" style="290" customWidth="1"/>
    <col min="8449" max="8449" width="7" style="290" customWidth="1"/>
    <col min="8450" max="8450" width="15.125" style="290" customWidth="1"/>
    <col min="8451" max="8451" width="13.125" style="290" customWidth="1"/>
    <col min="8452" max="8452" width="7.75" style="290" customWidth="1"/>
    <col min="8453" max="8453" width="6" style="290" customWidth="1"/>
    <col min="8454" max="8454" width="9" style="290" customWidth="1"/>
    <col min="8455" max="8455" width="10" style="290" customWidth="1"/>
    <col min="8456" max="8456" width="18.125" style="290" customWidth="1"/>
    <col min="8457" max="8701" width="7.875" style="290"/>
    <col min="8702" max="8702" width="3.5" style="290" customWidth="1"/>
    <col min="8703" max="8703" width="6.25" style="290" customWidth="1"/>
    <col min="8704" max="8704" width="5.75" style="290" customWidth="1"/>
    <col min="8705" max="8705" width="7" style="290" customWidth="1"/>
    <col min="8706" max="8706" width="15.125" style="290" customWidth="1"/>
    <col min="8707" max="8707" width="13.125" style="290" customWidth="1"/>
    <col min="8708" max="8708" width="7.75" style="290" customWidth="1"/>
    <col min="8709" max="8709" width="6" style="290" customWidth="1"/>
    <col min="8710" max="8710" width="9" style="290" customWidth="1"/>
    <col min="8711" max="8711" width="10" style="290" customWidth="1"/>
    <col min="8712" max="8712" width="18.125" style="290" customWidth="1"/>
    <col min="8713" max="8957" width="7.875" style="290"/>
    <col min="8958" max="8958" width="3.5" style="290" customWidth="1"/>
    <col min="8959" max="8959" width="6.25" style="290" customWidth="1"/>
    <col min="8960" max="8960" width="5.75" style="290" customWidth="1"/>
    <col min="8961" max="8961" width="7" style="290" customWidth="1"/>
    <col min="8962" max="8962" width="15.125" style="290" customWidth="1"/>
    <col min="8963" max="8963" width="13.125" style="290" customWidth="1"/>
    <col min="8964" max="8964" width="7.75" style="290" customWidth="1"/>
    <col min="8965" max="8965" width="6" style="290" customWidth="1"/>
    <col min="8966" max="8966" width="9" style="290" customWidth="1"/>
    <col min="8967" max="8967" width="10" style="290" customWidth="1"/>
    <col min="8968" max="8968" width="18.125" style="290" customWidth="1"/>
    <col min="8969" max="9213" width="7.875" style="290"/>
    <col min="9214" max="9214" width="3.5" style="290" customWidth="1"/>
    <col min="9215" max="9215" width="6.25" style="290" customWidth="1"/>
    <col min="9216" max="9216" width="5.75" style="290" customWidth="1"/>
    <col min="9217" max="9217" width="7" style="290" customWidth="1"/>
    <col min="9218" max="9218" width="15.125" style="290" customWidth="1"/>
    <col min="9219" max="9219" width="13.125" style="290" customWidth="1"/>
    <col min="9220" max="9220" width="7.75" style="290" customWidth="1"/>
    <col min="9221" max="9221" width="6" style="290" customWidth="1"/>
    <col min="9222" max="9222" width="9" style="290" customWidth="1"/>
    <col min="9223" max="9223" width="10" style="290" customWidth="1"/>
    <col min="9224" max="9224" width="18.125" style="290" customWidth="1"/>
    <col min="9225" max="9469" width="7.875" style="290"/>
    <col min="9470" max="9470" width="3.5" style="290" customWidth="1"/>
    <col min="9471" max="9471" width="6.25" style="290" customWidth="1"/>
    <col min="9472" max="9472" width="5.75" style="290" customWidth="1"/>
    <col min="9473" max="9473" width="7" style="290" customWidth="1"/>
    <col min="9474" max="9474" width="15.125" style="290" customWidth="1"/>
    <col min="9475" max="9475" width="13.125" style="290" customWidth="1"/>
    <col min="9476" max="9476" width="7.75" style="290" customWidth="1"/>
    <col min="9477" max="9477" width="6" style="290" customWidth="1"/>
    <col min="9478" max="9478" width="9" style="290" customWidth="1"/>
    <col min="9479" max="9479" width="10" style="290" customWidth="1"/>
    <col min="9480" max="9480" width="18.125" style="290" customWidth="1"/>
    <col min="9481" max="9725" width="7.875" style="290"/>
    <col min="9726" max="9726" width="3.5" style="290" customWidth="1"/>
    <col min="9727" max="9727" width="6.25" style="290" customWidth="1"/>
    <col min="9728" max="9728" width="5.75" style="290" customWidth="1"/>
    <col min="9729" max="9729" width="7" style="290" customWidth="1"/>
    <col min="9730" max="9730" width="15.125" style="290" customWidth="1"/>
    <col min="9731" max="9731" width="13.125" style="290" customWidth="1"/>
    <col min="9732" max="9732" width="7.75" style="290" customWidth="1"/>
    <col min="9733" max="9733" width="6" style="290" customWidth="1"/>
    <col min="9734" max="9734" width="9" style="290" customWidth="1"/>
    <col min="9735" max="9735" width="10" style="290" customWidth="1"/>
    <col min="9736" max="9736" width="18.125" style="290" customWidth="1"/>
    <col min="9737" max="9981" width="7.875" style="290"/>
    <col min="9982" max="9982" width="3.5" style="290" customWidth="1"/>
    <col min="9983" max="9983" width="6.25" style="290" customWidth="1"/>
    <col min="9984" max="9984" width="5.75" style="290" customWidth="1"/>
    <col min="9985" max="9985" width="7" style="290" customWidth="1"/>
    <col min="9986" max="9986" width="15.125" style="290" customWidth="1"/>
    <col min="9987" max="9987" width="13.125" style="290" customWidth="1"/>
    <col min="9988" max="9988" width="7.75" style="290" customWidth="1"/>
    <col min="9989" max="9989" width="6" style="290" customWidth="1"/>
    <col min="9990" max="9990" width="9" style="290" customWidth="1"/>
    <col min="9991" max="9991" width="10" style="290" customWidth="1"/>
    <col min="9992" max="9992" width="18.125" style="290" customWidth="1"/>
    <col min="9993" max="10237" width="7.875" style="290"/>
    <col min="10238" max="10238" width="3.5" style="290" customWidth="1"/>
    <col min="10239" max="10239" width="6.25" style="290" customWidth="1"/>
    <col min="10240" max="10240" width="5.75" style="290" customWidth="1"/>
    <col min="10241" max="10241" width="7" style="290" customWidth="1"/>
    <col min="10242" max="10242" width="15.125" style="290" customWidth="1"/>
    <col min="10243" max="10243" width="13.125" style="290" customWidth="1"/>
    <col min="10244" max="10244" width="7.75" style="290" customWidth="1"/>
    <col min="10245" max="10245" width="6" style="290" customWidth="1"/>
    <col min="10246" max="10246" width="9" style="290" customWidth="1"/>
    <col min="10247" max="10247" width="10" style="290" customWidth="1"/>
    <col min="10248" max="10248" width="18.125" style="290" customWidth="1"/>
    <col min="10249" max="10493" width="7.875" style="290"/>
    <col min="10494" max="10494" width="3.5" style="290" customWidth="1"/>
    <col min="10495" max="10495" width="6.25" style="290" customWidth="1"/>
    <col min="10496" max="10496" width="5.75" style="290" customWidth="1"/>
    <col min="10497" max="10497" width="7" style="290" customWidth="1"/>
    <col min="10498" max="10498" width="15.125" style="290" customWidth="1"/>
    <col min="10499" max="10499" width="13.125" style="290" customWidth="1"/>
    <col min="10500" max="10500" width="7.75" style="290" customWidth="1"/>
    <col min="10501" max="10501" width="6" style="290" customWidth="1"/>
    <col min="10502" max="10502" width="9" style="290" customWidth="1"/>
    <col min="10503" max="10503" width="10" style="290" customWidth="1"/>
    <col min="10504" max="10504" width="18.125" style="290" customWidth="1"/>
    <col min="10505" max="10749" width="7.875" style="290"/>
    <col min="10750" max="10750" width="3.5" style="290" customWidth="1"/>
    <col min="10751" max="10751" width="6.25" style="290" customWidth="1"/>
    <col min="10752" max="10752" width="5.75" style="290" customWidth="1"/>
    <col min="10753" max="10753" width="7" style="290" customWidth="1"/>
    <col min="10754" max="10754" width="15.125" style="290" customWidth="1"/>
    <col min="10755" max="10755" width="13.125" style="290" customWidth="1"/>
    <col min="10756" max="10756" width="7.75" style="290" customWidth="1"/>
    <col min="10757" max="10757" width="6" style="290" customWidth="1"/>
    <col min="10758" max="10758" width="9" style="290" customWidth="1"/>
    <col min="10759" max="10759" width="10" style="290" customWidth="1"/>
    <col min="10760" max="10760" width="18.125" style="290" customWidth="1"/>
    <col min="10761" max="11005" width="7.875" style="290"/>
    <col min="11006" max="11006" width="3.5" style="290" customWidth="1"/>
    <col min="11007" max="11007" width="6.25" style="290" customWidth="1"/>
    <col min="11008" max="11008" width="5.75" style="290" customWidth="1"/>
    <col min="11009" max="11009" width="7" style="290" customWidth="1"/>
    <col min="11010" max="11010" width="15.125" style="290" customWidth="1"/>
    <col min="11011" max="11011" width="13.125" style="290" customWidth="1"/>
    <col min="11012" max="11012" width="7.75" style="290" customWidth="1"/>
    <col min="11013" max="11013" width="6" style="290" customWidth="1"/>
    <col min="11014" max="11014" width="9" style="290" customWidth="1"/>
    <col min="11015" max="11015" width="10" style="290" customWidth="1"/>
    <col min="11016" max="11016" width="18.125" style="290" customWidth="1"/>
    <col min="11017" max="11261" width="7.875" style="290"/>
    <col min="11262" max="11262" width="3.5" style="290" customWidth="1"/>
    <col min="11263" max="11263" width="6.25" style="290" customWidth="1"/>
    <col min="11264" max="11264" width="5.75" style="290" customWidth="1"/>
    <col min="11265" max="11265" width="7" style="290" customWidth="1"/>
    <col min="11266" max="11266" width="15.125" style="290" customWidth="1"/>
    <col min="11267" max="11267" width="13.125" style="290" customWidth="1"/>
    <col min="11268" max="11268" width="7.75" style="290" customWidth="1"/>
    <col min="11269" max="11269" width="6" style="290" customWidth="1"/>
    <col min="11270" max="11270" width="9" style="290" customWidth="1"/>
    <col min="11271" max="11271" width="10" style="290" customWidth="1"/>
    <col min="11272" max="11272" width="18.125" style="290" customWidth="1"/>
    <col min="11273" max="11517" width="7.875" style="290"/>
    <col min="11518" max="11518" width="3.5" style="290" customWidth="1"/>
    <col min="11519" max="11519" width="6.25" style="290" customWidth="1"/>
    <col min="11520" max="11520" width="5.75" style="290" customWidth="1"/>
    <col min="11521" max="11521" width="7" style="290" customWidth="1"/>
    <col min="11522" max="11522" width="15.125" style="290" customWidth="1"/>
    <col min="11523" max="11523" width="13.125" style="290" customWidth="1"/>
    <col min="11524" max="11524" width="7.75" style="290" customWidth="1"/>
    <col min="11525" max="11525" width="6" style="290" customWidth="1"/>
    <col min="11526" max="11526" width="9" style="290" customWidth="1"/>
    <col min="11527" max="11527" width="10" style="290" customWidth="1"/>
    <col min="11528" max="11528" width="18.125" style="290" customWidth="1"/>
    <col min="11529" max="11773" width="7.875" style="290"/>
    <col min="11774" max="11774" width="3.5" style="290" customWidth="1"/>
    <col min="11775" max="11775" width="6.25" style="290" customWidth="1"/>
    <col min="11776" max="11776" width="5.75" style="290" customWidth="1"/>
    <col min="11777" max="11777" width="7" style="290" customWidth="1"/>
    <col min="11778" max="11778" width="15.125" style="290" customWidth="1"/>
    <col min="11779" max="11779" width="13.125" style="290" customWidth="1"/>
    <col min="11780" max="11780" width="7.75" style="290" customWidth="1"/>
    <col min="11781" max="11781" width="6" style="290" customWidth="1"/>
    <col min="11782" max="11782" width="9" style="290" customWidth="1"/>
    <col min="11783" max="11783" width="10" style="290" customWidth="1"/>
    <col min="11784" max="11784" width="18.125" style="290" customWidth="1"/>
    <col min="11785" max="12029" width="7.875" style="290"/>
    <col min="12030" max="12030" width="3.5" style="290" customWidth="1"/>
    <col min="12031" max="12031" width="6.25" style="290" customWidth="1"/>
    <col min="12032" max="12032" width="5.75" style="290" customWidth="1"/>
    <col min="12033" max="12033" width="7" style="290" customWidth="1"/>
    <col min="12034" max="12034" width="15.125" style="290" customWidth="1"/>
    <col min="12035" max="12035" width="13.125" style="290" customWidth="1"/>
    <col min="12036" max="12036" width="7.75" style="290" customWidth="1"/>
    <col min="12037" max="12037" width="6" style="290" customWidth="1"/>
    <col min="12038" max="12038" width="9" style="290" customWidth="1"/>
    <col min="12039" max="12039" width="10" style="290" customWidth="1"/>
    <col min="12040" max="12040" width="18.125" style="290" customWidth="1"/>
    <col min="12041" max="12285" width="7.875" style="290"/>
    <col min="12286" max="12286" width="3.5" style="290" customWidth="1"/>
    <col min="12287" max="12287" width="6.25" style="290" customWidth="1"/>
    <col min="12288" max="12288" width="5.75" style="290" customWidth="1"/>
    <col min="12289" max="12289" width="7" style="290" customWidth="1"/>
    <col min="12290" max="12290" width="15.125" style="290" customWidth="1"/>
    <col min="12291" max="12291" width="13.125" style="290" customWidth="1"/>
    <col min="12292" max="12292" width="7.75" style="290" customWidth="1"/>
    <col min="12293" max="12293" width="6" style="290" customWidth="1"/>
    <col min="12294" max="12294" width="9" style="290" customWidth="1"/>
    <col min="12295" max="12295" width="10" style="290" customWidth="1"/>
    <col min="12296" max="12296" width="18.125" style="290" customWidth="1"/>
    <col min="12297" max="12541" width="7.875" style="290"/>
    <col min="12542" max="12542" width="3.5" style="290" customWidth="1"/>
    <col min="12543" max="12543" width="6.25" style="290" customWidth="1"/>
    <col min="12544" max="12544" width="5.75" style="290" customWidth="1"/>
    <col min="12545" max="12545" width="7" style="290" customWidth="1"/>
    <col min="12546" max="12546" width="15.125" style="290" customWidth="1"/>
    <col min="12547" max="12547" width="13.125" style="290" customWidth="1"/>
    <col min="12548" max="12548" width="7.75" style="290" customWidth="1"/>
    <col min="12549" max="12549" width="6" style="290" customWidth="1"/>
    <col min="12550" max="12550" width="9" style="290" customWidth="1"/>
    <col min="12551" max="12551" width="10" style="290" customWidth="1"/>
    <col min="12552" max="12552" width="18.125" style="290" customWidth="1"/>
    <col min="12553" max="12797" width="7.875" style="290"/>
    <col min="12798" max="12798" width="3.5" style="290" customWidth="1"/>
    <col min="12799" max="12799" width="6.25" style="290" customWidth="1"/>
    <col min="12800" max="12800" width="5.75" style="290" customWidth="1"/>
    <col min="12801" max="12801" width="7" style="290" customWidth="1"/>
    <col min="12802" max="12802" width="15.125" style="290" customWidth="1"/>
    <col min="12803" max="12803" width="13.125" style="290" customWidth="1"/>
    <col min="12804" max="12804" width="7.75" style="290" customWidth="1"/>
    <col min="12805" max="12805" width="6" style="290" customWidth="1"/>
    <col min="12806" max="12806" width="9" style="290" customWidth="1"/>
    <col min="12807" max="12807" width="10" style="290" customWidth="1"/>
    <col min="12808" max="12808" width="18.125" style="290" customWidth="1"/>
    <col min="12809" max="13053" width="7.875" style="290"/>
    <col min="13054" max="13054" width="3.5" style="290" customWidth="1"/>
    <col min="13055" max="13055" width="6.25" style="290" customWidth="1"/>
    <col min="13056" max="13056" width="5.75" style="290" customWidth="1"/>
    <col min="13057" max="13057" width="7" style="290" customWidth="1"/>
    <col min="13058" max="13058" width="15.125" style="290" customWidth="1"/>
    <col min="13059" max="13059" width="13.125" style="290" customWidth="1"/>
    <col min="13060" max="13060" width="7.75" style="290" customWidth="1"/>
    <col min="13061" max="13061" width="6" style="290" customWidth="1"/>
    <col min="13062" max="13062" width="9" style="290" customWidth="1"/>
    <col min="13063" max="13063" width="10" style="290" customWidth="1"/>
    <col min="13064" max="13064" width="18.125" style="290" customWidth="1"/>
    <col min="13065" max="13309" width="7.875" style="290"/>
    <col min="13310" max="13310" width="3.5" style="290" customWidth="1"/>
    <col min="13311" max="13311" width="6.25" style="290" customWidth="1"/>
    <col min="13312" max="13312" width="5.75" style="290" customWidth="1"/>
    <col min="13313" max="13313" width="7" style="290" customWidth="1"/>
    <col min="13314" max="13314" width="15.125" style="290" customWidth="1"/>
    <col min="13315" max="13315" width="13.125" style="290" customWidth="1"/>
    <col min="13316" max="13316" width="7.75" style="290" customWidth="1"/>
    <col min="13317" max="13317" width="6" style="290" customWidth="1"/>
    <col min="13318" max="13318" width="9" style="290" customWidth="1"/>
    <col min="13319" max="13319" width="10" style="290" customWidth="1"/>
    <col min="13320" max="13320" width="18.125" style="290" customWidth="1"/>
    <col min="13321" max="13565" width="7.875" style="290"/>
    <col min="13566" max="13566" width="3.5" style="290" customWidth="1"/>
    <col min="13567" max="13567" width="6.25" style="290" customWidth="1"/>
    <col min="13568" max="13568" width="5.75" style="290" customWidth="1"/>
    <col min="13569" max="13569" width="7" style="290" customWidth="1"/>
    <col min="13570" max="13570" width="15.125" style="290" customWidth="1"/>
    <col min="13571" max="13571" width="13.125" style="290" customWidth="1"/>
    <col min="13572" max="13572" width="7.75" style="290" customWidth="1"/>
    <col min="13573" max="13573" width="6" style="290" customWidth="1"/>
    <col min="13574" max="13574" width="9" style="290" customWidth="1"/>
    <col min="13575" max="13575" width="10" style="290" customWidth="1"/>
    <col min="13576" max="13576" width="18.125" style="290" customWidth="1"/>
    <col min="13577" max="13821" width="7.875" style="290"/>
    <col min="13822" max="13822" width="3.5" style="290" customWidth="1"/>
    <col min="13823" max="13823" width="6.25" style="290" customWidth="1"/>
    <col min="13824" max="13824" width="5.75" style="290" customWidth="1"/>
    <col min="13825" max="13825" width="7" style="290" customWidth="1"/>
    <col min="13826" max="13826" width="15.125" style="290" customWidth="1"/>
    <col min="13827" max="13827" width="13.125" style="290" customWidth="1"/>
    <col min="13828" max="13828" width="7.75" style="290" customWidth="1"/>
    <col min="13829" max="13829" width="6" style="290" customWidth="1"/>
    <col min="13830" max="13830" width="9" style="290" customWidth="1"/>
    <col min="13831" max="13831" width="10" style="290" customWidth="1"/>
    <col min="13832" max="13832" width="18.125" style="290" customWidth="1"/>
    <col min="13833" max="14077" width="7.875" style="290"/>
    <col min="14078" max="14078" width="3.5" style="290" customWidth="1"/>
    <col min="14079" max="14079" width="6.25" style="290" customWidth="1"/>
    <col min="14080" max="14080" width="5.75" style="290" customWidth="1"/>
    <col min="14081" max="14081" width="7" style="290" customWidth="1"/>
    <col min="14082" max="14082" width="15.125" style="290" customWidth="1"/>
    <col min="14083" max="14083" width="13.125" style="290" customWidth="1"/>
    <col min="14084" max="14084" width="7.75" style="290" customWidth="1"/>
    <col min="14085" max="14085" width="6" style="290" customWidth="1"/>
    <col min="14086" max="14086" width="9" style="290" customWidth="1"/>
    <col min="14087" max="14087" width="10" style="290" customWidth="1"/>
    <col min="14088" max="14088" width="18.125" style="290" customWidth="1"/>
    <col min="14089" max="14333" width="7.875" style="290"/>
    <col min="14334" max="14334" width="3.5" style="290" customWidth="1"/>
    <col min="14335" max="14335" width="6.25" style="290" customWidth="1"/>
    <col min="14336" max="14336" width="5.75" style="290" customWidth="1"/>
    <col min="14337" max="14337" width="7" style="290" customWidth="1"/>
    <col min="14338" max="14338" width="15.125" style="290" customWidth="1"/>
    <col min="14339" max="14339" width="13.125" style="290" customWidth="1"/>
    <col min="14340" max="14340" width="7.75" style="290" customWidth="1"/>
    <col min="14341" max="14341" width="6" style="290" customWidth="1"/>
    <col min="14342" max="14342" width="9" style="290" customWidth="1"/>
    <col min="14343" max="14343" width="10" style="290" customWidth="1"/>
    <col min="14344" max="14344" width="18.125" style="290" customWidth="1"/>
    <col min="14345" max="14589" width="7.875" style="290"/>
    <col min="14590" max="14590" width="3.5" style="290" customWidth="1"/>
    <col min="14591" max="14591" width="6.25" style="290" customWidth="1"/>
    <col min="14592" max="14592" width="5.75" style="290" customWidth="1"/>
    <col min="14593" max="14593" width="7" style="290" customWidth="1"/>
    <col min="14594" max="14594" width="15.125" style="290" customWidth="1"/>
    <col min="14595" max="14595" width="13.125" style="290" customWidth="1"/>
    <col min="14596" max="14596" width="7.75" style="290" customWidth="1"/>
    <col min="14597" max="14597" width="6" style="290" customWidth="1"/>
    <col min="14598" max="14598" width="9" style="290" customWidth="1"/>
    <col min="14599" max="14599" width="10" style="290" customWidth="1"/>
    <col min="14600" max="14600" width="18.125" style="290" customWidth="1"/>
    <col min="14601" max="14845" width="7.875" style="290"/>
    <col min="14846" max="14846" width="3.5" style="290" customWidth="1"/>
    <col min="14847" max="14847" width="6.25" style="290" customWidth="1"/>
    <col min="14848" max="14848" width="5.75" style="290" customWidth="1"/>
    <col min="14849" max="14849" width="7" style="290" customWidth="1"/>
    <col min="14850" max="14850" width="15.125" style="290" customWidth="1"/>
    <col min="14851" max="14851" width="13.125" style="290" customWidth="1"/>
    <col min="14852" max="14852" width="7.75" style="290" customWidth="1"/>
    <col min="14853" max="14853" width="6" style="290" customWidth="1"/>
    <col min="14854" max="14854" width="9" style="290" customWidth="1"/>
    <col min="14855" max="14855" width="10" style="290" customWidth="1"/>
    <col min="14856" max="14856" width="18.125" style="290" customWidth="1"/>
    <col min="14857" max="15101" width="7.875" style="290"/>
    <col min="15102" max="15102" width="3.5" style="290" customWidth="1"/>
    <col min="15103" max="15103" width="6.25" style="290" customWidth="1"/>
    <col min="15104" max="15104" width="5.75" style="290" customWidth="1"/>
    <col min="15105" max="15105" width="7" style="290" customWidth="1"/>
    <col min="15106" max="15106" width="15.125" style="290" customWidth="1"/>
    <col min="15107" max="15107" width="13.125" style="290" customWidth="1"/>
    <col min="15108" max="15108" width="7.75" style="290" customWidth="1"/>
    <col min="15109" max="15109" width="6" style="290" customWidth="1"/>
    <col min="15110" max="15110" width="9" style="290" customWidth="1"/>
    <col min="15111" max="15111" width="10" style="290" customWidth="1"/>
    <col min="15112" max="15112" width="18.125" style="290" customWidth="1"/>
    <col min="15113" max="15357" width="7.875" style="290"/>
    <col min="15358" max="15358" width="3.5" style="290" customWidth="1"/>
    <col min="15359" max="15359" width="6.25" style="290" customWidth="1"/>
    <col min="15360" max="15360" width="5.75" style="290" customWidth="1"/>
    <col min="15361" max="15361" width="7" style="290" customWidth="1"/>
    <col min="15362" max="15362" width="15.125" style="290" customWidth="1"/>
    <col min="15363" max="15363" width="13.125" style="290" customWidth="1"/>
    <col min="15364" max="15364" width="7.75" style="290" customWidth="1"/>
    <col min="15365" max="15365" width="6" style="290" customWidth="1"/>
    <col min="15366" max="15366" width="9" style="290" customWidth="1"/>
    <col min="15367" max="15367" width="10" style="290" customWidth="1"/>
    <col min="15368" max="15368" width="18.125" style="290" customWidth="1"/>
    <col min="15369" max="15613" width="7.875" style="290"/>
    <col min="15614" max="15614" width="3.5" style="290" customWidth="1"/>
    <col min="15615" max="15615" width="6.25" style="290" customWidth="1"/>
    <col min="15616" max="15616" width="5.75" style="290" customWidth="1"/>
    <col min="15617" max="15617" width="7" style="290" customWidth="1"/>
    <col min="15618" max="15618" width="15.125" style="290" customWidth="1"/>
    <col min="15619" max="15619" width="13.125" style="290" customWidth="1"/>
    <col min="15620" max="15620" width="7.75" style="290" customWidth="1"/>
    <col min="15621" max="15621" width="6" style="290" customWidth="1"/>
    <col min="15622" max="15622" width="9" style="290" customWidth="1"/>
    <col min="15623" max="15623" width="10" style="290" customWidth="1"/>
    <col min="15624" max="15624" width="18.125" style="290" customWidth="1"/>
    <col min="15625" max="15869" width="7.875" style="290"/>
    <col min="15870" max="15870" width="3.5" style="290" customWidth="1"/>
    <col min="15871" max="15871" width="6.25" style="290" customWidth="1"/>
    <col min="15872" max="15872" width="5.75" style="290" customWidth="1"/>
    <col min="15873" max="15873" width="7" style="290" customWidth="1"/>
    <col min="15874" max="15874" width="15.125" style="290" customWidth="1"/>
    <col min="15875" max="15875" width="13.125" style="290" customWidth="1"/>
    <col min="15876" max="15876" width="7.75" style="290" customWidth="1"/>
    <col min="15877" max="15877" width="6" style="290" customWidth="1"/>
    <col min="15878" max="15878" width="9" style="290" customWidth="1"/>
    <col min="15879" max="15879" width="10" style="290" customWidth="1"/>
    <col min="15880" max="15880" width="18.125" style="290" customWidth="1"/>
    <col min="15881" max="16125" width="7.875" style="290"/>
    <col min="16126" max="16126" width="3.5" style="290" customWidth="1"/>
    <col min="16127" max="16127" width="6.25" style="290" customWidth="1"/>
    <col min="16128" max="16128" width="5.75" style="290" customWidth="1"/>
    <col min="16129" max="16129" width="7" style="290" customWidth="1"/>
    <col min="16130" max="16130" width="15.125" style="290" customWidth="1"/>
    <col min="16131" max="16131" width="13.125" style="290" customWidth="1"/>
    <col min="16132" max="16132" width="7.75" style="290" customWidth="1"/>
    <col min="16133" max="16133" width="6" style="290" customWidth="1"/>
    <col min="16134" max="16134" width="9" style="290" customWidth="1"/>
    <col min="16135" max="16135" width="10" style="290" customWidth="1"/>
    <col min="16136" max="16136" width="18.125" style="290" customWidth="1"/>
    <col min="16137" max="16384" width="7.875" style="290"/>
  </cols>
  <sheetData>
    <row r="1" spans="1:12 1261:1261" ht="30" customHeight="1">
      <c r="A1" s="548" t="s">
        <v>1378</v>
      </c>
      <c r="B1" s="549"/>
      <c r="C1" s="549"/>
      <c r="D1" s="549"/>
      <c r="E1" s="549"/>
      <c r="F1" s="549"/>
      <c r="G1" s="550"/>
      <c r="H1" s="550"/>
      <c r="I1" s="550"/>
      <c r="J1" s="550"/>
      <c r="K1" s="551"/>
    </row>
    <row r="2" spans="1:12 1261:1261" s="295" customFormat="1" ht="24.95" customHeight="1">
      <c r="A2" s="291" t="s">
        <v>12</v>
      </c>
      <c r="B2" s="291" t="s">
        <v>1040</v>
      </c>
      <c r="C2" s="291" t="s">
        <v>1041</v>
      </c>
      <c r="D2" s="291" t="s">
        <v>1042</v>
      </c>
      <c r="E2" s="291" t="s">
        <v>1043</v>
      </c>
      <c r="F2" s="291" t="s">
        <v>1044</v>
      </c>
      <c r="G2" s="291" t="s">
        <v>1</v>
      </c>
      <c r="H2" s="293" t="s">
        <v>1045</v>
      </c>
      <c r="I2" s="293" t="s">
        <v>1275</v>
      </c>
      <c r="J2" s="294" t="s">
        <v>1276</v>
      </c>
      <c r="K2" s="291" t="s">
        <v>1416</v>
      </c>
    </row>
    <row r="3" spans="1:12 1261:1261" ht="24.95" customHeight="1">
      <c r="A3" s="529">
        <v>1</v>
      </c>
      <c r="B3" s="529" t="s">
        <v>307</v>
      </c>
      <c r="C3" s="529" t="s">
        <v>1379</v>
      </c>
      <c r="D3" s="552" t="s">
        <v>1078</v>
      </c>
      <c r="E3" s="529" t="s">
        <v>1334</v>
      </c>
      <c r="F3" s="296" t="s">
        <v>1380</v>
      </c>
      <c r="G3" s="297" t="s">
        <v>1281</v>
      </c>
      <c r="H3" s="308">
        <v>2261</v>
      </c>
      <c r="I3" s="322">
        <v>251</v>
      </c>
      <c r="J3" s="323">
        <v>567511</v>
      </c>
      <c r="K3" s="553">
        <f>ROUND(J9*0.8,0)</f>
        <v>1272348</v>
      </c>
      <c r="L3" s="299"/>
    </row>
    <row r="4" spans="1:12 1261:1261" ht="24.95" customHeight="1">
      <c r="A4" s="529"/>
      <c r="B4" s="529"/>
      <c r="C4" s="529"/>
      <c r="D4" s="552"/>
      <c r="E4" s="529"/>
      <c r="F4" s="296" t="s">
        <v>1381</v>
      </c>
      <c r="G4" s="297" t="s">
        <v>1281</v>
      </c>
      <c r="H4" s="308">
        <v>3672.17</v>
      </c>
      <c r="I4" s="322">
        <v>220</v>
      </c>
      <c r="J4" s="323">
        <v>807877.4</v>
      </c>
      <c r="K4" s="570"/>
    </row>
    <row r="5" spans="1:12 1261:1261" ht="24.95" customHeight="1">
      <c r="A5" s="529"/>
      <c r="B5" s="529"/>
      <c r="C5" s="529"/>
      <c r="D5" s="552"/>
      <c r="E5" s="305" t="s">
        <v>1060</v>
      </c>
      <c r="F5" s="296"/>
      <c r="G5" s="297"/>
      <c r="H5" s="308"/>
      <c r="I5" s="322"/>
      <c r="J5" s="294">
        <v>1375388.4</v>
      </c>
      <c r="K5" s="570"/>
    </row>
    <row r="6" spans="1:12 1261:1261" ht="24.95" customHeight="1">
      <c r="A6" s="529"/>
      <c r="B6" s="529"/>
      <c r="C6" s="529"/>
      <c r="D6" s="552"/>
      <c r="E6" s="305" t="s">
        <v>1105</v>
      </c>
      <c r="F6" s="296"/>
      <c r="G6" s="297"/>
      <c r="H6" s="308"/>
      <c r="I6" s="322"/>
      <c r="J6" s="324">
        <v>165046.60800000001</v>
      </c>
      <c r="K6" s="570"/>
    </row>
    <row r="7" spans="1:12 1261:1261" ht="24.95" customHeight="1">
      <c r="A7" s="529"/>
      <c r="B7" s="529"/>
      <c r="C7" s="529"/>
      <c r="D7" s="552"/>
      <c r="E7" s="296" t="s">
        <v>1382</v>
      </c>
      <c r="F7" s="296"/>
      <c r="G7" s="297" t="s">
        <v>1095</v>
      </c>
      <c r="H7" s="297">
        <v>1</v>
      </c>
      <c r="I7" s="297">
        <v>30000</v>
      </c>
      <c r="J7" s="323">
        <v>30000</v>
      </c>
      <c r="K7" s="570"/>
    </row>
    <row r="8" spans="1:12 1261:1261" ht="24.95" customHeight="1">
      <c r="A8" s="529"/>
      <c r="B8" s="529"/>
      <c r="C8" s="529"/>
      <c r="D8" s="552"/>
      <c r="E8" s="307" t="s">
        <v>1383</v>
      </c>
      <c r="F8" s="296"/>
      <c r="G8" s="297" t="s">
        <v>1095</v>
      </c>
      <c r="H8" s="297">
        <v>1</v>
      </c>
      <c r="I8" s="297">
        <v>20000</v>
      </c>
      <c r="J8" s="323">
        <v>20000</v>
      </c>
      <c r="K8" s="570"/>
    </row>
    <row r="9" spans="1:12 1261:1261" ht="24.95" customHeight="1">
      <c r="A9" s="529"/>
      <c r="B9" s="529"/>
      <c r="C9" s="529"/>
      <c r="D9" s="552"/>
      <c r="E9" s="305" t="s">
        <v>1062</v>
      </c>
      <c r="F9" s="296"/>
      <c r="G9" s="297"/>
      <c r="H9" s="308"/>
      <c r="I9" s="322"/>
      <c r="J9" s="294">
        <v>1590435.0079999999</v>
      </c>
      <c r="K9" s="570"/>
      <c r="L9" s="299"/>
    </row>
    <row r="10" spans="1:12 1261:1261" ht="24.95" customHeight="1">
      <c r="A10" s="545">
        <v>2</v>
      </c>
      <c r="B10" s="545" t="s">
        <v>369</v>
      </c>
      <c r="C10" s="545" t="s">
        <v>1384</v>
      </c>
      <c r="D10" s="545" t="s">
        <v>1050</v>
      </c>
      <c r="E10" s="545" t="s">
        <v>1385</v>
      </c>
      <c r="F10" s="296" t="s">
        <v>1386</v>
      </c>
      <c r="G10" s="296" t="s">
        <v>1281</v>
      </c>
      <c r="H10" s="308">
        <v>317.95499999999998</v>
      </c>
      <c r="I10" s="322">
        <v>26</v>
      </c>
      <c r="J10" s="323">
        <v>8266.83</v>
      </c>
      <c r="K10" s="553">
        <f>ROUND(J29*0.8,0)</f>
        <v>1048207</v>
      </c>
      <c r="AVM10" s="290"/>
    </row>
    <row r="11" spans="1:12 1261:1261" ht="24.95" customHeight="1">
      <c r="A11" s="546"/>
      <c r="B11" s="546"/>
      <c r="C11" s="546"/>
      <c r="D11" s="546"/>
      <c r="E11" s="546"/>
      <c r="F11" s="296" t="s">
        <v>1387</v>
      </c>
      <c r="G11" s="296" t="s">
        <v>1281</v>
      </c>
      <c r="H11" s="308">
        <v>317.95499999999998</v>
      </c>
      <c r="I11" s="322">
        <v>50</v>
      </c>
      <c r="J11" s="323">
        <v>15897.75</v>
      </c>
      <c r="K11" s="553"/>
      <c r="AVM11" s="290"/>
    </row>
    <row r="12" spans="1:12 1261:1261" ht="24.95" customHeight="1">
      <c r="A12" s="546"/>
      <c r="B12" s="546"/>
      <c r="C12" s="546"/>
      <c r="D12" s="546"/>
      <c r="E12" s="546"/>
      <c r="F12" s="296" t="s">
        <v>1388</v>
      </c>
      <c r="G12" s="296" t="s">
        <v>1281</v>
      </c>
      <c r="H12" s="308">
        <v>317.95499999999998</v>
      </c>
      <c r="I12" s="322">
        <v>137.95374807987699</v>
      </c>
      <c r="J12" s="323">
        <v>43863.083970737302</v>
      </c>
      <c r="K12" s="553"/>
      <c r="AVM12" s="290"/>
    </row>
    <row r="13" spans="1:12 1261:1261" ht="24.95" customHeight="1">
      <c r="A13" s="546"/>
      <c r="B13" s="546"/>
      <c r="C13" s="546"/>
      <c r="D13" s="546"/>
      <c r="E13" s="547"/>
      <c r="F13" s="296" t="s">
        <v>1389</v>
      </c>
      <c r="G13" s="296" t="s">
        <v>1095</v>
      </c>
      <c r="H13" s="308">
        <v>1</v>
      </c>
      <c r="I13" s="322">
        <v>4784.25</v>
      </c>
      <c r="J13" s="323">
        <v>4784.25</v>
      </c>
      <c r="K13" s="553"/>
      <c r="AVM13" s="290"/>
    </row>
    <row r="14" spans="1:12 1261:1261" ht="24.95" customHeight="1">
      <c r="A14" s="546"/>
      <c r="B14" s="546"/>
      <c r="C14" s="546"/>
      <c r="D14" s="546"/>
      <c r="E14" s="566" t="s">
        <v>1390</v>
      </c>
      <c r="F14" s="296" t="s">
        <v>1391</v>
      </c>
      <c r="G14" s="296" t="s">
        <v>1281</v>
      </c>
      <c r="H14" s="308">
        <v>700.7</v>
      </c>
      <c r="I14" s="322">
        <v>51</v>
      </c>
      <c r="J14" s="323">
        <v>35735.699999999997</v>
      </c>
      <c r="K14" s="553"/>
      <c r="AVM14" s="290"/>
    </row>
    <row r="15" spans="1:12 1261:1261" ht="24.95" customHeight="1">
      <c r="A15" s="546"/>
      <c r="B15" s="546"/>
      <c r="C15" s="546"/>
      <c r="D15" s="546"/>
      <c r="E15" s="566"/>
      <c r="F15" s="296" t="s">
        <v>1392</v>
      </c>
      <c r="G15" s="296" t="str">
        <f>G14</f>
        <v>平方米</v>
      </c>
      <c r="H15" s="308">
        <v>637</v>
      </c>
      <c r="I15" s="322">
        <v>199.5</v>
      </c>
      <c r="J15" s="323">
        <v>127081.5</v>
      </c>
      <c r="K15" s="553"/>
      <c r="AVM15" s="290"/>
    </row>
    <row r="16" spans="1:12 1261:1261" ht="24.95" customHeight="1">
      <c r="A16" s="546"/>
      <c r="B16" s="546"/>
      <c r="C16" s="546"/>
      <c r="D16" s="546"/>
      <c r="E16" s="566"/>
      <c r="F16" s="296" t="s">
        <v>1393</v>
      </c>
      <c r="G16" s="296" t="s">
        <v>1302</v>
      </c>
      <c r="H16" s="308">
        <v>41.3</v>
      </c>
      <c r="I16" s="322">
        <v>120</v>
      </c>
      <c r="J16" s="323">
        <v>4956</v>
      </c>
      <c r="K16" s="553"/>
      <c r="AVM16" s="290"/>
    </row>
    <row r="17" spans="1:11 1261:1261" ht="24.95" customHeight="1">
      <c r="A17" s="546"/>
      <c r="B17" s="546"/>
      <c r="C17" s="546"/>
      <c r="D17" s="546"/>
      <c r="E17" s="566"/>
      <c r="F17" s="296" t="s">
        <v>1394</v>
      </c>
      <c r="G17" s="296" t="s">
        <v>1395</v>
      </c>
      <c r="H17" s="308">
        <v>25</v>
      </c>
      <c r="I17" s="322">
        <v>350</v>
      </c>
      <c r="J17" s="323">
        <v>8750</v>
      </c>
      <c r="K17" s="553"/>
      <c r="AVM17" s="290"/>
    </row>
    <row r="18" spans="1:11 1261:1261" ht="24.95" customHeight="1">
      <c r="A18" s="546"/>
      <c r="B18" s="546"/>
      <c r="C18" s="546"/>
      <c r="D18" s="546"/>
      <c r="E18" s="567" t="s">
        <v>1396</v>
      </c>
      <c r="F18" s="529" t="s">
        <v>1397</v>
      </c>
      <c r="G18" s="529" t="s">
        <v>1281</v>
      </c>
      <c r="H18" s="297">
        <v>1549</v>
      </c>
      <c r="I18" s="322">
        <v>50</v>
      </c>
      <c r="J18" s="323">
        <v>77450</v>
      </c>
      <c r="K18" s="553"/>
      <c r="AVM18" s="290"/>
    </row>
    <row r="19" spans="1:11 1261:1261" ht="24.95" customHeight="1">
      <c r="A19" s="546"/>
      <c r="B19" s="546"/>
      <c r="C19" s="546"/>
      <c r="D19" s="546"/>
      <c r="E19" s="568"/>
      <c r="F19" s="529"/>
      <c r="G19" s="529"/>
      <c r="H19" s="297">
        <v>144</v>
      </c>
      <c r="I19" s="322">
        <v>54</v>
      </c>
      <c r="J19" s="323">
        <v>7776</v>
      </c>
      <c r="K19" s="553"/>
      <c r="AVM19" s="290"/>
    </row>
    <row r="20" spans="1:11 1261:1261" ht="24.95" customHeight="1">
      <c r="A20" s="546"/>
      <c r="B20" s="546"/>
      <c r="C20" s="546"/>
      <c r="D20" s="546"/>
      <c r="E20" s="568"/>
      <c r="F20" s="529"/>
      <c r="G20" s="529"/>
      <c r="H20" s="297">
        <v>290</v>
      </c>
      <c r="I20" s="322">
        <v>30</v>
      </c>
      <c r="J20" s="323">
        <v>8700</v>
      </c>
      <c r="K20" s="553"/>
      <c r="AVM20" s="290"/>
    </row>
    <row r="21" spans="1:11 1261:1261" ht="24.95" customHeight="1">
      <c r="A21" s="546">
        <v>2</v>
      </c>
      <c r="B21" s="546" t="s">
        <v>369</v>
      </c>
      <c r="C21" s="546" t="s">
        <v>1384</v>
      </c>
      <c r="D21" s="546" t="s">
        <v>1050</v>
      </c>
      <c r="E21" s="568"/>
      <c r="F21" s="296" t="s">
        <v>1398</v>
      </c>
      <c r="G21" s="296" t="str">
        <f>G18</f>
        <v>平方米</v>
      </c>
      <c r="H21" s="297">
        <v>1983</v>
      </c>
      <c r="I21" s="322">
        <v>360</v>
      </c>
      <c r="J21" s="323">
        <v>713880</v>
      </c>
      <c r="K21" s="553"/>
      <c r="AVM21" s="290"/>
    </row>
    <row r="22" spans="1:11 1261:1261" ht="24.95" customHeight="1">
      <c r="A22" s="546"/>
      <c r="B22" s="546"/>
      <c r="C22" s="546"/>
      <c r="D22" s="546"/>
      <c r="E22" s="568"/>
      <c r="F22" s="296" t="s">
        <v>1399</v>
      </c>
      <c r="G22" s="296" t="str">
        <f>G21</f>
        <v>平方米</v>
      </c>
      <c r="H22" s="297">
        <v>1983</v>
      </c>
      <c r="I22" s="322">
        <v>10</v>
      </c>
      <c r="J22" s="323">
        <v>19830</v>
      </c>
      <c r="K22" s="553"/>
      <c r="AVM22" s="290"/>
    </row>
    <row r="23" spans="1:11 1261:1261" ht="24.95" customHeight="1">
      <c r="A23" s="546"/>
      <c r="B23" s="546"/>
      <c r="C23" s="546"/>
      <c r="D23" s="546"/>
      <c r="E23" s="568"/>
      <c r="F23" s="296" t="s">
        <v>1393</v>
      </c>
      <c r="G23" s="296" t="s">
        <v>1302</v>
      </c>
      <c r="H23" s="308">
        <v>511.1</v>
      </c>
      <c r="I23" s="322">
        <v>120</v>
      </c>
      <c r="J23" s="323">
        <v>61332</v>
      </c>
      <c r="K23" s="553"/>
      <c r="AVM23" s="290"/>
    </row>
    <row r="24" spans="1:11 1261:1261" ht="24.95" customHeight="1">
      <c r="A24" s="546"/>
      <c r="B24" s="546"/>
      <c r="C24" s="546"/>
      <c r="D24" s="546"/>
      <c r="E24" s="569"/>
      <c r="F24" s="296" t="s">
        <v>1394</v>
      </c>
      <c r="G24" s="296" t="s">
        <v>1395</v>
      </c>
      <c r="H24" s="308">
        <v>45</v>
      </c>
      <c r="I24" s="322">
        <v>350</v>
      </c>
      <c r="J24" s="323">
        <v>15750</v>
      </c>
      <c r="K24" s="553"/>
      <c r="AVM24" s="290"/>
    </row>
    <row r="25" spans="1:11 1261:1261" ht="24.95" customHeight="1">
      <c r="A25" s="546"/>
      <c r="B25" s="546"/>
      <c r="C25" s="546"/>
      <c r="D25" s="546"/>
      <c r="E25" s="305" t="s">
        <v>1060</v>
      </c>
      <c r="F25" s="296"/>
      <c r="G25" s="297"/>
      <c r="H25" s="308"/>
      <c r="I25" s="322"/>
      <c r="J25" s="294">
        <v>1154053.11397074</v>
      </c>
      <c r="K25" s="553"/>
      <c r="AVM25" s="290"/>
    </row>
    <row r="26" spans="1:11 1261:1261" ht="24.95" customHeight="1">
      <c r="A26" s="546"/>
      <c r="B26" s="546"/>
      <c r="C26" s="546"/>
      <c r="D26" s="546"/>
      <c r="E26" s="305" t="s">
        <v>1105</v>
      </c>
      <c r="F26" s="296"/>
      <c r="G26" s="297"/>
      <c r="H26" s="308"/>
      <c r="I26" s="322"/>
      <c r="J26" s="324">
        <v>115405.31139707399</v>
      </c>
      <c r="K26" s="553"/>
      <c r="AVM26" s="290"/>
    </row>
    <row r="27" spans="1:11 1261:1261" ht="24.95" customHeight="1">
      <c r="A27" s="546"/>
      <c r="B27" s="546"/>
      <c r="C27" s="546"/>
      <c r="D27" s="546"/>
      <c r="E27" s="307" t="s">
        <v>1303</v>
      </c>
      <c r="F27" s="296"/>
      <c r="G27" s="297" t="s">
        <v>1082</v>
      </c>
      <c r="H27" s="308">
        <v>6</v>
      </c>
      <c r="I27" s="322">
        <v>1800</v>
      </c>
      <c r="J27" s="323">
        <v>10800</v>
      </c>
      <c r="K27" s="553"/>
      <c r="AVM27" s="290"/>
    </row>
    <row r="28" spans="1:11 1261:1261" ht="24.95" customHeight="1">
      <c r="A28" s="546"/>
      <c r="B28" s="546"/>
      <c r="C28" s="546"/>
      <c r="D28" s="546"/>
      <c r="E28" s="307" t="s">
        <v>1318</v>
      </c>
      <c r="F28" s="296"/>
      <c r="G28" s="297" t="s">
        <v>1095</v>
      </c>
      <c r="H28" s="308">
        <v>1</v>
      </c>
      <c r="I28" s="322">
        <v>30000</v>
      </c>
      <c r="J28" s="323">
        <v>30000</v>
      </c>
      <c r="K28" s="553"/>
      <c r="AVM28" s="290"/>
    </row>
    <row r="29" spans="1:11 1261:1261" ht="24.95" customHeight="1">
      <c r="A29" s="547"/>
      <c r="B29" s="547"/>
      <c r="C29" s="547"/>
      <c r="D29" s="547"/>
      <c r="E29" s="305" t="s">
        <v>1062</v>
      </c>
      <c r="F29" s="296"/>
      <c r="G29" s="297"/>
      <c r="H29" s="308"/>
      <c r="I29" s="322"/>
      <c r="J29" s="294">
        <v>1310258.4253678101</v>
      </c>
      <c r="K29" s="553"/>
      <c r="AVM29" s="290"/>
    </row>
    <row r="30" spans="1:11 1261:1261" ht="24.95" customHeight="1">
      <c r="A30" s="529">
        <v>3</v>
      </c>
      <c r="B30" s="529" t="s">
        <v>1400</v>
      </c>
      <c r="C30" s="529" t="s">
        <v>1401</v>
      </c>
      <c r="D30" s="552" t="s">
        <v>1078</v>
      </c>
      <c r="E30" s="296" t="s">
        <v>1334</v>
      </c>
      <c r="F30" s="296" t="s">
        <v>1402</v>
      </c>
      <c r="G30" s="297" t="s">
        <v>1281</v>
      </c>
      <c r="H30" s="308">
        <v>682</v>
      </c>
      <c r="I30" s="322">
        <v>319</v>
      </c>
      <c r="J30" s="323">
        <v>217558</v>
      </c>
      <c r="K30" s="553">
        <f>ROUND(J34*0.8,0)</f>
        <v>218932</v>
      </c>
      <c r="AVM30" s="290"/>
    </row>
    <row r="31" spans="1:11 1261:1261" ht="24.95" customHeight="1">
      <c r="A31" s="529"/>
      <c r="B31" s="529"/>
      <c r="C31" s="529"/>
      <c r="D31" s="552"/>
      <c r="E31" s="305" t="s">
        <v>1060</v>
      </c>
      <c r="F31" s="296"/>
      <c r="G31" s="297"/>
      <c r="H31" s="308"/>
      <c r="I31" s="322"/>
      <c r="J31" s="294">
        <v>217558</v>
      </c>
      <c r="K31" s="570"/>
      <c r="AVM31" s="290"/>
    </row>
    <row r="32" spans="1:11 1261:1261" ht="24.95" customHeight="1">
      <c r="A32" s="529"/>
      <c r="B32" s="529"/>
      <c r="C32" s="529"/>
      <c r="D32" s="552"/>
      <c r="E32" s="305" t="s">
        <v>1105</v>
      </c>
      <c r="F32" s="296"/>
      <c r="G32" s="297"/>
      <c r="H32" s="308"/>
      <c r="I32" s="322"/>
      <c r="J32" s="294">
        <v>26106.959999999999</v>
      </c>
      <c r="K32" s="570"/>
      <c r="AVM32" s="290"/>
    </row>
    <row r="33" spans="1:12 1261:1261" ht="24.95" customHeight="1">
      <c r="A33" s="529"/>
      <c r="B33" s="529"/>
      <c r="C33" s="529"/>
      <c r="D33" s="552"/>
      <c r="E33" s="307" t="s">
        <v>1318</v>
      </c>
      <c r="F33" s="296"/>
      <c r="G33" s="297" t="s">
        <v>1095</v>
      </c>
      <c r="H33" s="308">
        <v>1</v>
      </c>
      <c r="I33" s="297">
        <v>30000</v>
      </c>
      <c r="J33" s="325">
        <v>30000</v>
      </c>
      <c r="K33" s="570"/>
      <c r="AVM33" s="290"/>
    </row>
    <row r="34" spans="1:12 1261:1261" ht="24.95" customHeight="1">
      <c r="A34" s="529"/>
      <c r="B34" s="529"/>
      <c r="C34" s="529"/>
      <c r="D34" s="552"/>
      <c r="E34" s="305" t="s">
        <v>1062</v>
      </c>
      <c r="F34" s="296"/>
      <c r="G34" s="297"/>
      <c r="H34" s="308"/>
      <c r="I34" s="322"/>
      <c r="J34" s="294">
        <v>273664.96000000002</v>
      </c>
      <c r="K34" s="570"/>
      <c r="L34" s="299"/>
      <c r="AVM34" s="290"/>
    </row>
    <row r="35" spans="1:12 1261:1261" ht="24.95" customHeight="1">
      <c r="A35" s="529">
        <v>4</v>
      </c>
      <c r="B35" s="529" t="s">
        <v>1403</v>
      </c>
      <c r="C35" s="529" t="s">
        <v>1404</v>
      </c>
      <c r="D35" s="552" t="s">
        <v>1078</v>
      </c>
      <c r="E35" s="529" t="s">
        <v>1336</v>
      </c>
      <c r="F35" s="296" t="s">
        <v>1405</v>
      </c>
      <c r="G35" s="297" t="s">
        <v>1053</v>
      </c>
      <c r="H35" s="308">
        <v>701.03039999999999</v>
      </c>
      <c r="I35" s="322">
        <v>25</v>
      </c>
      <c r="J35" s="323">
        <v>17525.759999999998</v>
      </c>
      <c r="K35" s="553">
        <f>ROUND(J52*0.8,0)</f>
        <v>258223</v>
      </c>
      <c r="AVM35" s="290"/>
    </row>
    <row r="36" spans="1:12 1261:1261" ht="24.95" customHeight="1">
      <c r="A36" s="529"/>
      <c r="B36" s="529"/>
      <c r="C36" s="529"/>
      <c r="D36" s="552"/>
      <c r="E36" s="529"/>
      <c r="F36" s="296" t="s">
        <v>1406</v>
      </c>
      <c r="G36" s="297" t="s">
        <v>1053</v>
      </c>
      <c r="H36" s="308">
        <v>701.03039999999999</v>
      </c>
      <c r="I36" s="322">
        <v>63</v>
      </c>
      <c r="J36" s="323">
        <v>44164.915200000003</v>
      </c>
      <c r="K36" s="570"/>
      <c r="AVM36" s="290"/>
    </row>
    <row r="37" spans="1:12 1261:1261" ht="24.95" customHeight="1">
      <c r="A37" s="529"/>
      <c r="B37" s="529"/>
      <c r="C37" s="529"/>
      <c r="D37" s="552"/>
      <c r="E37" s="545" t="s">
        <v>1336</v>
      </c>
      <c r="F37" s="545" t="s">
        <v>1407</v>
      </c>
      <c r="G37" s="297" t="s">
        <v>1053</v>
      </c>
      <c r="H37" s="308">
        <v>92.57</v>
      </c>
      <c r="I37" s="322">
        <v>150</v>
      </c>
      <c r="J37" s="323">
        <v>13885.5</v>
      </c>
      <c r="K37" s="570"/>
      <c r="AVM37" s="290"/>
    </row>
    <row r="38" spans="1:12 1261:1261" ht="24.95" customHeight="1">
      <c r="A38" s="529"/>
      <c r="B38" s="529"/>
      <c r="C38" s="529"/>
      <c r="D38" s="552"/>
      <c r="E38" s="546"/>
      <c r="F38" s="546"/>
      <c r="G38" s="297" t="s">
        <v>1067</v>
      </c>
      <c r="H38" s="308">
        <v>10</v>
      </c>
      <c r="I38" s="322">
        <v>120</v>
      </c>
      <c r="J38" s="323">
        <v>1200</v>
      </c>
      <c r="K38" s="570"/>
      <c r="AVM38" s="290"/>
    </row>
    <row r="39" spans="1:12 1261:1261" ht="24.95" customHeight="1">
      <c r="A39" s="529"/>
      <c r="B39" s="529"/>
      <c r="C39" s="529"/>
      <c r="D39" s="552"/>
      <c r="E39" s="546"/>
      <c r="F39" s="546"/>
      <c r="G39" s="297" t="s">
        <v>1408</v>
      </c>
      <c r="H39" s="308">
        <v>5</v>
      </c>
      <c r="I39" s="322">
        <v>239</v>
      </c>
      <c r="J39" s="323">
        <v>1195</v>
      </c>
      <c r="K39" s="570"/>
      <c r="AVM39" s="290"/>
    </row>
    <row r="40" spans="1:12 1261:1261" ht="24.95" customHeight="1">
      <c r="A40" s="529"/>
      <c r="B40" s="529"/>
      <c r="C40" s="529"/>
      <c r="D40" s="552"/>
      <c r="E40" s="546"/>
      <c r="F40" s="546"/>
      <c r="G40" s="297" t="s">
        <v>1177</v>
      </c>
      <c r="H40" s="308">
        <v>4</v>
      </c>
      <c r="I40" s="322">
        <v>202</v>
      </c>
      <c r="J40" s="323">
        <v>808</v>
      </c>
      <c r="K40" s="570"/>
      <c r="AVM40" s="290"/>
    </row>
    <row r="41" spans="1:12 1261:1261" ht="24.95" customHeight="1">
      <c r="A41" s="529"/>
      <c r="B41" s="529"/>
      <c r="C41" s="529"/>
      <c r="D41" s="552"/>
      <c r="E41" s="546"/>
      <c r="F41" s="546"/>
      <c r="G41" s="297" t="s">
        <v>1053</v>
      </c>
      <c r="H41" s="308">
        <v>92.57</v>
      </c>
      <c r="I41" s="322">
        <v>190</v>
      </c>
      <c r="J41" s="323">
        <v>17588.3</v>
      </c>
      <c r="K41" s="570"/>
      <c r="AVM41" s="290"/>
    </row>
    <row r="42" spans="1:12 1261:1261" ht="24.95" customHeight="1">
      <c r="A42" s="529"/>
      <c r="B42" s="529"/>
      <c r="C42" s="529"/>
      <c r="D42" s="552"/>
      <c r="E42" s="546"/>
      <c r="F42" s="546"/>
      <c r="G42" s="297" t="s">
        <v>1053</v>
      </c>
      <c r="H42" s="308">
        <v>244.72800000000001</v>
      </c>
      <c r="I42" s="322">
        <v>245</v>
      </c>
      <c r="J42" s="323">
        <v>59958.36</v>
      </c>
      <c r="K42" s="570"/>
      <c r="AVM42" s="290"/>
    </row>
    <row r="43" spans="1:12 1261:1261" ht="24.95" customHeight="1">
      <c r="A43" s="529"/>
      <c r="B43" s="529"/>
      <c r="C43" s="529"/>
      <c r="D43" s="552"/>
      <c r="E43" s="546"/>
      <c r="F43" s="546"/>
      <c r="G43" s="297" t="s">
        <v>1053</v>
      </c>
      <c r="H43" s="308">
        <v>92.57</v>
      </c>
      <c r="I43" s="322">
        <v>237</v>
      </c>
      <c r="J43" s="323">
        <v>21939.09</v>
      </c>
      <c r="K43" s="570"/>
      <c r="AVM43" s="290"/>
    </row>
    <row r="44" spans="1:12 1261:1261" ht="24.95" customHeight="1">
      <c r="A44" s="529"/>
      <c r="B44" s="529"/>
      <c r="C44" s="529"/>
      <c r="D44" s="552"/>
      <c r="E44" s="546"/>
      <c r="F44" s="546"/>
      <c r="G44" s="297" t="s">
        <v>1053</v>
      </c>
      <c r="H44" s="308">
        <v>92.57</v>
      </c>
      <c r="I44" s="322">
        <v>226</v>
      </c>
      <c r="J44" s="323">
        <v>20920.82</v>
      </c>
      <c r="K44" s="570"/>
      <c r="AVM44" s="290"/>
    </row>
    <row r="45" spans="1:12 1261:1261" ht="24.95" customHeight="1">
      <c r="A45" s="529"/>
      <c r="B45" s="529"/>
      <c r="C45" s="529"/>
      <c r="D45" s="552"/>
      <c r="E45" s="546"/>
      <c r="F45" s="546"/>
      <c r="G45" s="297" t="s">
        <v>1058</v>
      </c>
      <c r="H45" s="308">
        <v>10</v>
      </c>
      <c r="I45" s="322">
        <v>2500</v>
      </c>
      <c r="J45" s="323">
        <v>25000</v>
      </c>
      <c r="K45" s="570"/>
      <c r="AVM45" s="290"/>
    </row>
    <row r="46" spans="1:12 1261:1261" ht="24.95" customHeight="1">
      <c r="A46" s="529"/>
      <c r="B46" s="529"/>
      <c r="C46" s="529"/>
      <c r="D46" s="552"/>
      <c r="E46" s="546"/>
      <c r="F46" s="546"/>
      <c r="G46" s="297" t="s">
        <v>1095</v>
      </c>
      <c r="H46" s="308">
        <v>1</v>
      </c>
      <c r="I46" s="322">
        <v>1835</v>
      </c>
      <c r="J46" s="323">
        <v>1835</v>
      </c>
      <c r="K46" s="570"/>
      <c r="AVM46" s="290"/>
    </row>
    <row r="47" spans="1:12 1261:1261" ht="24.95" customHeight="1">
      <c r="A47" s="529"/>
      <c r="B47" s="529"/>
      <c r="C47" s="529"/>
      <c r="D47" s="552"/>
      <c r="E47" s="529" t="s">
        <v>1342</v>
      </c>
      <c r="F47" s="296" t="s">
        <v>1405</v>
      </c>
      <c r="G47" s="297" t="s">
        <v>1053</v>
      </c>
      <c r="H47" s="297">
        <v>670</v>
      </c>
      <c r="I47" s="322">
        <v>25</v>
      </c>
      <c r="J47" s="323">
        <v>16750</v>
      </c>
      <c r="K47" s="570"/>
      <c r="AVM47" s="290"/>
    </row>
    <row r="48" spans="1:12 1261:1261" ht="24.95" customHeight="1">
      <c r="A48" s="529"/>
      <c r="B48" s="529"/>
      <c r="C48" s="529"/>
      <c r="D48" s="552"/>
      <c r="E48" s="529"/>
      <c r="F48" s="296" t="s">
        <v>1409</v>
      </c>
      <c r="G48" s="297" t="s">
        <v>1053</v>
      </c>
      <c r="H48" s="297">
        <v>670</v>
      </c>
      <c r="I48" s="322">
        <v>63</v>
      </c>
      <c r="J48" s="323">
        <v>42210</v>
      </c>
      <c r="K48" s="570"/>
      <c r="AVM48" s="290"/>
    </row>
    <row r="49" spans="1:13 1261:1261" ht="24.95" customHeight="1">
      <c r="A49" s="529"/>
      <c r="B49" s="529"/>
      <c r="C49" s="529"/>
      <c r="D49" s="552"/>
      <c r="E49" s="305" t="s">
        <v>1410</v>
      </c>
      <c r="F49" s="296"/>
      <c r="G49" s="297"/>
      <c r="H49" s="308"/>
      <c r="I49" s="322"/>
      <c r="J49" s="294">
        <v>284980.7452</v>
      </c>
      <c r="K49" s="570"/>
      <c r="AVM49" s="290"/>
    </row>
    <row r="50" spans="1:13 1261:1261" ht="24.95" customHeight="1">
      <c r="A50" s="529"/>
      <c r="B50" s="529"/>
      <c r="C50" s="529"/>
      <c r="D50" s="552"/>
      <c r="E50" s="305" t="s">
        <v>1061</v>
      </c>
      <c r="F50" s="296"/>
      <c r="G50" s="297"/>
      <c r="H50" s="308"/>
      <c r="I50" s="322"/>
      <c r="J50" s="294">
        <v>34197.689423999997</v>
      </c>
      <c r="K50" s="570"/>
      <c r="AVM50" s="290"/>
    </row>
    <row r="51" spans="1:13 1261:1261" ht="24.95" customHeight="1">
      <c r="A51" s="529"/>
      <c r="B51" s="529"/>
      <c r="C51" s="529"/>
      <c r="D51" s="552"/>
      <c r="E51" s="296" t="s">
        <v>1081</v>
      </c>
      <c r="G51" s="297" t="s">
        <v>1082</v>
      </c>
      <c r="H51" s="308">
        <v>2</v>
      </c>
      <c r="I51" s="322">
        <v>1800</v>
      </c>
      <c r="J51" s="298">
        <v>3600</v>
      </c>
      <c r="K51" s="570"/>
      <c r="AVM51" s="290"/>
    </row>
    <row r="52" spans="1:13 1261:1261" ht="24.95" customHeight="1">
      <c r="A52" s="529"/>
      <c r="B52" s="529"/>
      <c r="C52" s="529"/>
      <c r="D52" s="552"/>
      <c r="E52" s="305" t="s">
        <v>1062</v>
      </c>
      <c r="F52" s="296"/>
      <c r="G52" s="297"/>
      <c r="H52" s="308"/>
      <c r="I52" s="322"/>
      <c r="J52" s="294">
        <v>322778.43462399999</v>
      </c>
      <c r="K52" s="570"/>
      <c r="L52" s="299"/>
      <c r="AVM52" s="290"/>
    </row>
    <row r="53" spans="1:13 1261:1261" s="295" customFormat="1" ht="24.95" customHeight="1">
      <c r="A53" s="529">
        <v>5</v>
      </c>
      <c r="B53" s="529" t="s">
        <v>1411</v>
      </c>
      <c r="C53" s="552" t="s">
        <v>1412</v>
      </c>
      <c r="D53" s="552" t="s">
        <v>1078</v>
      </c>
      <c r="E53" s="296" t="s">
        <v>1336</v>
      </c>
      <c r="F53" s="296" t="s">
        <v>1413</v>
      </c>
      <c r="G53" s="297" t="s">
        <v>1281</v>
      </c>
      <c r="H53" s="308">
        <v>240</v>
      </c>
      <c r="I53" s="297">
        <v>2500</v>
      </c>
      <c r="J53" s="323">
        <v>600000</v>
      </c>
      <c r="K53" s="553">
        <f>ROUND(J64*0.8,0)</f>
        <v>707154</v>
      </c>
    </row>
    <row r="54" spans="1:13 1261:1261" ht="24.95" customHeight="1">
      <c r="A54" s="529"/>
      <c r="B54" s="529"/>
      <c r="C54" s="552"/>
      <c r="D54" s="552"/>
      <c r="E54" s="529" t="s">
        <v>1334</v>
      </c>
      <c r="F54" s="529" t="s">
        <v>1414</v>
      </c>
      <c r="G54" s="297" t="s">
        <v>1281</v>
      </c>
      <c r="H54" s="308">
        <v>475</v>
      </c>
      <c r="I54" s="297">
        <v>210</v>
      </c>
      <c r="J54" s="323">
        <v>99960</v>
      </c>
      <c r="K54" s="570"/>
      <c r="L54" s="300"/>
      <c r="AVM54" s="290"/>
    </row>
    <row r="55" spans="1:13 1261:1261" ht="24.95" customHeight="1">
      <c r="A55" s="529"/>
      <c r="B55" s="529"/>
      <c r="C55" s="552"/>
      <c r="D55" s="552"/>
      <c r="E55" s="529"/>
      <c r="F55" s="529"/>
      <c r="G55" s="297" t="s">
        <v>1281</v>
      </c>
      <c r="H55" s="308">
        <v>475</v>
      </c>
      <c r="I55" s="297">
        <v>52</v>
      </c>
      <c r="J55" s="323">
        <v>24700</v>
      </c>
      <c r="K55" s="570"/>
      <c r="AVM55" s="290"/>
    </row>
    <row r="56" spans="1:13 1261:1261" ht="24.95" customHeight="1">
      <c r="A56" s="529"/>
      <c r="B56" s="529"/>
      <c r="C56" s="552"/>
      <c r="D56" s="552"/>
      <c r="E56" s="529"/>
      <c r="F56" s="529"/>
      <c r="G56" s="297" t="s">
        <v>1281</v>
      </c>
      <c r="H56" s="308">
        <v>55</v>
      </c>
      <c r="I56" s="297">
        <v>54</v>
      </c>
      <c r="J56" s="323">
        <v>2970</v>
      </c>
      <c r="K56" s="570"/>
      <c r="M56" s="299"/>
      <c r="AVM56" s="290"/>
    </row>
    <row r="57" spans="1:13 1261:1261" ht="24.95" customHeight="1">
      <c r="A57" s="529"/>
      <c r="B57" s="529"/>
      <c r="C57" s="552"/>
      <c r="D57" s="552"/>
      <c r="E57" s="529"/>
      <c r="F57" s="529"/>
      <c r="G57" s="297" t="s">
        <v>1281</v>
      </c>
      <c r="H57" s="308">
        <v>55</v>
      </c>
      <c r="I57" s="297">
        <v>210</v>
      </c>
      <c r="J57" s="323">
        <v>11340</v>
      </c>
      <c r="K57" s="570"/>
      <c r="M57" s="300"/>
      <c r="AVM57" s="290"/>
    </row>
    <row r="58" spans="1:13 1261:1261" ht="24.95" customHeight="1">
      <c r="A58" s="529"/>
      <c r="B58" s="529"/>
      <c r="C58" s="552"/>
      <c r="D58" s="552"/>
      <c r="E58" s="529"/>
      <c r="F58" s="529"/>
      <c r="G58" s="297" t="s">
        <v>1302</v>
      </c>
      <c r="H58" s="308">
        <v>57</v>
      </c>
      <c r="I58" s="297">
        <v>51</v>
      </c>
      <c r="J58" s="323">
        <v>2907</v>
      </c>
      <c r="K58" s="570"/>
      <c r="AVM58" s="290"/>
    </row>
    <row r="59" spans="1:13 1261:1261" ht="24.95" customHeight="1">
      <c r="A59" s="529"/>
      <c r="B59" s="529"/>
      <c r="C59" s="552"/>
      <c r="D59" s="552"/>
      <c r="E59" s="529"/>
      <c r="F59" s="529"/>
      <c r="G59" s="297" t="s">
        <v>1095</v>
      </c>
      <c r="H59" s="308">
        <v>1</v>
      </c>
      <c r="I59" s="297">
        <v>4500</v>
      </c>
      <c r="J59" s="323">
        <v>4500</v>
      </c>
      <c r="K59" s="570"/>
      <c r="AVM59" s="290"/>
    </row>
    <row r="60" spans="1:13 1261:1261" ht="24.95" customHeight="1">
      <c r="A60" s="529"/>
      <c r="B60" s="529"/>
      <c r="C60" s="552"/>
      <c r="D60" s="552"/>
      <c r="E60" s="305" t="s">
        <v>1060</v>
      </c>
      <c r="F60" s="296"/>
      <c r="G60" s="297"/>
      <c r="H60" s="308"/>
      <c r="I60" s="322"/>
      <c r="J60" s="294">
        <v>746377</v>
      </c>
      <c r="K60" s="570"/>
      <c r="AVM60" s="290"/>
    </row>
    <row r="61" spans="1:13 1261:1261" ht="24.95" customHeight="1">
      <c r="A61" s="529"/>
      <c r="B61" s="529"/>
      <c r="C61" s="552"/>
      <c r="D61" s="552"/>
      <c r="E61" s="326" t="s">
        <v>1415</v>
      </c>
      <c r="F61" s="296"/>
      <c r="G61" s="297"/>
      <c r="H61" s="308"/>
      <c r="I61" s="322"/>
      <c r="J61" s="327">
        <v>89565.24</v>
      </c>
      <c r="K61" s="570"/>
      <c r="AVM61" s="290"/>
    </row>
    <row r="62" spans="1:13 1261:1261" ht="24.95" customHeight="1">
      <c r="A62" s="529"/>
      <c r="B62" s="529"/>
      <c r="C62" s="552"/>
      <c r="D62" s="552"/>
      <c r="E62" s="307" t="s">
        <v>1303</v>
      </c>
      <c r="F62" s="296"/>
      <c r="G62" s="297" t="s">
        <v>1082</v>
      </c>
      <c r="H62" s="308">
        <v>10</v>
      </c>
      <c r="I62" s="297">
        <v>1800</v>
      </c>
      <c r="J62" s="310">
        <v>18000</v>
      </c>
      <c r="K62" s="570"/>
      <c r="AVM62" s="290"/>
    </row>
    <row r="63" spans="1:13 1261:1261" ht="24.95" customHeight="1">
      <c r="A63" s="529"/>
      <c r="B63" s="529"/>
      <c r="C63" s="552"/>
      <c r="D63" s="552"/>
      <c r="E63" s="307" t="s">
        <v>1318</v>
      </c>
      <c r="F63" s="296"/>
      <c r="G63" s="297" t="s">
        <v>1095</v>
      </c>
      <c r="H63" s="297">
        <v>1</v>
      </c>
      <c r="I63" s="297">
        <v>30000</v>
      </c>
      <c r="J63" s="325">
        <v>30000</v>
      </c>
      <c r="K63" s="570"/>
      <c r="AVM63" s="290"/>
    </row>
    <row r="64" spans="1:13 1261:1261" ht="24.95" customHeight="1">
      <c r="A64" s="529"/>
      <c r="B64" s="529"/>
      <c r="C64" s="552"/>
      <c r="D64" s="552"/>
      <c r="E64" s="305" t="s">
        <v>1062</v>
      </c>
      <c r="F64" s="296"/>
      <c r="G64" s="297"/>
      <c r="H64" s="308"/>
      <c r="I64" s="322"/>
      <c r="J64" s="294">
        <v>883942.24</v>
      </c>
      <c r="K64" s="570"/>
      <c r="L64" s="299"/>
      <c r="AVM64" s="290"/>
    </row>
    <row r="65" spans="1:12" ht="24.95" customHeight="1">
      <c r="A65" s="328"/>
      <c r="B65" s="328"/>
      <c r="C65" s="328"/>
      <c r="D65" s="328"/>
      <c r="E65" s="291" t="s">
        <v>21</v>
      </c>
      <c r="F65" s="291"/>
      <c r="G65" s="292"/>
      <c r="H65" s="306"/>
      <c r="I65" s="316"/>
      <c r="J65" s="317">
        <v>4381079.07</v>
      </c>
      <c r="K65" s="335">
        <f>SUM(K3:K64)</f>
        <v>3504864</v>
      </c>
      <c r="L65" s="300">
        <f>J65-K65</f>
        <v>876215.0700000003</v>
      </c>
    </row>
  </sheetData>
  <mergeCells count="42">
    <mergeCell ref="K3:K9"/>
    <mergeCell ref="K10:K29"/>
    <mergeCell ref="K30:K34"/>
    <mergeCell ref="K35:K52"/>
    <mergeCell ref="K53:K64"/>
    <mergeCell ref="A1:K1"/>
    <mergeCell ref="E35:E36"/>
    <mergeCell ref="E37:E46"/>
    <mergeCell ref="F37:F46"/>
    <mergeCell ref="E47:E48"/>
    <mergeCell ref="F18:F20"/>
    <mergeCell ref="G18:G20"/>
    <mergeCell ref="A21:A29"/>
    <mergeCell ref="B21:B29"/>
    <mergeCell ref="C21:C29"/>
    <mergeCell ref="D21:D29"/>
    <mergeCell ref="A10:A20"/>
    <mergeCell ref="B10:B20"/>
    <mergeCell ref="C10:C20"/>
    <mergeCell ref="D10:D20"/>
    <mergeCell ref="E10:E13"/>
    <mergeCell ref="F54:F59"/>
    <mergeCell ref="A30:A34"/>
    <mergeCell ref="B30:B34"/>
    <mergeCell ref="C30:C34"/>
    <mergeCell ref="D30:D34"/>
    <mergeCell ref="A35:A52"/>
    <mergeCell ref="B35:B52"/>
    <mergeCell ref="C35:C52"/>
    <mergeCell ref="D35:D52"/>
    <mergeCell ref="A53:A64"/>
    <mergeCell ref="B53:B64"/>
    <mergeCell ref="C53:C64"/>
    <mergeCell ref="D53:D64"/>
    <mergeCell ref="E54:E59"/>
    <mergeCell ref="E14:E17"/>
    <mergeCell ref="E18:E24"/>
    <mergeCell ref="A3:A9"/>
    <mergeCell ref="B3:B9"/>
    <mergeCell ref="C3:C9"/>
    <mergeCell ref="D3:D9"/>
    <mergeCell ref="E3:E4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portrait" r:id="rId1"/>
  <headerFooter>
    <oddFooter>第 &amp;P 页，共 &amp;N 页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>
  <dimension ref="A1:M68"/>
  <sheetViews>
    <sheetView topLeftCell="A43" workbookViewId="0">
      <selection activeCell="C12" sqref="C12"/>
    </sheetView>
  </sheetViews>
  <sheetFormatPr defaultColWidth="9" defaultRowHeight="39.950000000000003" customHeight="1"/>
  <cols>
    <col min="1" max="1" width="8.625" style="228" customWidth="1"/>
    <col min="2" max="2" width="35" style="228" customWidth="1"/>
    <col min="3" max="3" width="41" style="228" customWidth="1"/>
    <col min="4" max="4" width="13.125" style="234" customWidth="1"/>
    <col min="5" max="5" width="12.625" style="228" customWidth="1"/>
    <col min="6" max="6" width="13.375" style="228" customWidth="1"/>
    <col min="7" max="7" width="12.625" style="228" customWidth="1"/>
    <col min="8" max="8" width="11.875" style="228" customWidth="1"/>
    <col min="9" max="9" width="13.625" style="228" customWidth="1"/>
    <col min="10" max="10" width="11.875" style="234" customWidth="1"/>
    <col min="11" max="11" width="14" style="228" customWidth="1"/>
    <col min="12" max="12" width="9" style="228"/>
    <col min="13" max="13" width="13.5" style="228" customWidth="1"/>
    <col min="14" max="14" width="14.375" style="228" customWidth="1"/>
    <col min="15" max="15" width="13.5" style="228" customWidth="1"/>
    <col min="16" max="16" width="15.25" style="228" customWidth="1"/>
    <col min="17" max="17" width="13.875" style="228" customWidth="1"/>
    <col min="18" max="16384" width="9" style="228"/>
  </cols>
  <sheetData>
    <row r="1" spans="1:11" s="227" customFormat="1" ht="25.5">
      <c r="A1" s="571" t="s">
        <v>954</v>
      </c>
      <c r="B1" s="571"/>
      <c r="C1" s="571"/>
      <c r="D1" s="571"/>
      <c r="E1" s="571"/>
      <c r="F1" s="571"/>
      <c r="G1" s="571"/>
      <c r="H1" s="571"/>
      <c r="I1" s="571"/>
      <c r="J1" s="571"/>
      <c r="K1" s="571"/>
    </row>
    <row r="2" spans="1:11" ht="22.5">
      <c r="A2" s="355" t="s">
        <v>1620</v>
      </c>
      <c r="B2" s="355" t="s">
        <v>590</v>
      </c>
      <c r="C2" s="355" t="s">
        <v>13</v>
      </c>
      <c r="D2" s="356" t="s">
        <v>1621</v>
      </c>
      <c r="E2" s="356" t="s">
        <v>1622</v>
      </c>
      <c r="F2" s="356" t="s">
        <v>1623</v>
      </c>
      <c r="G2" s="356" t="s">
        <v>1624</v>
      </c>
      <c r="H2" s="356" t="s">
        <v>1625</v>
      </c>
      <c r="I2" s="356" t="s">
        <v>1626</v>
      </c>
      <c r="J2" s="356" t="s">
        <v>1627</v>
      </c>
      <c r="K2" s="356" t="s">
        <v>1628</v>
      </c>
    </row>
    <row r="3" spans="1:11" ht="18.75">
      <c r="A3" s="355" t="s">
        <v>1629</v>
      </c>
      <c r="B3" s="355" t="s">
        <v>1630</v>
      </c>
      <c r="C3" s="355" t="s">
        <v>955</v>
      </c>
      <c r="D3" s="357">
        <v>727965</v>
      </c>
      <c r="E3" s="357">
        <v>603000</v>
      </c>
      <c r="F3" s="357">
        <v>594295</v>
      </c>
      <c r="G3" s="357">
        <v>593775.94999999995</v>
      </c>
      <c r="H3" s="357">
        <v>84463</v>
      </c>
      <c r="I3" s="357">
        <f>G3+H3</f>
        <v>678238.95</v>
      </c>
      <c r="J3" s="357">
        <v>582372</v>
      </c>
      <c r="K3" s="357">
        <f>I3-J3</f>
        <v>95866.949999999953</v>
      </c>
    </row>
    <row r="4" spans="1:11" ht="18.75">
      <c r="A4" s="355" t="s">
        <v>1629</v>
      </c>
      <c r="B4" s="355" t="s">
        <v>1631</v>
      </c>
      <c r="C4" s="355" t="s">
        <v>956</v>
      </c>
      <c r="D4" s="357">
        <v>799759</v>
      </c>
      <c r="E4" s="357">
        <v>685537</v>
      </c>
      <c r="F4" s="357">
        <v>651005.79</v>
      </c>
      <c r="G4" s="357">
        <v>650993</v>
      </c>
      <c r="H4" s="357">
        <v>104987</v>
      </c>
      <c r="I4" s="357">
        <f t="shared" ref="I4:I43" si="0">G4+H4</f>
        <v>755980</v>
      </c>
      <c r="J4" s="357">
        <v>639807</v>
      </c>
      <c r="K4" s="357">
        <f t="shared" ref="K4:K41" si="1">I4-J4</f>
        <v>116173</v>
      </c>
    </row>
    <row r="5" spans="1:11" ht="18.75">
      <c r="A5" s="355" t="s">
        <v>1629</v>
      </c>
      <c r="B5" s="355" t="s">
        <v>1632</v>
      </c>
      <c r="C5" s="355" t="s">
        <v>957</v>
      </c>
      <c r="D5" s="357">
        <v>432270</v>
      </c>
      <c r="E5" s="357">
        <v>365700</v>
      </c>
      <c r="F5" s="357">
        <v>342005.34</v>
      </c>
      <c r="G5" s="357">
        <v>341678</v>
      </c>
      <c r="H5" s="357">
        <v>61259</v>
      </c>
      <c r="I5" s="357">
        <f t="shared" si="0"/>
        <v>402937</v>
      </c>
      <c r="J5" s="357">
        <v>345816</v>
      </c>
      <c r="K5" s="357">
        <f t="shared" si="1"/>
        <v>57121</v>
      </c>
    </row>
    <row r="6" spans="1:11" ht="18.75">
      <c r="A6" s="355" t="s">
        <v>1629</v>
      </c>
      <c r="B6" s="355" t="s">
        <v>1633</v>
      </c>
      <c r="C6" s="355" t="s">
        <v>958</v>
      </c>
      <c r="D6" s="357">
        <v>1512660</v>
      </c>
      <c r="E6" s="357">
        <v>1320600</v>
      </c>
      <c r="F6" s="357">
        <v>1260000</v>
      </c>
      <c r="G6" s="357">
        <v>1255011</v>
      </c>
      <c r="H6" s="357">
        <v>206151</v>
      </c>
      <c r="I6" s="357">
        <f t="shared" si="0"/>
        <v>1461162</v>
      </c>
      <c r="J6" s="357">
        <v>1210128</v>
      </c>
      <c r="K6" s="357">
        <f t="shared" si="1"/>
        <v>251034</v>
      </c>
    </row>
    <row r="7" spans="1:11" ht="18.75">
      <c r="A7" s="355" t="s">
        <v>1629</v>
      </c>
      <c r="B7" s="355" t="s">
        <v>1634</v>
      </c>
      <c r="C7" s="355" t="s">
        <v>959</v>
      </c>
      <c r="D7" s="357">
        <v>373749</v>
      </c>
      <c r="E7" s="357">
        <v>339772</v>
      </c>
      <c r="F7" s="357">
        <v>318041.02</v>
      </c>
      <c r="G7" s="357">
        <v>317972</v>
      </c>
      <c r="H7" s="357">
        <v>31767</v>
      </c>
      <c r="I7" s="357">
        <f t="shared" si="0"/>
        <v>349739</v>
      </c>
      <c r="J7" s="357">
        <v>298999</v>
      </c>
      <c r="K7" s="357">
        <f t="shared" si="1"/>
        <v>50740</v>
      </c>
    </row>
    <row r="8" spans="1:11" ht="18.75">
      <c r="A8" s="355" t="s">
        <v>1629</v>
      </c>
      <c r="B8" s="355" t="s">
        <v>960</v>
      </c>
      <c r="C8" s="355" t="s">
        <v>961</v>
      </c>
      <c r="D8" s="357">
        <v>427505</v>
      </c>
      <c r="E8" s="357">
        <v>361368</v>
      </c>
      <c r="F8" s="357">
        <v>349006.83</v>
      </c>
      <c r="G8" s="357">
        <v>348955</v>
      </c>
      <c r="H8" s="357">
        <v>61580</v>
      </c>
      <c r="I8" s="357">
        <f t="shared" si="0"/>
        <v>410535</v>
      </c>
      <c r="J8" s="357">
        <v>342004</v>
      </c>
      <c r="K8" s="357">
        <f t="shared" si="1"/>
        <v>68531</v>
      </c>
    </row>
    <row r="9" spans="1:11" ht="18.75">
      <c r="A9" s="355" t="s">
        <v>1629</v>
      </c>
      <c r="B9" s="355" t="s">
        <v>962</v>
      </c>
      <c r="C9" s="355" t="s">
        <v>963</v>
      </c>
      <c r="D9" s="357">
        <v>631847</v>
      </c>
      <c r="E9" s="357">
        <v>547134</v>
      </c>
      <c r="F9" s="357">
        <v>507039.33</v>
      </c>
      <c r="G9" s="357">
        <v>506875</v>
      </c>
      <c r="H9" s="357">
        <v>76455</v>
      </c>
      <c r="I9" s="357">
        <f t="shared" si="0"/>
        <v>583330</v>
      </c>
      <c r="J9" s="357">
        <v>505478</v>
      </c>
      <c r="K9" s="357">
        <f t="shared" si="1"/>
        <v>77852</v>
      </c>
    </row>
    <row r="10" spans="1:11" ht="18.75">
      <c r="A10" s="358" t="s">
        <v>519</v>
      </c>
      <c r="B10" s="355"/>
      <c r="C10" s="355"/>
      <c r="D10" s="357">
        <f t="shared" ref="D10:K10" si="2">SUBTOTAL(9,D3:D9)</f>
        <v>4905755</v>
      </c>
      <c r="E10" s="357">
        <f t="shared" si="2"/>
        <v>4223111</v>
      </c>
      <c r="F10" s="357">
        <f t="shared" si="2"/>
        <v>4021393.31</v>
      </c>
      <c r="G10" s="357">
        <f t="shared" si="2"/>
        <v>4015259.95</v>
      </c>
      <c r="H10" s="357">
        <f t="shared" si="2"/>
        <v>626662</v>
      </c>
      <c r="I10" s="357">
        <f t="shared" si="2"/>
        <v>4641921.95</v>
      </c>
      <c r="J10" s="357">
        <f t="shared" si="2"/>
        <v>3924604</v>
      </c>
      <c r="K10" s="357">
        <f t="shared" si="2"/>
        <v>717317.95</v>
      </c>
    </row>
    <row r="11" spans="1:11" ht="18.75">
      <c r="A11" s="355" t="s">
        <v>1635</v>
      </c>
      <c r="B11" s="355" t="s">
        <v>1636</v>
      </c>
      <c r="C11" s="355" t="s">
        <v>964</v>
      </c>
      <c r="D11" s="357">
        <v>442478</v>
      </c>
      <c r="E11" s="357">
        <v>374980</v>
      </c>
      <c r="F11" s="357">
        <v>341205</v>
      </c>
      <c r="G11" s="357">
        <v>340901.76</v>
      </c>
      <c r="H11" s="357">
        <v>63783</v>
      </c>
      <c r="I11" s="357">
        <f t="shared" si="0"/>
        <v>404684.76</v>
      </c>
      <c r="J11" s="357">
        <v>353982</v>
      </c>
      <c r="K11" s="357">
        <f t="shared" si="1"/>
        <v>50702.760000000009</v>
      </c>
    </row>
    <row r="12" spans="1:11" ht="18.75">
      <c r="A12" s="355" t="s">
        <v>1635</v>
      </c>
      <c r="B12" s="355" t="s">
        <v>1637</v>
      </c>
      <c r="C12" s="355" t="s">
        <v>965</v>
      </c>
      <c r="D12" s="357">
        <v>402116</v>
      </c>
      <c r="E12" s="357">
        <v>360651</v>
      </c>
      <c r="F12" s="357">
        <v>337315</v>
      </c>
      <c r="G12" s="357">
        <v>334673.65000000002</v>
      </c>
      <c r="H12" s="357">
        <v>31600</v>
      </c>
      <c r="I12" s="357">
        <f t="shared" si="0"/>
        <v>366273.65</v>
      </c>
      <c r="J12" s="357">
        <v>321693</v>
      </c>
      <c r="K12" s="357">
        <f t="shared" si="1"/>
        <v>44580.650000000023</v>
      </c>
    </row>
    <row r="13" spans="1:11" ht="18.75">
      <c r="A13" s="358" t="s">
        <v>523</v>
      </c>
      <c r="B13" s="355"/>
      <c r="C13" s="355"/>
      <c r="D13" s="357">
        <f t="shared" ref="D13:K13" si="3">SUBTOTAL(9,D11:D12)</f>
        <v>844594</v>
      </c>
      <c r="E13" s="357">
        <f t="shared" si="3"/>
        <v>735631</v>
      </c>
      <c r="F13" s="357">
        <f t="shared" si="3"/>
        <v>678520</v>
      </c>
      <c r="G13" s="357">
        <f t="shared" si="3"/>
        <v>675575.41</v>
      </c>
      <c r="H13" s="357">
        <f t="shared" si="3"/>
        <v>95383</v>
      </c>
      <c r="I13" s="357">
        <f t="shared" si="3"/>
        <v>770958.41</v>
      </c>
      <c r="J13" s="357">
        <f t="shared" si="3"/>
        <v>675675</v>
      </c>
      <c r="K13" s="357">
        <f t="shared" si="3"/>
        <v>95283.410000000033</v>
      </c>
    </row>
    <row r="14" spans="1:11" ht="18.75">
      <c r="A14" s="355" t="s">
        <v>1638</v>
      </c>
      <c r="B14" s="355" t="s">
        <v>966</v>
      </c>
      <c r="C14" s="355" t="s">
        <v>967</v>
      </c>
      <c r="D14" s="357">
        <v>2289858.41</v>
      </c>
      <c r="E14" s="357">
        <v>1960935.1</v>
      </c>
      <c r="F14" s="357">
        <v>1946059</v>
      </c>
      <c r="G14" s="357">
        <v>1943360</v>
      </c>
      <c r="H14" s="357">
        <f>303560+9500</f>
        <v>313060</v>
      </c>
      <c r="I14" s="357">
        <f t="shared" si="0"/>
        <v>2256420</v>
      </c>
      <c r="J14" s="357">
        <f>1831887+417732</f>
        <v>2249619</v>
      </c>
      <c r="K14" s="357">
        <f t="shared" si="1"/>
        <v>6801</v>
      </c>
    </row>
    <row r="15" spans="1:11" ht="18.75">
      <c r="A15" s="358" t="s">
        <v>500</v>
      </c>
      <c r="B15" s="355"/>
      <c r="C15" s="355"/>
      <c r="D15" s="357">
        <f t="shared" ref="D15:K15" si="4">SUBTOTAL(9,D14:D14)</f>
        <v>2289858.41</v>
      </c>
      <c r="E15" s="357">
        <f t="shared" si="4"/>
        <v>1960935.1</v>
      </c>
      <c r="F15" s="357">
        <f t="shared" si="4"/>
        <v>1946059</v>
      </c>
      <c r="G15" s="357">
        <f t="shared" si="4"/>
        <v>1943360</v>
      </c>
      <c r="H15" s="357">
        <f t="shared" si="4"/>
        <v>313060</v>
      </c>
      <c r="I15" s="357">
        <f t="shared" si="4"/>
        <v>2256420</v>
      </c>
      <c r="J15" s="357">
        <f t="shared" si="4"/>
        <v>2249619</v>
      </c>
      <c r="K15" s="357">
        <f t="shared" si="4"/>
        <v>6801</v>
      </c>
    </row>
    <row r="16" spans="1:11" ht="18.75">
      <c r="A16" s="355" t="s">
        <v>1639</v>
      </c>
      <c r="B16" s="359" t="s">
        <v>1640</v>
      </c>
      <c r="C16" s="355" t="s">
        <v>968</v>
      </c>
      <c r="D16" s="360">
        <v>192358.55300000001</v>
      </c>
      <c r="E16" s="360">
        <v>165053.23000000001</v>
      </c>
      <c r="F16" s="360">
        <v>163026</v>
      </c>
      <c r="G16" s="360">
        <v>162061</v>
      </c>
      <c r="H16" s="360">
        <v>17343.610077914698</v>
      </c>
      <c r="I16" s="357">
        <f t="shared" si="0"/>
        <v>179404.61007791469</v>
      </c>
      <c r="J16" s="357">
        <v>153887</v>
      </c>
      <c r="K16" s="357">
        <f t="shared" si="1"/>
        <v>25517.610077914695</v>
      </c>
    </row>
    <row r="17" spans="1:11" ht="18.75">
      <c r="A17" s="355" t="s">
        <v>1639</v>
      </c>
      <c r="B17" s="359" t="s">
        <v>1641</v>
      </c>
      <c r="C17" s="355" t="s">
        <v>968</v>
      </c>
      <c r="D17" s="360">
        <v>324751.34999999998</v>
      </c>
      <c r="E17" s="360">
        <v>281170</v>
      </c>
      <c r="F17" s="360">
        <v>278687</v>
      </c>
      <c r="G17" s="360">
        <v>277688</v>
      </c>
      <c r="H17" s="360">
        <v>20636.464018585499</v>
      </c>
      <c r="I17" s="357">
        <f t="shared" si="0"/>
        <v>298324.46401858551</v>
      </c>
      <c r="J17" s="357">
        <v>299945.15000000002</v>
      </c>
      <c r="K17" s="357">
        <f t="shared" si="1"/>
        <v>-1620.6859814145137</v>
      </c>
    </row>
    <row r="18" spans="1:11" ht="18.75">
      <c r="A18" s="355" t="s">
        <v>1639</v>
      </c>
      <c r="B18" s="359" t="s">
        <v>1642</v>
      </c>
      <c r="C18" s="355" t="s">
        <v>968</v>
      </c>
      <c r="D18" s="360">
        <v>1375111.942</v>
      </c>
      <c r="E18" s="360">
        <v>1184647.22</v>
      </c>
      <c r="F18" s="360">
        <v>1184289</v>
      </c>
      <c r="G18" s="360">
        <v>1184264</v>
      </c>
      <c r="H18" s="360">
        <v>123008.92161168699</v>
      </c>
      <c r="I18" s="357">
        <f t="shared" si="0"/>
        <v>1307272.9216116869</v>
      </c>
      <c r="J18" s="357">
        <v>1100090</v>
      </c>
      <c r="K18" s="357">
        <f t="shared" si="1"/>
        <v>207182.92161168694</v>
      </c>
    </row>
    <row r="19" spans="1:11" ht="18.75">
      <c r="A19" s="355" t="s">
        <v>1639</v>
      </c>
      <c r="B19" s="359" t="s">
        <v>969</v>
      </c>
      <c r="C19" s="355" t="s">
        <v>968</v>
      </c>
      <c r="D19" s="360">
        <v>206922.5</v>
      </c>
      <c r="E19" s="360">
        <v>180475</v>
      </c>
      <c r="F19" s="360">
        <v>178707</v>
      </c>
      <c r="G19" s="360">
        <v>176757</v>
      </c>
      <c r="H19" s="360">
        <v>17235.747567533101</v>
      </c>
      <c r="I19" s="357">
        <f t="shared" si="0"/>
        <v>193992.74756753311</v>
      </c>
      <c r="J19" s="357">
        <v>165538</v>
      </c>
      <c r="K19" s="357">
        <f t="shared" si="1"/>
        <v>28454.747567533108</v>
      </c>
    </row>
    <row r="20" spans="1:11" ht="18.75">
      <c r="A20" s="355" t="s">
        <v>1639</v>
      </c>
      <c r="B20" s="359" t="s">
        <v>1643</v>
      </c>
      <c r="C20" s="355" t="s">
        <v>968</v>
      </c>
      <c r="D20" s="360">
        <v>326320</v>
      </c>
      <c r="E20" s="360">
        <v>285200</v>
      </c>
      <c r="F20" s="360">
        <v>283502</v>
      </c>
      <c r="G20" s="360">
        <v>283431</v>
      </c>
      <c r="H20" s="360">
        <v>21063.256724279501</v>
      </c>
      <c r="I20" s="357">
        <f t="shared" si="0"/>
        <v>304494.25672427949</v>
      </c>
      <c r="J20" s="357">
        <v>305127.43</v>
      </c>
      <c r="K20" s="357">
        <f t="shared" si="1"/>
        <v>-633.17327572050272</v>
      </c>
    </row>
    <row r="21" spans="1:11" ht="18.75">
      <c r="A21" s="358" t="s">
        <v>521</v>
      </c>
      <c r="B21" s="359"/>
      <c r="C21" s="355"/>
      <c r="D21" s="360">
        <f t="shared" ref="D21:K21" si="5">SUBTOTAL(9,D16:D20)</f>
        <v>2425464.3449999997</v>
      </c>
      <c r="E21" s="360">
        <f t="shared" si="5"/>
        <v>2096545.45</v>
      </c>
      <c r="F21" s="360">
        <f t="shared" si="5"/>
        <v>2088211</v>
      </c>
      <c r="G21" s="360">
        <f t="shared" si="5"/>
        <v>2084201</v>
      </c>
      <c r="H21" s="360">
        <f t="shared" si="5"/>
        <v>199287.9999999998</v>
      </c>
      <c r="I21" s="357">
        <f t="shared" si="5"/>
        <v>2283488.9999999995</v>
      </c>
      <c r="J21" s="357">
        <f t="shared" si="5"/>
        <v>2024587.5799999998</v>
      </c>
      <c r="K21" s="357">
        <f t="shared" si="5"/>
        <v>258901.41999999972</v>
      </c>
    </row>
    <row r="22" spans="1:11" ht="18.75">
      <c r="A22" s="355" t="s">
        <v>1644</v>
      </c>
      <c r="B22" s="355" t="s">
        <v>1645</v>
      </c>
      <c r="C22" s="355" t="s">
        <v>970</v>
      </c>
      <c r="D22" s="357">
        <v>1554630</v>
      </c>
      <c r="E22" s="357">
        <v>1346000</v>
      </c>
      <c r="F22" s="357">
        <v>1345969</v>
      </c>
      <c r="G22" s="357">
        <v>1293685.8999999999</v>
      </c>
      <c r="H22" s="357">
        <v>109424</v>
      </c>
      <c r="I22" s="357">
        <f t="shared" si="0"/>
        <v>1403109.9</v>
      </c>
      <c r="J22" s="357">
        <v>1461179</v>
      </c>
      <c r="K22" s="357">
        <f t="shared" si="1"/>
        <v>-58069.100000000093</v>
      </c>
    </row>
    <row r="23" spans="1:11" ht="18.75">
      <c r="A23" s="355" t="s">
        <v>1644</v>
      </c>
      <c r="B23" s="355" t="s">
        <v>1646</v>
      </c>
      <c r="C23" s="355" t="s">
        <v>971</v>
      </c>
      <c r="D23" s="357">
        <v>2720651</v>
      </c>
      <c r="E23" s="357">
        <v>2235800</v>
      </c>
      <c r="F23" s="357">
        <v>2234829</v>
      </c>
      <c r="G23" s="357">
        <v>2218897.77</v>
      </c>
      <c r="H23" s="357">
        <v>285050.08</v>
      </c>
      <c r="I23" s="357">
        <f t="shared" si="0"/>
        <v>2503947.85</v>
      </c>
      <c r="J23" s="357">
        <v>2570622</v>
      </c>
      <c r="K23" s="357">
        <f t="shared" si="1"/>
        <v>-66674.149999999907</v>
      </c>
    </row>
    <row r="24" spans="1:11" ht="22.5">
      <c r="A24" s="355" t="s">
        <v>1644</v>
      </c>
      <c r="B24" s="355" t="s">
        <v>972</v>
      </c>
      <c r="C24" s="355" t="s">
        <v>973</v>
      </c>
      <c r="D24" s="357">
        <v>1832351.18</v>
      </c>
      <c r="E24" s="357">
        <v>1633592</v>
      </c>
      <c r="F24" s="357">
        <v>1626200</v>
      </c>
      <c r="G24" s="357">
        <v>1624150.74</v>
      </c>
      <c r="H24" s="357">
        <v>162767</v>
      </c>
      <c r="I24" s="357">
        <f t="shared" si="0"/>
        <v>1786917.74</v>
      </c>
      <c r="J24" s="357">
        <v>1465881</v>
      </c>
      <c r="K24" s="357">
        <f t="shared" si="1"/>
        <v>321036.74</v>
      </c>
    </row>
    <row r="25" spans="1:11" ht="18.75">
      <c r="A25" s="355" t="s">
        <v>1644</v>
      </c>
      <c r="B25" s="355" t="s">
        <v>974</v>
      </c>
      <c r="C25" s="355" t="s">
        <v>975</v>
      </c>
      <c r="D25" s="357">
        <v>1743120.21</v>
      </c>
      <c r="E25" s="357">
        <v>1552473</v>
      </c>
      <c r="F25" s="357">
        <v>1546000</v>
      </c>
      <c r="G25" s="357">
        <v>1534701</v>
      </c>
      <c r="H25" s="357">
        <v>150710</v>
      </c>
      <c r="I25" s="357">
        <f t="shared" si="0"/>
        <v>1685411</v>
      </c>
      <c r="J25" s="357">
        <v>1724780</v>
      </c>
      <c r="K25" s="357">
        <f t="shared" si="1"/>
        <v>-39369</v>
      </c>
    </row>
    <row r="26" spans="1:11" ht="18.75">
      <c r="A26" s="355" t="s">
        <v>1644</v>
      </c>
      <c r="B26" s="355" t="s">
        <v>976</v>
      </c>
      <c r="C26" s="355" t="s">
        <v>977</v>
      </c>
      <c r="D26" s="357">
        <v>5379355</v>
      </c>
      <c r="E26" s="357">
        <v>4704300</v>
      </c>
      <c r="F26" s="357">
        <v>4641819</v>
      </c>
      <c r="G26" s="357">
        <v>4628758.96</v>
      </c>
      <c r="H26" s="357">
        <v>652665</v>
      </c>
      <c r="I26" s="357">
        <f t="shared" si="0"/>
        <v>5281423.96</v>
      </c>
      <c r="J26" s="357">
        <v>4303484</v>
      </c>
      <c r="K26" s="357">
        <f t="shared" si="1"/>
        <v>977939.96</v>
      </c>
    </row>
    <row r="27" spans="1:11" ht="18.75">
      <c r="A27" s="358" t="s">
        <v>504</v>
      </c>
      <c r="B27" s="355"/>
      <c r="C27" s="355"/>
      <c r="D27" s="357">
        <f t="shared" ref="D27:K27" si="6">SUBTOTAL(9,D22:D26)</f>
        <v>13230107.390000001</v>
      </c>
      <c r="E27" s="357">
        <f t="shared" si="6"/>
        <v>11472165</v>
      </c>
      <c r="F27" s="357">
        <f t="shared" si="6"/>
        <v>11394817</v>
      </c>
      <c r="G27" s="357">
        <f t="shared" si="6"/>
        <v>11300194.370000001</v>
      </c>
      <c r="H27" s="357">
        <f t="shared" si="6"/>
        <v>1360616.08</v>
      </c>
      <c r="I27" s="357">
        <f t="shared" si="6"/>
        <v>12660810.449999999</v>
      </c>
      <c r="J27" s="357">
        <f t="shared" si="6"/>
        <v>11525946</v>
      </c>
      <c r="K27" s="357">
        <f t="shared" si="6"/>
        <v>1134864.45</v>
      </c>
    </row>
    <row r="28" spans="1:11" s="229" customFormat="1" ht="18.75">
      <c r="A28" s="355" t="s">
        <v>1647</v>
      </c>
      <c r="B28" s="355" t="s">
        <v>978</v>
      </c>
      <c r="C28" s="355" t="s">
        <v>979</v>
      </c>
      <c r="D28" s="361">
        <v>68838</v>
      </c>
      <c r="E28" s="361">
        <v>59600</v>
      </c>
      <c r="F28" s="362">
        <v>53190</v>
      </c>
      <c r="G28" s="362">
        <v>52740</v>
      </c>
      <c r="H28" s="362">
        <v>3913</v>
      </c>
      <c r="I28" s="361">
        <f t="shared" si="0"/>
        <v>56653</v>
      </c>
      <c r="J28" s="361">
        <v>68838</v>
      </c>
      <c r="K28" s="361">
        <f t="shared" si="1"/>
        <v>-12185</v>
      </c>
    </row>
    <row r="29" spans="1:11" s="229" customFormat="1" ht="18.75">
      <c r="A29" s="355" t="s">
        <v>1647</v>
      </c>
      <c r="B29" s="355" t="s">
        <v>980</v>
      </c>
      <c r="C29" s="355" t="s">
        <v>981</v>
      </c>
      <c r="D29" s="357">
        <v>170363</v>
      </c>
      <c r="E29" s="357">
        <v>147500</v>
      </c>
      <c r="F29" s="363">
        <v>132901</v>
      </c>
      <c r="G29" s="363">
        <v>132357</v>
      </c>
      <c r="H29" s="363">
        <v>8116</v>
      </c>
      <c r="I29" s="357">
        <f t="shared" si="0"/>
        <v>140473</v>
      </c>
      <c r="J29" s="357">
        <v>170363</v>
      </c>
      <c r="K29" s="357">
        <f t="shared" si="1"/>
        <v>-29890</v>
      </c>
    </row>
    <row r="30" spans="1:11" s="229" customFormat="1" ht="18.75">
      <c r="A30" s="355" t="s">
        <v>1647</v>
      </c>
      <c r="B30" s="355" t="s">
        <v>982</v>
      </c>
      <c r="C30" s="355" t="s">
        <v>983</v>
      </c>
      <c r="D30" s="357">
        <v>2481484</v>
      </c>
      <c r="E30" s="357">
        <v>2110105</v>
      </c>
      <c r="F30" s="363">
        <v>2126226</v>
      </c>
      <c r="G30" s="363">
        <v>2109892.1</v>
      </c>
      <c r="H30" s="364">
        <v>196380</v>
      </c>
      <c r="I30" s="357">
        <f t="shared" si="0"/>
        <v>2306272.1</v>
      </c>
      <c r="J30" s="357">
        <v>2481484</v>
      </c>
      <c r="K30" s="357">
        <f t="shared" si="1"/>
        <v>-175211.89999999991</v>
      </c>
    </row>
    <row r="31" spans="1:11" s="229" customFormat="1" ht="18.75">
      <c r="A31" s="355" t="s">
        <v>1647</v>
      </c>
      <c r="B31" s="355" t="s">
        <v>478</v>
      </c>
      <c r="C31" s="355" t="s">
        <v>984</v>
      </c>
      <c r="D31" s="357">
        <v>815430</v>
      </c>
      <c r="E31" s="357">
        <v>706000</v>
      </c>
      <c r="F31" s="363">
        <v>685564</v>
      </c>
      <c r="G31" s="363">
        <v>680754</v>
      </c>
      <c r="H31" s="364">
        <v>65300</v>
      </c>
      <c r="I31" s="357">
        <f t="shared" si="0"/>
        <v>746054</v>
      </c>
      <c r="J31" s="357">
        <v>750864</v>
      </c>
      <c r="K31" s="357">
        <f t="shared" si="1"/>
        <v>-4810</v>
      </c>
    </row>
    <row r="32" spans="1:11" s="229" customFormat="1" ht="18.75">
      <c r="A32" s="355" t="s">
        <v>1647</v>
      </c>
      <c r="B32" s="355" t="s">
        <v>985</v>
      </c>
      <c r="C32" s="355" t="s">
        <v>985</v>
      </c>
      <c r="D32" s="357">
        <v>918341</v>
      </c>
      <c r="E32" s="357">
        <v>795100</v>
      </c>
      <c r="F32" s="363">
        <v>706500</v>
      </c>
      <c r="G32" s="363">
        <v>706105</v>
      </c>
      <c r="H32" s="363">
        <v>71600</v>
      </c>
      <c r="I32" s="357">
        <f t="shared" si="0"/>
        <v>777705</v>
      </c>
      <c r="J32" s="364">
        <v>734673</v>
      </c>
      <c r="K32" s="357">
        <f t="shared" si="1"/>
        <v>43032</v>
      </c>
    </row>
    <row r="33" spans="1:13" s="229" customFormat="1" ht="18.75">
      <c r="A33" s="355" t="s">
        <v>1647</v>
      </c>
      <c r="B33" s="355" t="s">
        <v>479</v>
      </c>
      <c r="C33" s="355" t="s">
        <v>986</v>
      </c>
      <c r="D33" s="357">
        <v>2061528</v>
      </c>
      <c r="E33" s="357">
        <v>1757600</v>
      </c>
      <c r="F33" s="363">
        <v>1680873</v>
      </c>
      <c r="G33" s="363">
        <v>1680120</v>
      </c>
      <c r="H33" s="363">
        <v>188587</v>
      </c>
      <c r="I33" s="357">
        <f t="shared" si="0"/>
        <v>1868707</v>
      </c>
      <c r="J33" s="364">
        <v>1869460</v>
      </c>
      <c r="K33" s="357">
        <f t="shared" si="1"/>
        <v>-753</v>
      </c>
    </row>
    <row r="34" spans="1:13" s="229" customFormat="1" ht="18.75">
      <c r="A34" s="355" t="s">
        <v>1647</v>
      </c>
      <c r="B34" s="355" t="s">
        <v>982</v>
      </c>
      <c r="C34" s="355" t="s">
        <v>987</v>
      </c>
      <c r="D34" s="357">
        <v>305032</v>
      </c>
      <c r="E34" s="357">
        <v>241370</v>
      </c>
      <c r="F34" s="363">
        <v>215749</v>
      </c>
      <c r="G34" s="363">
        <v>214220.46</v>
      </c>
      <c r="H34" s="363">
        <v>33706</v>
      </c>
      <c r="I34" s="357">
        <f t="shared" si="0"/>
        <v>247926.46</v>
      </c>
      <c r="J34" s="364">
        <v>244026</v>
      </c>
      <c r="K34" s="357">
        <f t="shared" si="1"/>
        <v>3900.4599999999919</v>
      </c>
    </row>
    <row r="35" spans="1:13" s="229" customFormat="1" ht="18.75">
      <c r="A35" s="355" t="s">
        <v>1647</v>
      </c>
      <c r="B35" s="355" t="s">
        <v>477</v>
      </c>
      <c r="C35" s="355" t="s">
        <v>988</v>
      </c>
      <c r="D35" s="357">
        <v>1370460</v>
      </c>
      <c r="E35" s="357">
        <v>1132000</v>
      </c>
      <c r="F35" s="363">
        <v>1058218</v>
      </c>
      <c r="G35" s="363">
        <v>1056282.3500000001</v>
      </c>
      <c r="H35" s="364">
        <v>163200</v>
      </c>
      <c r="I35" s="357">
        <f t="shared" si="0"/>
        <v>1219482.3500000001</v>
      </c>
      <c r="J35" s="364">
        <v>1221418</v>
      </c>
      <c r="K35" s="357">
        <f t="shared" si="1"/>
        <v>-1935.6499999999069</v>
      </c>
    </row>
    <row r="36" spans="1:13" s="229" customFormat="1" ht="18.75">
      <c r="A36" s="355" t="s">
        <v>1647</v>
      </c>
      <c r="B36" s="355" t="s">
        <v>989</v>
      </c>
      <c r="C36" s="355" t="s">
        <v>990</v>
      </c>
      <c r="D36" s="357">
        <v>435435</v>
      </c>
      <c r="E36" s="357">
        <v>377000</v>
      </c>
      <c r="F36" s="363">
        <v>323581</v>
      </c>
      <c r="G36" s="363">
        <v>322264</v>
      </c>
      <c r="H36" s="364">
        <v>33128</v>
      </c>
      <c r="I36" s="357">
        <f t="shared" si="0"/>
        <v>355392</v>
      </c>
      <c r="J36" s="364">
        <v>348348</v>
      </c>
      <c r="K36" s="357">
        <f t="shared" si="1"/>
        <v>7044</v>
      </c>
    </row>
    <row r="37" spans="1:13" s="229" customFormat="1" ht="18.75">
      <c r="A37" s="355" t="s">
        <v>1647</v>
      </c>
      <c r="B37" s="355" t="s">
        <v>991</v>
      </c>
      <c r="C37" s="355" t="s">
        <v>992</v>
      </c>
      <c r="D37" s="357">
        <v>367694</v>
      </c>
      <c r="E37" s="357">
        <v>318350</v>
      </c>
      <c r="F37" s="363">
        <v>268710</v>
      </c>
      <c r="G37" s="363">
        <v>268148</v>
      </c>
      <c r="H37" s="364">
        <v>14936</v>
      </c>
      <c r="I37" s="357">
        <f t="shared" si="0"/>
        <v>283084</v>
      </c>
      <c r="J37" s="364">
        <v>294155</v>
      </c>
      <c r="K37" s="357">
        <f t="shared" si="1"/>
        <v>-11071</v>
      </c>
    </row>
    <row r="38" spans="1:13" s="229" customFormat="1" ht="18.75">
      <c r="A38" s="355" t="s">
        <v>1647</v>
      </c>
      <c r="B38" s="355" t="s">
        <v>993</v>
      </c>
      <c r="C38" s="355" t="s">
        <v>994</v>
      </c>
      <c r="D38" s="357">
        <v>100707.64</v>
      </c>
      <c r="E38" s="357">
        <v>91552.4</v>
      </c>
      <c r="F38" s="365">
        <v>91552.4</v>
      </c>
      <c r="G38" s="363">
        <v>85282.01</v>
      </c>
      <c r="H38" s="363">
        <v>9155.24</v>
      </c>
      <c r="I38" s="357">
        <f t="shared" si="0"/>
        <v>94437.25</v>
      </c>
      <c r="J38" s="364">
        <v>80566</v>
      </c>
      <c r="K38" s="357">
        <f t="shared" si="1"/>
        <v>13871.25</v>
      </c>
    </row>
    <row r="39" spans="1:13" s="229" customFormat="1" ht="18.75">
      <c r="A39" s="355" t="s">
        <v>1647</v>
      </c>
      <c r="B39" s="366" t="s">
        <v>479</v>
      </c>
      <c r="C39" s="366" t="s">
        <v>995</v>
      </c>
      <c r="D39" s="367">
        <v>3097417.93</v>
      </c>
      <c r="E39" s="367">
        <v>2815834.48</v>
      </c>
      <c r="F39" s="368">
        <v>2561874.2000000002</v>
      </c>
      <c r="G39" s="369">
        <v>2542436.48</v>
      </c>
      <c r="H39" s="369">
        <v>281583.45</v>
      </c>
      <c r="I39" s="357">
        <f t="shared" si="0"/>
        <v>2824019.93</v>
      </c>
      <c r="J39" s="367">
        <v>2978524.2</v>
      </c>
      <c r="K39" s="357">
        <f t="shared" si="1"/>
        <v>-154504.27000000002</v>
      </c>
    </row>
    <row r="40" spans="1:13" s="229" customFormat="1" ht="18.75">
      <c r="A40" s="355" t="s">
        <v>1647</v>
      </c>
      <c r="B40" s="355" t="s">
        <v>996</v>
      </c>
      <c r="C40" s="355" t="s">
        <v>997</v>
      </c>
      <c r="D40" s="357">
        <v>634450</v>
      </c>
      <c r="E40" s="357">
        <v>549500</v>
      </c>
      <c r="F40" s="363">
        <v>464362</v>
      </c>
      <c r="G40" s="363">
        <v>464362</v>
      </c>
      <c r="H40" s="363">
        <v>84950</v>
      </c>
      <c r="I40" s="357">
        <f t="shared" si="0"/>
        <v>549312</v>
      </c>
      <c r="J40" s="364">
        <v>507560</v>
      </c>
      <c r="K40" s="357">
        <f t="shared" si="1"/>
        <v>41752</v>
      </c>
    </row>
    <row r="41" spans="1:13" s="229" customFormat="1" ht="18.75">
      <c r="A41" s="355" t="s">
        <v>1647</v>
      </c>
      <c r="B41" s="355" t="s">
        <v>480</v>
      </c>
      <c r="C41" s="355" t="s">
        <v>998</v>
      </c>
      <c r="D41" s="357">
        <v>987200</v>
      </c>
      <c r="E41" s="357">
        <v>899000</v>
      </c>
      <c r="F41" s="363">
        <v>788833</v>
      </c>
      <c r="G41" s="363">
        <v>781968</v>
      </c>
      <c r="H41" s="363">
        <v>88200</v>
      </c>
      <c r="I41" s="357">
        <f t="shared" si="0"/>
        <v>870168</v>
      </c>
      <c r="J41" s="364">
        <v>789760</v>
      </c>
      <c r="K41" s="357">
        <f t="shared" si="1"/>
        <v>80408</v>
      </c>
    </row>
    <row r="42" spans="1:13" s="229" customFormat="1" ht="18.75">
      <c r="A42" s="355" t="s">
        <v>1647</v>
      </c>
      <c r="B42" s="355" t="s">
        <v>1648</v>
      </c>
      <c r="C42" s="355" t="s">
        <v>999</v>
      </c>
      <c r="D42" s="357">
        <v>64501</v>
      </c>
      <c r="E42" s="357">
        <v>55845</v>
      </c>
      <c r="F42" s="364">
        <v>49674</v>
      </c>
      <c r="G42" s="364">
        <v>49326.57</v>
      </c>
      <c r="H42" s="364">
        <v>5585</v>
      </c>
      <c r="I42" s="357">
        <f t="shared" si="0"/>
        <v>54911.57</v>
      </c>
      <c r="J42" s="364">
        <v>64501</v>
      </c>
      <c r="K42" s="357">
        <v>-9589.43</v>
      </c>
    </row>
    <row r="43" spans="1:13" s="229" customFormat="1" ht="18.75">
      <c r="A43" s="355" t="s">
        <v>1647</v>
      </c>
      <c r="B43" s="355" t="s">
        <v>1649</v>
      </c>
      <c r="C43" s="355" t="s">
        <v>1000</v>
      </c>
      <c r="D43" s="357">
        <v>494227</v>
      </c>
      <c r="E43" s="357">
        <v>427902</v>
      </c>
      <c r="F43" s="364">
        <v>381122</v>
      </c>
      <c r="G43" s="364">
        <v>378318.49</v>
      </c>
      <c r="H43" s="364">
        <v>42790</v>
      </c>
      <c r="I43" s="357">
        <f t="shared" si="0"/>
        <v>421108.49</v>
      </c>
      <c r="J43" s="364">
        <v>494227</v>
      </c>
      <c r="K43" s="357">
        <v>-73118.509999999995</v>
      </c>
    </row>
    <row r="44" spans="1:13" s="229" customFormat="1" ht="18.75">
      <c r="A44" s="358" t="s">
        <v>525</v>
      </c>
      <c r="B44" s="355"/>
      <c r="C44" s="355"/>
      <c r="D44" s="357">
        <f t="shared" ref="D44:K44" si="7">SUBTOTAL(9,D28:D43)</f>
        <v>14373108.57</v>
      </c>
      <c r="E44" s="357">
        <f t="shared" si="7"/>
        <v>12484258.880000001</v>
      </c>
      <c r="F44" s="364">
        <f t="shared" si="7"/>
        <v>11588929.600000001</v>
      </c>
      <c r="G44" s="364">
        <f t="shared" si="7"/>
        <v>11524576.460000001</v>
      </c>
      <c r="H44" s="364">
        <f t="shared" si="7"/>
        <v>1291129.69</v>
      </c>
      <c r="I44" s="357">
        <f t="shared" si="7"/>
        <v>12815706.15</v>
      </c>
      <c r="J44" s="364">
        <f t="shared" si="7"/>
        <v>13098767.199999999</v>
      </c>
      <c r="K44" s="357">
        <f t="shared" si="7"/>
        <v>-283061.04999999987</v>
      </c>
    </row>
    <row r="45" spans="1:13" s="230" customFormat="1" ht="18.75">
      <c r="A45" s="355" t="s">
        <v>1650</v>
      </c>
      <c r="B45" s="359" t="s">
        <v>1651</v>
      </c>
      <c r="C45" s="355" t="s">
        <v>1001</v>
      </c>
      <c r="D45" s="364">
        <v>1209285</v>
      </c>
      <c r="E45" s="364">
        <v>1047000</v>
      </c>
      <c r="F45" s="364">
        <v>1038100</v>
      </c>
      <c r="G45" s="364">
        <v>1031492</v>
      </c>
      <c r="H45" s="364">
        <v>93506.3</v>
      </c>
      <c r="I45" s="357">
        <f t="shared" ref="I45:I65" si="8">G45+H45</f>
        <v>1124998.3</v>
      </c>
      <c r="J45" s="364">
        <v>967428</v>
      </c>
      <c r="K45" s="357">
        <f t="shared" ref="K45:K65" si="9">I45-J45</f>
        <v>157570.30000000005</v>
      </c>
      <c r="L45" s="229"/>
      <c r="M45" s="229"/>
    </row>
    <row r="46" spans="1:13" s="230" customFormat="1" ht="18.75">
      <c r="A46" s="355" t="s">
        <v>1650</v>
      </c>
      <c r="B46" s="359" t="s">
        <v>1002</v>
      </c>
      <c r="C46" s="355" t="s">
        <v>1003</v>
      </c>
      <c r="D46" s="364">
        <v>313686.45</v>
      </c>
      <c r="E46" s="364">
        <v>271590</v>
      </c>
      <c r="F46" s="364">
        <v>246841</v>
      </c>
      <c r="G46" s="364">
        <v>240782.24</v>
      </c>
      <c r="H46" s="364">
        <v>24742</v>
      </c>
      <c r="I46" s="357">
        <f t="shared" si="8"/>
        <v>265524.24</v>
      </c>
      <c r="J46" s="364">
        <v>250949</v>
      </c>
      <c r="K46" s="357">
        <f t="shared" si="9"/>
        <v>14575.239999999991</v>
      </c>
      <c r="L46" s="229"/>
      <c r="M46" s="229"/>
    </row>
    <row r="47" spans="1:13" s="230" customFormat="1" ht="18.75">
      <c r="A47" s="355" t="s">
        <v>1650</v>
      </c>
      <c r="B47" s="359" t="s">
        <v>444</v>
      </c>
      <c r="C47" s="355" t="s">
        <v>1004</v>
      </c>
      <c r="D47" s="364">
        <v>1695303.75</v>
      </c>
      <c r="E47" s="364">
        <v>1413250</v>
      </c>
      <c r="F47" s="364">
        <v>1400862</v>
      </c>
      <c r="G47" s="364">
        <v>1385832</v>
      </c>
      <c r="H47" s="364">
        <v>173212.59</v>
      </c>
      <c r="I47" s="357">
        <f t="shared" si="8"/>
        <v>1559044.59</v>
      </c>
      <c r="J47" s="364">
        <v>1583128.59</v>
      </c>
      <c r="K47" s="357">
        <f t="shared" si="9"/>
        <v>-24084</v>
      </c>
      <c r="L47" s="229"/>
      <c r="M47" s="229"/>
    </row>
    <row r="48" spans="1:13" s="230" customFormat="1" ht="18.75">
      <c r="A48" s="355" t="s">
        <v>1650</v>
      </c>
      <c r="B48" s="359" t="s">
        <v>1652</v>
      </c>
      <c r="C48" s="355" t="s">
        <v>1005</v>
      </c>
      <c r="D48" s="364">
        <v>284287.5</v>
      </c>
      <c r="E48" s="364">
        <v>238500</v>
      </c>
      <c r="F48" s="364">
        <v>214619</v>
      </c>
      <c r="G48" s="364">
        <v>207729</v>
      </c>
      <c r="H48" s="364">
        <v>22030</v>
      </c>
      <c r="I48" s="357">
        <f t="shared" si="8"/>
        <v>229759</v>
      </c>
      <c r="J48" s="364">
        <v>227430</v>
      </c>
      <c r="K48" s="357">
        <f t="shared" si="9"/>
        <v>2329</v>
      </c>
      <c r="L48" s="229"/>
      <c r="M48" s="229"/>
    </row>
    <row r="49" spans="1:13" s="230" customFormat="1" ht="18.75">
      <c r="A49" s="355" t="s">
        <v>1650</v>
      </c>
      <c r="B49" s="359" t="s">
        <v>454</v>
      </c>
      <c r="C49" s="355" t="s">
        <v>1006</v>
      </c>
      <c r="D49" s="364">
        <v>529945.5</v>
      </c>
      <c r="E49" s="364">
        <v>436100</v>
      </c>
      <c r="F49" s="364">
        <v>396535</v>
      </c>
      <c r="G49" s="364">
        <v>379039</v>
      </c>
      <c r="H49" s="364">
        <v>52987</v>
      </c>
      <c r="I49" s="357">
        <f t="shared" si="8"/>
        <v>432026</v>
      </c>
      <c r="J49" s="364">
        <v>423956</v>
      </c>
      <c r="K49" s="357">
        <f t="shared" si="9"/>
        <v>8070</v>
      </c>
      <c r="L49" s="229"/>
      <c r="M49" s="229"/>
    </row>
    <row r="50" spans="1:13" s="230" customFormat="1" ht="18.75">
      <c r="A50" s="355" t="s">
        <v>1650</v>
      </c>
      <c r="B50" s="359" t="s">
        <v>453</v>
      </c>
      <c r="C50" s="355" t="s">
        <v>1007</v>
      </c>
      <c r="D50" s="364">
        <v>1518216</v>
      </c>
      <c r="E50" s="364">
        <v>1237200</v>
      </c>
      <c r="F50" s="364">
        <v>1228110</v>
      </c>
      <c r="G50" s="364">
        <v>1186205</v>
      </c>
      <c r="H50" s="364">
        <v>180568.33</v>
      </c>
      <c r="I50" s="357">
        <f t="shared" si="8"/>
        <v>1366773.33</v>
      </c>
      <c r="J50" s="364">
        <v>1214573</v>
      </c>
      <c r="K50" s="357">
        <f t="shared" si="9"/>
        <v>152200.33000000007</v>
      </c>
      <c r="L50" s="229"/>
      <c r="M50" s="229"/>
    </row>
    <row r="51" spans="1:13" s="230" customFormat="1" ht="18.75">
      <c r="A51" s="355" t="s">
        <v>1650</v>
      </c>
      <c r="B51" s="359" t="s">
        <v>1653</v>
      </c>
      <c r="C51" s="355" t="s">
        <v>1008</v>
      </c>
      <c r="D51" s="364">
        <v>910389.89</v>
      </c>
      <c r="E51" s="364">
        <v>645808.99</v>
      </c>
      <c r="F51" s="364">
        <v>590140</v>
      </c>
      <c r="G51" s="364">
        <v>587241</v>
      </c>
      <c r="H51" s="364">
        <v>54151</v>
      </c>
      <c r="I51" s="357">
        <f t="shared" si="8"/>
        <v>641392</v>
      </c>
      <c r="J51" s="364">
        <v>650747</v>
      </c>
      <c r="K51" s="357">
        <f t="shared" si="9"/>
        <v>-9355</v>
      </c>
      <c r="L51" s="229"/>
      <c r="M51" s="229"/>
    </row>
    <row r="52" spans="1:13" s="230" customFormat="1" ht="18.75">
      <c r="A52" s="355" t="s">
        <v>1650</v>
      </c>
      <c r="B52" s="359" t="s">
        <v>1654</v>
      </c>
      <c r="C52" s="355" t="s">
        <v>1009</v>
      </c>
      <c r="D52" s="364">
        <v>516286.13</v>
      </c>
      <c r="E52" s="364">
        <v>469351.03</v>
      </c>
      <c r="F52" s="364">
        <v>424299</v>
      </c>
      <c r="G52" s="364">
        <v>405971.73</v>
      </c>
      <c r="H52" s="364">
        <v>39930</v>
      </c>
      <c r="I52" s="357">
        <f t="shared" si="8"/>
        <v>445901.73</v>
      </c>
      <c r="J52" s="364">
        <v>413029</v>
      </c>
      <c r="K52" s="357">
        <f t="shared" si="9"/>
        <v>32872.729999999981</v>
      </c>
      <c r="L52" s="229"/>
      <c r="M52" s="229"/>
    </row>
    <row r="53" spans="1:13" s="230" customFormat="1" ht="18.75">
      <c r="A53" s="355" t="s">
        <v>1650</v>
      </c>
      <c r="B53" s="359" t="s">
        <v>1655</v>
      </c>
      <c r="C53" s="355" t="s">
        <v>1010</v>
      </c>
      <c r="D53" s="364">
        <v>680917.67</v>
      </c>
      <c r="E53" s="364">
        <v>591743.34</v>
      </c>
      <c r="F53" s="364">
        <v>537719</v>
      </c>
      <c r="G53" s="364">
        <v>534712</v>
      </c>
      <c r="H53" s="364">
        <v>76800</v>
      </c>
      <c r="I53" s="357">
        <f t="shared" si="8"/>
        <v>611512</v>
      </c>
      <c r="J53" s="364">
        <v>544734</v>
      </c>
      <c r="K53" s="357">
        <f t="shared" si="9"/>
        <v>66778</v>
      </c>
      <c r="L53" s="229"/>
      <c r="M53" s="229"/>
    </row>
    <row r="54" spans="1:13" s="230" customFormat="1" ht="18.75">
      <c r="A54" s="355" t="s">
        <v>1650</v>
      </c>
      <c r="B54" s="359" t="s">
        <v>1656</v>
      </c>
      <c r="C54" s="355" t="s">
        <v>1011</v>
      </c>
      <c r="D54" s="364">
        <v>292460</v>
      </c>
      <c r="E54" s="364">
        <v>238600</v>
      </c>
      <c r="F54" s="364">
        <v>215528</v>
      </c>
      <c r="G54" s="364">
        <v>214927</v>
      </c>
      <c r="H54" s="364">
        <v>49038.6</v>
      </c>
      <c r="I54" s="357">
        <f t="shared" si="8"/>
        <v>263965.59999999998</v>
      </c>
      <c r="J54" s="364">
        <v>233968</v>
      </c>
      <c r="K54" s="357">
        <f t="shared" si="9"/>
        <v>29997.599999999977</v>
      </c>
      <c r="L54" s="229"/>
      <c r="M54" s="229"/>
    </row>
    <row r="55" spans="1:13" s="230" customFormat="1" ht="18.75">
      <c r="A55" s="355" t="s">
        <v>1650</v>
      </c>
      <c r="B55" s="359" t="s">
        <v>1012</v>
      </c>
      <c r="C55" s="355" t="s">
        <v>1013</v>
      </c>
      <c r="D55" s="364">
        <v>271700</v>
      </c>
      <c r="E55" s="364">
        <v>247000</v>
      </c>
      <c r="F55" s="364">
        <v>223534</v>
      </c>
      <c r="G55" s="364">
        <v>222591</v>
      </c>
      <c r="H55" s="364">
        <v>22616</v>
      </c>
      <c r="I55" s="357">
        <f t="shared" si="8"/>
        <v>245207</v>
      </c>
      <c r="J55" s="364">
        <v>217360</v>
      </c>
      <c r="K55" s="357">
        <f t="shared" si="9"/>
        <v>27847</v>
      </c>
      <c r="L55" s="229"/>
      <c r="M55" s="229"/>
    </row>
    <row r="56" spans="1:13" s="230" customFormat="1" ht="18.75">
      <c r="A56" s="355" t="s">
        <v>1650</v>
      </c>
      <c r="B56" s="359" t="s">
        <v>1657</v>
      </c>
      <c r="C56" s="355" t="s">
        <v>1014</v>
      </c>
      <c r="D56" s="364">
        <v>1152663.1000000001</v>
      </c>
      <c r="E56" s="364">
        <v>1002421</v>
      </c>
      <c r="F56" s="364">
        <v>998759.84</v>
      </c>
      <c r="G56" s="364">
        <v>992937</v>
      </c>
      <c r="H56" s="364">
        <v>130531.52</v>
      </c>
      <c r="I56" s="357">
        <f t="shared" si="8"/>
        <v>1123468.52</v>
      </c>
      <c r="J56" s="364">
        <v>922130</v>
      </c>
      <c r="K56" s="357">
        <f t="shared" si="9"/>
        <v>201338.52000000002</v>
      </c>
      <c r="L56" s="229"/>
      <c r="M56" s="229"/>
    </row>
    <row r="57" spans="1:13" s="230" customFormat="1" ht="18.75">
      <c r="A57" s="355" t="s">
        <v>1650</v>
      </c>
      <c r="B57" s="359" t="s">
        <v>1658</v>
      </c>
      <c r="C57" s="355" t="s">
        <v>1015</v>
      </c>
      <c r="D57" s="364">
        <v>2074341.4</v>
      </c>
      <c r="E57" s="364">
        <v>1836674</v>
      </c>
      <c r="F57" s="364">
        <v>1820724</v>
      </c>
      <c r="G57" s="364">
        <v>1806409</v>
      </c>
      <c r="H57" s="364">
        <v>200852.95</v>
      </c>
      <c r="I57" s="357">
        <f t="shared" si="8"/>
        <v>2007261.95</v>
      </c>
      <c r="J57" s="364">
        <v>1659473</v>
      </c>
      <c r="K57" s="357">
        <f t="shared" si="9"/>
        <v>347788.94999999995</v>
      </c>
      <c r="L57" s="229"/>
      <c r="M57" s="229"/>
    </row>
    <row r="58" spans="1:13" s="230" customFormat="1" ht="18.75">
      <c r="A58" s="358" t="s">
        <v>502</v>
      </c>
      <c r="B58" s="359"/>
      <c r="C58" s="355"/>
      <c r="D58" s="364">
        <f t="shared" ref="D58:K58" si="10">SUBTOTAL(9,D45:D57)</f>
        <v>11449482.390000001</v>
      </c>
      <c r="E58" s="364">
        <f t="shared" si="10"/>
        <v>9675238.3599999994</v>
      </c>
      <c r="F58" s="364">
        <f t="shared" si="10"/>
        <v>9335770.8399999999</v>
      </c>
      <c r="G58" s="364">
        <f t="shared" si="10"/>
        <v>9195867.9700000007</v>
      </c>
      <c r="H58" s="364">
        <f t="shared" si="10"/>
        <v>1120966.29</v>
      </c>
      <c r="I58" s="357">
        <f t="shared" si="10"/>
        <v>10316834.259999998</v>
      </c>
      <c r="J58" s="364">
        <f t="shared" si="10"/>
        <v>9308905.5899999999</v>
      </c>
      <c r="K58" s="357">
        <f t="shared" si="10"/>
        <v>1007928.67</v>
      </c>
      <c r="L58" s="229"/>
      <c r="M58" s="229"/>
    </row>
    <row r="59" spans="1:13" ht="18.75">
      <c r="A59" s="355" t="s">
        <v>1659</v>
      </c>
      <c r="B59" s="370" t="s">
        <v>1660</v>
      </c>
      <c r="C59" s="355" t="s">
        <v>1016</v>
      </c>
      <c r="D59" s="364">
        <v>1544350.5</v>
      </c>
      <c r="E59" s="364">
        <v>1337100</v>
      </c>
      <c r="F59" s="364">
        <v>1155000</v>
      </c>
      <c r="G59" s="364">
        <v>1150023.9099999999</v>
      </c>
      <c r="H59" s="364">
        <v>117953</v>
      </c>
      <c r="I59" s="357">
        <f t="shared" si="8"/>
        <v>1267976.9099999999</v>
      </c>
      <c r="J59" s="364">
        <v>1235480</v>
      </c>
      <c r="K59" s="357">
        <f t="shared" si="9"/>
        <v>32496.909999999916</v>
      </c>
    </row>
    <row r="60" spans="1:13" ht="18.75">
      <c r="A60" s="355" t="s">
        <v>1659</v>
      </c>
      <c r="B60" s="370" t="s">
        <v>1661</v>
      </c>
      <c r="C60" s="355" t="s">
        <v>1017</v>
      </c>
      <c r="D60" s="364">
        <v>582120</v>
      </c>
      <c r="E60" s="364">
        <v>504000</v>
      </c>
      <c r="F60" s="364">
        <v>456008</v>
      </c>
      <c r="G60" s="364">
        <v>454230.87</v>
      </c>
      <c r="H60" s="364">
        <v>26562</v>
      </c>
      <c r="I60" s="357">
        <f t="shared" si="8"/>
        <v>480792.87</v>
      </c>
      <c r="J60" s="364">
        <v>465696</v>
      </c>
      <c r="K60" s="357">
        <f t="shared" si="9"/>
        <v>15096.869999999995</v>
      </c>
    </row>
    <row r="61" spans="1:13" ht="18.75">
      <c r="A61" s="355" t="s">
        <v>1659</v>
      </c>
      <c r="B61" s="370" t="s">
        <v>1018</v>
      </c>
      <c r="C61" s="355" t="s">
        <v>1019</v>
      </c>
      <c r="D61" s="364">
        <v>513975</v>
      </c>
      <c r="E61" s="364">
        <v>445000</v>
      </c>
      <c r="F61" s="364">
        <v>404916</v>
      </c>
      <c r="G61" s="364">
        <v>402467</v>
      </c>
      <c r="H61" s="364">
        <v>10675</v>
      </c>
      <c r="I61" s="357">
        <f t="shared" si="8"/>
        <v>413142</v>
      </c>
      <c r="J61" s="364">
        <v>411180</v>
      </c>
      <c r="K61" s="357">
        <f t="shared" si="9"/>
        <v>1962</v>
      </c>
    </row>
    <row r="62" spans="1:13" ht="18.75">
      <c r="A62" s="355" t="s">
        <v>1659</v>
      </c>
      <c r="B62" s="370" t="s">
        <v>1662</v>
      </c>
      <c r="C62" s="355" t="s">
        <v>1020</v>
      </c>
      <c r="D62" s="364">
        <v>632624</v>
      </c>
      <c r="E62" s="364">
        <v>547840</v>
      </c>
      <c r="F62" s="364">
        <v>496188</v>
      </c>
      <c r="G62" s="364">
        <v>480402.86</v>
      </c>
      <c r="H62" s="364">
        <v>39700</v>
      </c>
      <c r="I62" s="357">
        <f t="shared" si="8"/>
        <v>520102.86</v>
      </c>
      <c r="J62" s="364">
        <v>535888</v>
      </c>
      <c r="K62" s="357">
        <f t="shared" si="9"/>
        <v>-15785.140000000014</v>
      </c>
    </row>
    <row r="63" spans="1:13" ht="18.75">
      <c r="A63" s="355" t="s">
        <v>1659</v>
      </c>
      <c r="B63" s="370" t="s">
        <v>1663</v>
      </c>
      <c r="C63" s="355" t="s">
        <v>1021</v>
      </c>
      <c r="D63" s="364">
        <v>1956174</v>
      </c>
      <c r="E63" s="364">
        <v>1714704</v>
      </c>
      <c r="F63" s="364">
        <v>1670000</v>
      </c>
      <c r="G63" s="364">
        <v>1668315</v>
      </c>
      <c r="H63" s="364">
        <v>233647</v>
      </c>
      <c r="I63" s="357">
        <f t="shared" si="8"/>
        <v>1901962</v>
      </c>
      <c r="J63" s="364">
        <v>1903647</v>
      </c>
      <c r="K63" s="357">
        <f t="shared" si="9"/>
        <v>-1685</v>
      </c>
    </row>
    <row r="64" spans="1:13" ht="18.75">
      <c r="A64" s="355" t="s">
        <v>1659</v>
      </c>
      <c r="B64" s="370" t="s">
        <v>1660</v>
      </c>
      <c r="C64" s="355" t="s">
        <v>1022</v>
      </c>
      <c r="D64" s="364">
        <v>706856</v>
      </c>
      <c r="E64" s="364">
        <v>615324</v>
      </c>
      <c r="F64" s="364">
        <v>562952</v>
      </c>
      <c r="G64" s="364">
        <v>562464</v>
      </c>
      <c r="H64" s="364">
        <v>62950</v>
      </c>
      <c r="I64" s="357">
        <f t="shared" si="8"/>
        <v>625414</v>
      </c>
      <c r="J64" s="364">
        <v>565485</v>
      </c>
      <c r="K64" s="357">
        <f t="shared" si="9"/>
        <v>59929</v>
      </c>
    </row>
    <row r="65" spans="1:11" ht="18.75">
      <c r="A65" s="355" t="s">
        <v>1659</v>
      </c>
      <c r="B65" s="370" t="s">
        <v>1664</v>
      </c>
      <c r="C65" s="355" t="s">
        <v>1023</v>
      </c>
      <c r="D65" s="364">
        <v>413508</v>
      </c>
      <c r="E65" s="364">
        <v>375916</v>
      </c>
      <c r="F65" s="364">
        <v>340845</v>
      </c>
      <c r="G65" s="364">
        <v>331263</v>
      </c>
      <c r="H65" s="364">
        <v>25400</v>
      </c>
      <c r="I65" s="357">
        <f t="shared" si="8"/>
        <v>356663</v>
      </c>
      <c r="J65" s="364">
        <v>330806</v>
      </c>
      <c r="K65" s="357">
        <f t="shared" si="9"/>
        <v>25857</v>
      </c>
    </row>
    <row r="66" spans="1:11" ht="18.75">
      <c r="A66" s="358" t="s">
        <v>527</v>
      </c>
      <c r="B66" s="370"/>
      <c r="C66" s="355"/>
      <c r="D66" s="364">
        <f t="shared" ref="D66:K66" si="11">SUBTOTAL(9,D59:D65)</f>
        <v>6349607.5</v>
      </c>
      <c r="E66" s="364">
        <f t="shared" si="11"/>
        <v>5539884</v>
      </c>
      <c r="F66" s="364">
        <f t="shared" si="11"/>
        <v>5085909</v>
      </c>
      <c r="G66" s="364">
        <f t="shared" si="11"/>
        <v>5049166.6399999997</v>
      </c>
      <c r="H66" s="364">
        <f t="shared" si="11"/>
        <v>516887</v>
      </c>
      <c r="I66" s="357">
        <f t="shared" si="11"/>
        <v>5566053.6399999997</v>
      </c>
      <c r="J66" s="364">
        <f t="shared" si="11"/>
        <v>5448182</v>
      </c>
      <c r="K66" s="357">
        <f t="shared" si="11"/>
        <v>117871.6399999999</v>
      </c>
    </row>
    <row r="67" spans="1:11" ht="18.75">
      <c r="A67" s="358" t="s">
        <v>492</v>
      </c>
      <c r="B67" s="370"/>
      <c r="C67" s="355"/>
      <c r="D67" s="364">
        <f t="shared" ref="D67:K67" si="12">SUBTOTAL(9,D3:D65)</f>
        <v>55867977.605000012</v>
      </c>
      <c r="E67" s="364">
        <f t="shared" si="12"/>
        <v>48187768.790000007</v>
      </c>
      <c r="F67" s="364">
        <f t="shared" si="12"/>
        <v>46139609.75</v>
      </c>
      <c r="G67" s="364">
        <f t="shared" si="12"/>
        <v>45788201.799999997</v>
      </c>
      <c r="H67" s="364">
        <f t="shared" si="12"/>
        <v>5523992.0599999996</v>
      </c>
      <c r="I67" s="357">
        <f t="shared" si="12"/>
        <v>51312193.860000007</v>
      </c>
      <c r="J67" s="364">
        <f t="shared" si="12"/>
        <v>48256286.370000005</v>
      </c>
      <c r="K67" s="357">
        <f t="shared" si="12"/>
        <v>3055907.4899999998</v>
      </c>
    </row>
    <row r="68" spans="1:11" ht="18.75">
      <c r="D68" s="231"/>
      <c r="E68" s="232"/>
      <c r="F68" s="232"/>
      <c r="G68" s="232"/>
      <c r="H68" s="232"/>
      <c r="I68" s="232"/>
      <c r="J68" s="231"/>
      <c r="K68" s="233"/>
    </row>
  </sheetData>
  <mergeCells count="1">
    <mergeCell ref="A1:K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0" orientation="landscape" r:id="rId1"/>
  <headerFooter>
    <oddFooter>第 &amp;P 页，共 &amp;N 页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>
  <dimension ref="A1:K74"/>
  <sheetViews>
    <sheetView workbookViewId="0">
      <pane xSplit="4" ySplit="2" topLeftCell="E21" activePane="bottomRight" state="frozen"/>
      <selection pane="topRight" activeCell="E1" sqref="E1"/>
      <selection pane="bottomLeft" activeCell="A3" sqref="A3"/>
      <selection pane="bottomRight" activeCell="J29" activeCellId="4" sqref="J21 J22 J25 J27 J29"/>
    </sheetView>
  </sheetViews>
  <sheetFormatPr defaultColWidth="9" defaultRowHeight="11.25"/>
  <cols>
    <col min="1" max="1" width="9" style="41"/>
    <col min="2" max="2" width="23.625" style="1" customWidth="1"/>
    <col min="3" max="3" width="11.5" style="1" customWidth="1"/>
    <col min="4" max="4" width="18.625" style="42" customWidth="1"/>
    <col min="5" max="5" width="16.875" style="1" customWidth="1"/>
    <col min="6" max="7" width="16" style="1" customWidth="1"/>
    <col min="8" max="8" width="17.125" style="1" customWidth="1"/>
    <col min="9" max="9" width="14.75" style="1" customWidth="1"/>
    <col min="10" max="10" width="16.5" style="1" customWidth="1"/>
    <col min="11" max="11" width="12.125" style="1" customWidth="1"/>
    <col min="12" max="16384" width="9" style="1"/>
  </cols>
  <sheetData>
    <row r="1" spans="1:11" ht="25.5">
      <c r="A1" s="572" t="s">
        <v>929</v>
      </c>
      <c r="B1" s="573"/>
      <c r="C1" s="573"/>
      <c r="D1" s="573"/>
      <c r="E1" s="573"/>
      <c r="F1" s="573"/>
      <c r="G1" s="573"/>
      <c r="H1" s="573"/>
      <c r="I1" s="573"/>
      <c r="J1" s="573"/>
      <c r="K1" s="573"/>
    </row>
    <row r="2" spans="1:11" ht="18" customHeight="1">
      <c r="A2" s="2" t="s">
        <v>12</v>
      </c>
      <c r="B2" s="2" t="s">
        <v>13</v>
      </c>
      <c r="C2" s="2" t="s">
        <v>14</v>
      </c>
      <c r="D2" s="3" t="s">
        <v>15</v>
      </c>
      <c r="E2" s="3" t="s">
        <v>16</v>
      </c>
      <c r="F2" s="3" t="s">
        <v>17</v>
      </c>
      <c r="G2" s="3" t="s">
        <v>18</v>
      </c>
      <c r="H2" s="3" t="s">
        <v>19</v>
      </c>
      <c r="I2" s="3" t="s">
        <v>20</v>
      </c>
      <c r="J2" s="3" t="s">
        <v>21</v>
      </c>
      <c r="K2" s="4" t="s">
        <v>22</v>
      </c>
    </row>
    <row r="3" spans="1:11" ht="18" customHeight="1">
      <c r="A3" s="5" t="s">
        <v>23</v>
      </c>
      <c r="B3" s="6" t="s">
        <v>24</v>
      </c>
      <c r="C3" s="6"/>
      <c r="D3" s="7" t="s">
        <v>25</v>
      </c>
      <c r="E3" s="8">
        <f>E4+E31+E38</f>
        <v>26536179.619999997</v>
      </c>
      <c r="F3" s="8">
        <f>F4+F31+F38</f>
        <v>18061468.170000002</v>
      </c>
      <c r="G3" s="8">
        <f>G4+G31+G38</f>
        <v>10135036.75</v>
      </c>
      <c r="H3" s="8">
        <f>H4+H31+H38</f>
        <v>2599846.7100000004</v>
      </c>
      <c r="I3" s="8">
        <f>I4+I31+I38</f>
        <v>57911241.810000002</v>
      </c>
      <c r="J3" s="8">
        <f t="shared" ref="J3:J66" si="0">SUM(E3:I3)</f>
        <v>115243773.06</v>
      </c>
      <c r="K3" s="9"/>
    </row>
    <row r="4" spans="1:11" ht="18" customHeight="1">
      <c r="A4" s="5" t="s">
        <v>26</v>
      </c>
      <c r="B4" s="6" t="s">
        <v>0</v>
      </c>
      <c r="C4" s="6"/>
      <c r="D4" s="7" t="s">
        <v>25</v>
      </c>
      <c r="E4" s="8">
        <f>E5+E8+E12+E15+E20+E25+E27+E29+E30</f>
        <v>23190170.719999999</v>
      </c>
      <c r="F4" s="8">
        <f>F5+F8+F12+F15+F20+F25+F27+F29+F30</f>
        <v>15357386.32</v>
      </c>
      <c r="G4" s="8">
        <f>G5+G8+G12+G15+G20+G25+G27+G29+G30</f>
        <v>8841872.8599999994</v>
      </c>
      <c r="H4" s="8">
        <f>H5+H8+H12+H15+H20+H25+H27+H29+H30</f>
        <v>2229275.2800000003</v>
      </c>
      <c r="I4" s="8">
        <f>I5+I8+I12+I15+I20+I25+I27+I29+I30</f>
        <v>48444497.800000004</v>
      </c>
      <c r="J4" s="8">
        <f t="shared" si="0"/>
        <v>98063202.980000004</v>
      </c>
      <c r="K4" s="9"/>
    </row>
    <row r="5" spans="1:11" ht="18" customHeight="1">
      <c r="A5" s="5" t="s">
        <v>27</v>
      </c>
      <c r="B5" s="6" t="s">
        <v>28</v>
      </c>
      <c r="C5" s="6"/>
      <c r="D5" s="7" t="s">
        <v>25</v>
      </c>
      <c r="E5" s="8">
        <f>E6+E7</f>
        <v>2996712</v>
      </c>
      <c r="F5" s="8">
        <f>F6+F7</f>
        <v>1850328</v>
      </c>
      <c r="G5" s="8">
        <f>G6+G7</f>
        <v>1049292</v>
      </c>
      <c r="H5" s="8">
        <f>H6+H7</f>
        <v>310344</v>
      </c>
      <c r="I5" s="8">
        <f>I6+I7</f>
        <v>6650000</v>
      </c>
      <c r="J5" s="8">
        <f t="shared" si="0"/>
        <v>12856676</v>
      </c>
      <c r="K5" s="9"/>
    </row>
    <row r="6" spans="1:11" ht="18" customHeight="1">
      <c r="A6" s="5" t="s">
        <v>29</v>
      </c>
      <c r="B6" s="6" t="s">
        <v>30</v>
      </c>
      <c r="C6" s="6" t="s">
        <v>31</v>
      </c>
      <c r="D6" s="7" t="s">
        <v>32</v>
      </c>
      <c r="E6" s="10">
        <v>1760496</v>
      </c>
      <c r="F6" s="10">
        <v>1137300</v>
      </c>
      <c r="G6" s="10">
        <v>696240</v>
      </c>
      <c r="H6" s="10">
        <v>161832</v>
      </c>
      <c r="I6" s="10">
        <v>3350000</v>
      </c>
      <c r="J6" s="8">
        <f t="shared" si="0"/>
        <v>7105868</v>
      </c>
      <c r="K6" s="11"/>
    </row>
    <row r="7" spans="1:11" ht="18" customHeight="1">
      <c r="A7" s="5" t="s">
        <v>33</v>
      </c>
      <c r="B7" s="6" t="s">
        <v>34</v>
      </c>
      <c r="C7" s="6" t="s">
        <v>31</v>
      </c>
      <c r="D7" s="7" t="s">
        <v>32</v>
      </c>
      <c r="E7" s="10">
        <v>1236216</v>
      </c>
      <c r="F7" s="10">
        <v>713028</v>
      </c>
      <c r="G7" s="10">
        <v>353052</v>
      </c>
      <c r="H7" s="10">
        <v>148512</v>
      </c>
      <c r="I7" s="10">
        <v>3300000</v>
      </c>
      <c r="J7" s="8">
        <f t="shared" si="0"/>
        <v>5750808</v>
      </c>
      <c r="K7" s="9"/>
    </row>
    <row r="8" spans="1:11" ht="18" customHeight="1">
      <c r="A8" s="5" t="s">
        <v>35</v>
      </c>
      <c r="B8" s="6" t="s">
        <v>36</v>
      </c>
      <c r="C8" s="6"/>
      <c r="D8" s="7" t="s">
        <v>25</v>
      </c>
      <c r="E8" s="8">
        <f>E9+E10</f>
        <v>363768</v>
      </c>
      <c r="F8" s="8">
        <f>F9+F10</f>
        <v>245304</v>
      </c>
      <c r="G8" s="8">
        <f>G9+G10</f>
        <v>144024</v>
      </c>
      <c r="H8" s="8">
        <f>H9+H10</f>
        <v>32196</v>
      </c>
      <c r="I8" s="8">
        <f>I9+I10</f>
        <v>649320</v>
      </c>
      <c r="J8" s="8">
        <f t="shared" si="0"/>
        <v>1434612</v>
      </c>
      <c r="K8" s="9"/>
    </row>
    <row r="9" spans="1:11" ht="18" customHeight="1">
      <c r="A9" s="5" t="s">
        <v>37</v>
      </c>
      <c r="B9" s="6" t="s">
        <v>38</v>
      </c>
      <c r="C9" s="6" t="s">
        <v>31</v>
      </c>
      <c r="D9" s="7" t="s">
        <v>32</v>
      </c>
      <c r="E9" s="10">
        <v>4728</v>
      </c>
      <c r="F9" s="10">
        <v>2424</v>
      </c>
      <c r="G9" s="10">
        <v>1464</v>
      </c>
      <c r="H9" s="10">
        <v>516</v>
      </c>
      <c r="I9" s="10">
        <v>21000</v>
      </c>
      <c r="J9" s="8">
        <f t="shared" si="0"/>
        <v>30132</v>
      </c>
      <c r="K9" s="9"/>
    </row>
    <row r="10" spans="1:11" ht="18" customHeight="1">
      <c r="A10" s="5" t="s">
        <v>39</v>
      </c>
      <c r="B10" s="6" t="s">
        <v>40</v>
      </c>
      <c r="C10" s="6"/>
      <c r="D10" s="7" t="s">
        <v>25</v>
      </c>
      <c r="E10" s="8">
        <f>E11</f>
        <v>359040</v>
      </c>
      <c r="F10" s="8">
        <f>F11</f>
        <v>242880</v>
      </c>
      <c r="G10" s="8">
        <f>G11</f>
        <v>142560</v>
      </c>
      <c r="H10" s="8">
        <f>H11</f>
        <v>31680</v>
      </c>
      <c r="I10" s="8">
        <f>I11</f>
        <v>628320</v>
      </c>
      <c r="J10" s="8">
        <f t="shared" si="0"/>
        <v>1404480</v>
      </c>
      <c r="K10" s="9"/>
    </row>
    <row r="11" spans="1:11" s="13" customFormat="1" ht="18" customHeight="1">
      <c r="A11" s="5" t="s">
        <v>41</v>
      </c>
      <c r="B11" s="12" t="s">
        <v>42</v>
      </c>
      <c r="C11" s="12" t="s">
        <v>31</v>
      </c>
      <c r="D11" s="9" t="s">
        <v>25</v>
      </c>
      <c r="E11" s="8">
        <f>440*12*E61</f>
        <v>359040</v>
      </c>
      <c r="F11" s="8">
        <f>440*12*F61</f>
        <v>242880</v>
      </c>
      <c r="G11" s="8">
        <f>440*12*G61</f>
        <v>142560</v>
      </c>
      <c r="H11" s="8">
        <f>440*12*H61</f>
        <v>31680</v>
      </c>
      <c r="I11" s="8">
        <f>440*12*I61</f>
        <v>628320</v>
      </c>
      <c r="J11" s="8">
        <f t="shared" si="0"/>
        <v>1404480</v>
      </c>
      <c r="K11" s="9"/>
    </row>
    <row r="12" spans="1:11" ht="18" customHeight="1">
      <c r="A12" s="5" t="s">
        <v>43</v>
      </c>
      <c r="B12" s="6" t="s">
        <v>44</v>
      </c>
      <c r="C12" s="6"/>
      <c r="D12" s="7" t="s">
        <v>45</v>
      </c>
      <c r="E12" s="8">
        <f>E13+E14</f>
        <v>113490.72</v>
      </c>
      <c r="F12" s="8">
        <f>F13+F14</f>
        <v>74254.320000000007</v>
      </c>
      <c r="G12" s="8">
        <f>G13+G14</f>
        <v>41345.42</v>
      </c>
      <c r="H12" s="8">
        <f>H13+H14</f>
        <v>11178.14</v>
      </c>
      <c r="I12" s="8">
        <f>I13+I14</f>
        <v>252569.24</v>
      </c>
      <c r="J12" s="8">
        <f t="shared" si="0"/>
        <v>492837.84</v>
      </c>
      <c r="K12" s="9"/>
    </row>
    <row r="13" spans="1:11" s="44" customFormat="1" ht="18" customHeight="1">
      <c r="A13" s="14" t="s">
        <v>46</v>
      </c>
      <c r="B13" s="43" t="s">
        <v>47</v>
      </c>
      <c r="C13" s="43" t="s">
        <v>31</v>
      </c>
      <c r="D13" s="26" t="s">
        <v>48</v>
      </c>
      <c r="E13" s="18">
        <f>ROUND(E29/0.07*0.00256,2)</f>
        <v>38430.720000000001</v>
      </c>
      <c r="F13" s="18">
        <f>ROUND(F29/0.07*0.00256,2)</f>
        <v>25144.32</v>
      </c>
      <c r="G13" s="18">
        <f>ROUND(G29/0.07*0.00256,2)</f>
        <v>14000.42</v>
      </c>
      <c r="H13" s="18">
        <f>ROUND(H29/0.07*0.00256,2)</f>
        <v>3785.14</v>
      </c>
      <c r="I13" s="18">
        <f>ROUND(I29/0.07*0.00256,2)</f>
        <v>85526.24</v>
      </c>
      <c r="J13" s="18">
        <f t="shared" si="0"/>
        <v>166886.84000000003</v>
      </c>
      <c r="K13" s="26"/>
    </row>
    <row r="14" spans="1:11" s="44" customFormat="1" ht="18" customHeight="1">
      <c r="A14" s="14" t="s">
        <v>49</v>
      </c>
      <c r="B14" s="43" t="s">
        <v>50</v>
      </c>
      <c r="C14" s="43" t="s">
        <v>31</v>
      </c>
      <c r="D14" s="26" t="s">
        <v>48</v>
      </c>
      <c r="E14" s="18">
        <f>ROUND(E29/0.07*0.005,0)</f>
        <v>75060</v>
      </c>
      <c r="F14" s="18">
        <f>ROUND(F29/0.07*0.005,0)</f>
        <v>49110</v>
      </c>
      <c r="G14" s="18">
        <f>ROUND(G29/0.07*0.005,0)</f>
        <v>27345</v>
      </c>
      <c r="H14" s="18">
        <f>ROUND(H29/0.07*0.005,0)</f>
        <v>7393</v>
      </c>
      <c r="I14" s="18">
        <f>ROUND(I29/0.07*0.005,0)</f>
        <v>167043</v>
      </c>
      <c r="J14" s="18">
        <f t="shared" si="0"/>
        <v>325951</v>
      </c>
      <c r="K14" s="26"/>
    </row>
    <row r="15" spans="1:11" s="19" customFormat="1" ht="18" customHeight="1">
      <c r="A15" s="14" t="s">
        <v>51</v>
      </c>
      <c r="B15" s="24" t="s">
        <v>52</v>
      </c>
      <c r="C15" s="24"/>
      <c r="D15" s="45" t="s">
        <v>25</v>
      </c>
      <c r="E15" s="18">
        <f>E16+E17+E18+E19</f>
        <v>12960800</v>
      </c>
      <c r="F15" s="18">
        <f>F16+F17+F18+F19</f>
        <v>8767600</v>
      </c>
      <c r="G15" s="18">
        <f>G16+G17+G18+G19</f>
        <v>5146200</v>
      </c>
      <c r="H15" s="18">
        <f>H16+H17+H18+H19</f>
        <v>1210200</v>
      </c>
      <c r="I15" s="18">
        <f>I16+I17+I18+I19</f>
        <v>25858700</v>
      </c>
      <c r="J15" s="18">
        <f t="shared" si="0"/>
        <v>53943500</v>
      </c>
      <c r="K15" s="26"/>
    </row>
    <row r="16" spans="1:11" s="19" customFormat="1" ht="18" customHeight="1">
      <c r="A16" s="14" t="s">
        <v>53</v>
      </c>
      <c r="B16" s="15" t="s">
        <v>54</v>
      </c>
      <c r="C16" s="15" t="s">
        <v>31</v>
      </c>
      <c r="D16" s="16" t="s">
        <v>55</v>
      </c>
      <c r="E16" s="17">
        <v>12026236</v>
      </c>
      <c r="F16" s="17">
        <v>8181536</v>
      </c>
      <c r="G16" s="17">
        <v>4984200</v>
      </c>
      <c r="H16" s="17">
        <v>1174200</v>
      </c>
      <c r="I16" s="17">
        <v>23262216</v>
      </c>
      <c r="J16" s="18">
        <f t="shared" si="0"/>
        <v>49628388</v>
      </c>
      <c r="K16" s="16"/>
    </row>
    <row r="17" spans="1:11" s="19" customFormat="1" ht="18" customHeight="1">
      <c r="A17" s="14" t="s">
        <v>56</v>
      </c>
      <c r="B17" s="15" t="s">
        <v>57</v>
      </c>
      <c r="C17" s="15" t="s">
        <v>31</v>
      </c>
      <c r="D17" s="16" t="s">
        <v>58</v>
      </c>
      <c r="E17" s="17">
        <v>526564</v>
      </c>
      <c r="F17" s="17">
        <v>310064</v>
      </c>
      <c r="G17" s="17"/>
      <c r="H17" s="17"/>
      <c r="I17" s="17">
        <v>692484</v>
      </c>
      <c r="J17" s="18">
        <f t="shared" si="0"/>
        <v>1529112</v>
      </c>
      <c r="K17" s="16"/>
    </row>
    <row r="18" spans="1:11" ht="18" customHeight="1">
      <c r="A18" s="5" t="s">
        <v>59</v>
      </c>
      <c r="B18" s="20" t="s">
        <v>60</v>
      </c>
      <c r="C18" s="20" t="s">
        <v>31</v>
      </c>
      <c r="D18" s="7" t="s">
        <v>25</v>
      </c>
      <c r="E18" s="21">
        <f>E61*500*12</f>
        <v>408000</v>
      </c>
      <c r="F18" s="21">
        <f>F61*500*12</f>
        <v>276000</v>
      </c>
      <c r="G18" s="21">
        <f>G61*500*12</f>
        <v>162000</v>
      </c>
      <c r="H18" s="21">
        <f>H61*500*12</f>
        <v>36000</v>
      </c>
      <c r="I18" s="21">
        <f>I61*500*12</f>
        <v>714000</v>
      </c>
      <c r="J18" s="8">
        <f t="shared" si="0"/>
        <v>1596000</v>
      </c>
      <c r="K18" s="22"/>
    </row>
    <row r="19" spans="1:11" ht="18" customHeight="1">
      <c r="A19" s="5" t="s">
        <v>61</v>
      </c>
      <c r="B19" s="20" t="s">
        <v>62</v>
      </c>
      <c r="C19" s="20" t="s">
        <v>31</v>
      </c>
      <c r="D19" s="7" t="s">
        <v>32</v>
      </c>
      <c r="E19" s="23"/>
      <c r="F19" s="23"/>
      <c r="G19" s="23"/>
      <c r="H19" s="23"/>
      <c r="I19" s="23">
        <f>10000*I61</f>
        <v>1190000</v>
      </c>
      <c r="J19" s="8">
        <f t="shared" si="0"/>
        <v>1190000</v>
      </c>
      <c r="K19" s="22"/>
    </row>
    <row r="20" spans="1:11" ht="18" customHeight="1">
      <c r="A20" s="5" t="s">
        <v>63</v>
      </c>
      <c r="B20" s="6" t="s">
        <v>64</v>
      </c>
      <c r="C20" s="6"/>
      <c r="D20" s="22" t="s">
        <v>25</v>
      </c>
      <c r="E20" s="21">
        <f>E21+E22</f>
        <v>2101680</v>
      </c>
      <c r="F20" s="21">
        <f>F21+F22</f>
        <v>1375080</v>
      </c>
      <c r="G20" s="21">
        <f>G21+G22</f>
        <v>765648.01</v>
      </c>
      <c r="H20" s="21">
        <f>H21+H22</f>
        <v>207000</v>
      </c>
      <c r="I20" s="21">
        <f>I21+I22</f>
        <v>4677215.99</v>
      </c>
      <c r="J20" s="8">
        <f t="shared" si="0"/>
        <v>9126624</v>
      </c>
      <c r="K20" s="22"/>
    </row>
    <row r="21" spans="1:11" ht="18" customHeight="1">
      <c r="A21" s="5" t="s">
        <v>65</v>
      </c>
      <c r="B21" s="6" t="s">
        <v>66</v>
      </c>
      <c r="C21" s="6" t="s">
        <v>67</v>
      </c>
      <c r="D21" s="22" t="s">
        <v>25</v>
      </c>
      <c r="E21" s="21">
        <f>ROUND(E29/0.07*0.1,2)</f>
        <v>1501200</v>
      </c>
      <c r="F21" s="21">
        <f>ROUND(F29/0.07*0.1,2)</f>
        <v>982200</v>
      </c>
      <c r="G21" s="21">
        <f>ROUND(G29/0.07*0.1,2)</f>
        <v>546891.43000000005</v>
      </c>
      <c r="H21" s="21">
        <f>ROUND(H29/0.07*0.1,2)</f>
        <v>147857.14000000001</v>
      </c>
      <c r="I21" s="21">
        <f>ROUND(I29/0.07*0.1,2)</f>
        <v>3340868.57</v>
      </c>
      <c r="J21" s="8">
        <f t="shared" si="0"/>
        <v>6519017.1400000006</v>
      </c>
      <c r="K21" s="22"/>
    </row>
    <row r="22" spans="1:11" ht="18" customHeight="1">
      <c r="A22" s="5" t="s">
        <v>68</v>
      </c>
      <c r="B22" s="6" t="s">
        <v>69</v>
      </c>
      <c r="C22" s="6" t="s">
        <v>67</v>
      </c>
      <c r="D22" s="22" t="s">
        <v>48</v>
      </c>
      <c r="E22" s="21">
        <f>E23+E24</f>
        <v>600480</v>
      </c>
      <c r="F22" s="21">
        <f>F23+F24</f>
        <v>392880</v>
      </c>
      <c r="G22" s="21">
        <f>G23+G24</f>
        <v>218756.58</v>
      </c>
      <c r="H22" s="21">
        <f>H23+H24</f>
        <v>59142.86</v>
      </c>
      <c r="I22" s="21">
        <f>I23+I24</f>
        <v>1336347.42</v>
      </c>
      <c r="J22" s="8">
        <f t="shared" si="0"/>
        <v>2607606.8600000003</v>
      </c>
      <c r="K22" s="22"/>
    </row>
    <row r="23" spans="1:11" ht="18" customHeight="1">
      <c r="A23" s="5" t="s">
        <v>70</v>
      </c>
      <c r="B23" s="6" t="s">
        <v>71</v>
      </c>
      <c r="C23" s="6" t="s">
        <v>67</v>
      </c>
      <c r="D23" s="22" t="s">
        <v>48</v>
      </c>
      <c r="E23" s="21">
        <f>ROUND(E29/0.07*0.02,2)</f>
        <v>300240</v>
      </c>
      <c r="F23" s="21">
        <f>ROUND(F29/0.07*0.02,2)</f>
        <v>196440</v>
      </c>
      <c r="G23" s="21">
        <f>ROUND(G29/0.07*0.02,2)</f>
        <v>109378.29</v>
      </c>
      <c r="H23" s="21">
        <f>ROUND(H29/0.07*0.02,2)</f>
        <v>29571.43</v>
      </c>
      <c r="I23" s="21">
        <f>ROUND(I29/0.07*0.02,2)</f>
        <v>668173.71</v>
      </c>
      <c r="J23" s="8">
        <f t="shared" si="0"/>
        <v>1303803.4300000002</v>
      </c>
      <c r="K23" s="22"/>
    </row>
    <row r="24" spans="1:11" ht="18" customHeight="1">
      <c r="A24" s="5" t="s">
        <v>72</v>
      </c>
      <c r="B24" s="6" t="s">
        <v>73</v>
      </c>
      <c r="C24" s="6" t="s">
        <v>67</v>
      </c>
      <c r="D24" s="22" t="s">
        <v>48</v>
      </c>
      <c r="E24" s="21">
        <f>ROUND(E29/0.07*0.02,2)</f>
        <v>300240</v>
      </c>
      <c r="F24" s="21">
        <f>ROUND(F29/0.07*0.02,2)</f>
        <v>196440</v>
      </c>
      <c r="G24" s="21">
        <f>ROUND(G29/0.07*0.02,2)</f>
        <v>109378.29</v>
      </c>
      <c r="H24" s="21">
        <f>ROUND(H29/0.07*0.02,2)</f>
        <v>29571.43</v>
      </c>
      <c r="I24" s="21">
        <f>ROUND(I29/0.07*0.02,2)</f>
        <v>668173.71</v>
      </c>
      <c r="J24" s="8">
        <f t="shared" si="0"/>
        <v>1303803.4300000002</v>
      </c>
      <c r="K24" s="22"/>
    </row>
    <row r="25" spans="1:11" ht="18" customHeight="1">
      <c r="A25" s="5" t="s">
        <v>74</v>
      </c>
      <c r="B25" s="6" t="s">
        <v>75</v>
      </c>
      <c r="C25" s="6"/>
      <c r="D25" s="7" t="s">
        <v>25</v>
      </c>
      <c r="E25" s="8">
        <f>E26</f>
        <v>2401920</v>
      </c>
      <c r="F25" s="8">
        <f>F26</f>
        <v>1571520</v>
      </c>
      <c r="G25" s="8">
        <f>G26</f>
        <v>875026.29</v>
      </c>
      <c r="H25" s="8">
        <f>H26</f>
        <v>236571.43</v>
      </c>
      <c r="I25" s="8">
        <f>I26</f>
        <v>5345389.71</v>
      </c>
      <c r="J25" s="8">
        <f t="shared" si="0"/>
        <v>10430427.43</v>
      </c>
      <c r="K25" s="9"/>
    </row>
    <row r="26" spans="1:11" s="13" customFormat="1" ht="18" customHeight="1">
      <c r="A26" s="5" t="s">
        <v>76</v>
      </c>
      <c r="B26" s="12" t="s">
        <v>77</v>
      </c>
      <c r="C26" s="12" t="s">
        <v>78</v>
      </c>
      <c r="D26" s="9" t="s">
        <v>48</v>
      </c>
      <c r="E26" s="8">
        <f>ROUND(E29/0.07*0.16,2)</f>
        <v>2401920</v>
      </c>
      <c r="F26" s="8">
        <f>ROUND(F29/0.07*0.16,2)</f>
        <v>1571520</v>
      </c>
      <c r="G26" s="8">
        <f>ROUND(G29/0.07*0.16,2)</f>
        <v>875026.29</v>
      </c>
      <c r="H26" s="8">
        <f>ROUND(H29/0.07*0.16,2)</f>
        <v>236571.43</v>
      </c>
      <c r="I26" s="8">
        <f>ROUND(I29/0.07*0.16,2)</f>
        <v>5345389.71</v>
      </c>
      <c r="J26" s="8">
        <f t="shared" si="0"/>
        <v>10430427.43</v>
      </c>
      <c r="K26" s="9"/>
    </row>
    <row r="27" spans="1:11" ht="18" customHeight="1">
      <c r="A27" s="5" t="s">
        <v>79</v>
      </c>
      <c r="B27" s="6" t="s">
        <v>80</v>
      </c>
      <c r="C27" s="6"/>
      <c r="D27" s="7" t="s">
        <v>25</v>
      </c>
      <c r="E27" s="8">
        <f>E28</f>
        <v>1200960</v>
      </c>
      <c r="F27" s="8">
        <f>F28</f>
        <v>785760</v>
      </c>
      <c r="G27" s="8">
        <f>G28</f>
        <v>437513.14</v>
      </c>
      <c r="H27" s="8">
        <f>H28</f>
        <v>118285.71</v>
      </c>
      <c r="I27" s="8">
        <f>I28</f>
        <v>2672694.86</v>
      </c>
      <c r="J27" s="8">
        <f t="shared" si="0"/>
        <v>5215213.71</v>
      </c>
      <c r="K27" s="9"/>
    </row>
    <row r="28" spans="1:11" s="13" customFormat="1" ht="18" customHeight="1">
      <c r="A28" s="5" t="s">
        <v>81</v>
      </c>
      <c r="B28" s="12" t="s">
        <v>82</v>
      </c>
      <c r="C28" s="12" t="s">
        <v>83</v>
      </c>
      <c r="D28" s="9" t="s">
        <v>48</v>
      </c>
      <c r="E28" s="8">
        <f>ROUND(E29/0.07*0.08,2)</f>
        <v>1200960</v>
      </c>
      <c r="F28" s="8">
        <f>ROUND(F29/0.07*0.08,2)</f>
        <v>785760</v>
      </c>
      <c r="G28" s="8">
        <f>ROUND(G29/0.07*0.08,2)</f>
        <v>437513.14</v>
      </c>
      <c r="H28" s="8">
        <f>ROUND(H29/0.07*0.08,2)</f>
        <v>118285.71</v>
      </c>
      <c r="I28" s="8">
        <f>ROUND(I29/0.07*0.08,2)</f>
        <v>2672694.86</v>
      </c>
      <c r="J28" s="8">
        <f t="shared" si="0"/>
        <v>5215213.71</v>
      </c>
      <c r="K28" s="9"/>
    </row>
    <row r="29" spans="1:11" ht="18" customHeight="1">
      <c r="A29" s="5" t="s">
        <v>84</v>
      </c>
      <c r="B29" s="6" t="s">
        <v>85</v>
      </c>
      <c r="C29" s="6" t="s">
        <v>86</v>
      </c>
      <c r="D29" s="7" t="s">
        <v>87</v>
      </c>
      <c r="E29" s="23">
        <v>1050840</v>
      </c>
      <c r="F29" s="23">
        <v>687540</v>
      </c>
      <c r="G29" s="23">
        <v>382824</v>
      </c>
      <c r="H29" s="23">
        <v>103500</v>
      </c>
      <c r="I29" s="23">
        <v>2338608</v>
      </c>
      <c r="J29" s="8">
        <f t="shared" si="0"/>
        <v>4563312</v>
      </c>
      <c r="K29" s="22"/>
    </row>
    <row r="30" spans="1:11" ht="18" customHeight="1">
      <c r="A30" s="5" t="s">
        <v>88</v>
      </c>
      <c r="B30" s="6" t="s">
        <v>89</v>
      </c>
      <c r="C30" s="20" t="s">
        <v>31</v>
      </c>
      <c r="D30" s="9" t="s">
        <v>90</v>
      </c>
      <c r="E30" s="23"/>
      <c r="F30" s="23"/>
      <c r="G30" s="23"/>
      <c r="H30" s="23"/>
      <c r="I30" s="23"/>
      <c r="J30" s="8">
        <f t="shared" si="0"/>
        <v>0</v>
      </c>
      <c r="K30" s="22"/>
    </row>
    <row r="31" spans="1:11" ht="18" customHeight="1">
      <c r="A31" s="5" t="s">
        <v>91</v>
      </c>
      <c r="B31" s="6" t="s">
        <v>92</v>
      </c>
      <c r="C31" s="6"/>
      <c r="D31" s="7" t="s">
        <v>25</v>
      </c>
      <c r="E31" s="8">
        <f>E32+E34+E36</f>
        <v>211500</v>
      </c>
      <c r="F31" s="8">
        <f>F32+F34+F36</f>
        <v>13850</v>
      </c>
      <c r="G31" s="8">
        <f>G32+G34+G36</f>
        <v>1440</v>
      </c>
      <c r="H31" s="8">
        <f>H32+H34+H36</f>
        <v>55620</v>
      </c>
      <c r="I31" s="8">
        <f>I32+I34+I36</f>
        <v>1698060</v>
      </c>
      <c r="J31" s="8">
        <f t="shared" si="0"/>
        <v>1980470</v>
      </c>
      <c r="K31" s="9"/>
    </row>
    <row r="32" spans="1:11" ht="18" customHeight="1">
      <c r="A32" s="5" t="s">
        <v>93</v>
      </c>
      <c r="B32" s="6" t="s">
        <v>94</v>
      </c>
      <c r="C32" s="6" t="s">
        <v>95</v>
      </c>
      <c r="D32" s="22" t="s">
        <v>96</v>
      </c>
      <c r="E32" s="21">
        <f>E33</f>
        <v>207180</v>
      </c>
      <c r="F32" s="21">
        <f>F33</f>
        <v>10850</v>
      </c>
      <c r="G32" s="21">
        <f>G33</f>
        <v>0</v>
      </c>
      <c r="H32" s="21">
        <f>H33</f>
        <v>55620</v>
      </c>
      <c r="I32" s="21">
        <f>I33</f>
        <v>1691580</v>
      </c>
      <c r="J32" s="8">
        <f t="shared" si="0"/>
        <v>1965230</v>
      </c>
      <c r="K32" s="22"/>
    </row>
    <row r="33" spans="1:11" s="19" customFormat="1" ht="18" customHeight="1">
      <c r="A33" s="14" t="s">
        <v>97</v>
      </c>
      <c r="B33" s="24" t="s">
        <v>98</v>
      </c>
      <c r="C33" s="24" t="s">
        <v>95</v>
      </c>
      <c r="D33" s="16" t="s">
        <v>96</v>
      </c>
      <c r="E33" s="25">
        <v>207180</v>
      </c>
      <c r="F33" s="25">
        <v>10850</v>
      </c>
      <c r="G33" s="25"/>
      <c r="H33" s="25">
        <v>55620</v>
      </c>
      <c r="I33" s="25">
        <v>1691580</v>
      </c>
      <c r="J33" s="18">
        <f t="shared" si="0"/>
        <v>1965230</v>
      </c>
      <c r="K33" s="26"/>
    </row>
    <row r="34" spans="1:11" ht="18" customHeight="1">
      <c r="A34" s="5" t="s">
        <v>99</v>
      </c>
      <c r="B34" s="6" t="s">
        <v>100</v>
      </c>
      <c r="C34" s="6"/>
      <c r="D34" s="7" t="s">
        <v>25</v>
      </c>
      <c r="E34" s="8">
        <f>E35</f>
        <v>4320</v>
      </c>
      <c r="F34" s="8">
        <f>F35</f>
        <v>3000</v>
      </c>
      <c r="G34" s="8">
        <f>G35</f>
        <v>1440</v>
      </c>
      <c r="H34" s="8">
        <f>H35</f>
        <v>0</v>
      </c>
      <c r="I34" s="8">
        <f>I35</f>
        <v>6480</v>
      </c>
      <c r="J34" s="8">
        <f t="shared" si="0"/>
        <v>15240</v>
      </c>
      <c r="K34" s="9"/>
    </row>
    <row r="35" spans="1:11" ht="18" customHeight="1">
      <c r="A35" s="5" t="s">
        <v>101</v>
      </c>
      <c r="B35" s="6" t="s">
        <v>102</v>
      </c>
      <c r="C35" s="6" t="s">
        <v>31</v>
      </c>
      <c r="D35" s="7" t="s">
        <v>32</v>
      </c>
      <c r="E35" s="10">
        <v>4320</v>
      </c>
      <c r="F35" s="10">
        <v>3000</v>
      </c>
      <c r="G35" s="10">
        <v>1440</v>
      </c>
      <c r="H35" s="10"/>
      <c r="I35" s="10">
        <v>6480</v>
      </c>
      <c r="J35" s="8">
        <f t="shared" si="0"/>
        <v>15240</v>
      </c>
      <c r="K35" s="9"/>
    </row>
    <row r="36" spans="1:11" ht="18" customHeight="1">
      <c r="A36" s="5" t="s">
        <v>103</v>
      </c>
      <c r="B36" s="6" t="s">
        <v>104</v>
      </c>
      <c r="C36" s="6"/>
      <c r="D36" s="7" t="s">
        <v>25</v>
      </c>
      <c r="E36" s="8">
        <f>E37</f>
        <v>0</v>
      </c>
      <c r="F36" s="8">
        <f>F37</f>
        <v>0</v>
      </c>
      <c r="G36" s="8">
        <f>G37</f>
        <v>0</v>
      </c>
      <c r="H36" s="8">
        <f>H37</f>
        <v>0</v>
      </c>
      <c r="I36" s="8">
        <f>I37</f>
        <v>0</v>
      </c>
      <c r="J36" s="8">
        <f t="shared" si="0"/>
        <v>0</v>
      </c>
      <c r="K36" s="9"/>
    </row>
    <row r="37" spans="1:11" ht="18" customHeight="1">
      <c r="A37" s="5" t="s">
        <v>105</v>
      </c>
      <c r="B37" s="6" t="s">
        <v>106</v>
      </c>
      <c r="C37" s="6" t="s">
        <v>31</v>
      </c>
      <c r="D37" s="22" t="s">
        <v>107</v>
      </c>
      <c r="E37" s="23"/>
      <c r="F37" s="23"/>
      <c r="G37" s="23"/>
      <c r="H37" s="23"/>
      <c r="I37" s="23"/>
      <c r="J37" s="8">
        <f t="shared" si="0"/>
        <v>0</v>
      </c>
      <c r="K37" s="22"/>
    </row>
    <row r="38" spans="1:11" ht="18" customHeight="1">
      <c r="A38" s="5" t="s">
        <v>108</v>
      </c>
      <c r="B38" s="6" t="s">
        <v>109</v>
      </c>
      <c r="C38" s="6"/>
      <c r="D38" s="7" t="s">
        <v>25</v>
      </c>
      <c r="E38" s="8">
        <f>E39+E41+E43+E45+E47+E50+E52+E54+E58</f>
        <v>3134508.9</v>
      </c>
      <c r="F38" s="8">
        <f>F39+F41+F43+F45+F47+F50+F52+F54+F58</f>
        <v>2690231.85</v>
      </c>
      <c r="G38" s="8">
        <f>G39+G41+G43+G45+G47+G50+G52+G54+G58</f>
        <v>1291723.8900000001</v>
      </c>
      <c r="H38" s="8">
        <f>H39+H41+H43+H45+H47+H50+H52+H54+H58</f>
        <v>314951.43</v>
      </c>
      <c r="I38" s="8">
        <f>I39+I41+I43+I45+I47+I50+I52+I54+I58</f>
        <v>7768684.0099999998</v>
      </c>
      <c r="J38" s="8">
        <f t="shared" si="0"/>
        <v>15200100.08</v>
      </c>
      <c r="K38" s="9"/>
    </row>
    <row r="39" spans="1:11" s="19" customFormat="1" ht="18" customHeight="1">
      <c r="A39" s="14" t="s">
        <v>110</v>
      </c>
      <c r="B39" s="24" t="s">
        <v>111</v>
      </c>
      <c r="C39" s="24"/>
      <c r="D39" s="45" t="s">
        <v>112</v>
      </c>
      <c r="E39" s="25">
        <v>2255000</v>
      </c>
      <c r="F39" s="25">
        <v>2107820</v>
      </c>
      <c r="G39" s="25">
        <v>858000</v>
      </c>
      <c r="H39" s="25">
        <v>134400</v>
      </c>
      <c r="I39" s="25">
        <v>5539340</v>
      </c>
      <c r="J39" s="18">
        <f t="shared" si="0"/>
        <v>10894560</v>
      </c>
      <c r="K39" s="26"/>
    </row>
    <row r="40" spans="1:11" s="19" customFormat="1" ht="18" customHeight="1">
      <c r="A40" s="14" t="s">
        <v>113</v>
      </c>
      <c r="B40" s="24" t="s">
        <v>114</v>
      </c>
      <c r="C40" s="24" t="s">
        <v>115</v>
      </c>
      <c r="D40" s="27" t="s">
        <v>116</v>
      </c>
      <c r="E40" s="25">
        <v>89759</v>
      </c>
      <c r="F40" s="25">
        <v>81653</v>
      </c>
      <c r="G40" s="25">
        <v>36608</v>
      </c>
      <c r="H40" s="25">
        <v>6720</v>
      </c>
      <c r="I40" s="25">
        <v>276967</v>
      </c>
      <c r="J40" s="18">
        <f t="shared" si="0"/>
        <v>491707</v>
      </c>
      <c r="K40" s="26"/>
    </row>
    <row r="41" spans="1:11" ht="18" customHeight="1">
      <c r="A41" s="5" t="s">
        <v>117</v>
      </c>
      <c r="B41" s="6" t="s">
        <v>118</v>
      </c>
      <c r="C41" s="6"/>
      <c r="D41" s="7"/>
      <c r="E41" s="8">
        <f>E42</f>
        <v>27200</v>
      </c>
      <c r="F41" s="8">
        <f>F42</f>
        <v>18400</v>
      </c>
      <c r="G41" s="8">
        <f>G42</f>
        <v>10800</v>
      </c>
      <c r="H41" s="8">
        <f>H42</f>
        <v>2400</v>
      </c>
      <c r="I41" s="8">
        <f>I42</f>
        <v>47600</v>
      </c>
      <c r="J41" s="8">
        <f t="shared" si="0"/>
        <v>106400</v>
      </c>
      <c r="K41" s="9"/>
    </row>
    <row r="42" spans="1:11" s="13" customFormat="1" ht="18" customHeight="1">
      <c r="A42" s="5" t="s">
        <v>119</v>
      </c>
      <c r="B42" s="12" t="s">
        <v>120</v>
      </c>
      <c r="C42" s="12" t="s">
        <v>31</v>
      </c>
      <c r="D42" s="28" t="s">
        <v>121</v>
      </c>
      <c r="E42" s="8">
        <f>E61*400</f>
        <v>27200</v>
      </c>
      <c r="F42" s="8">
        <f>F61*400</f>
        <v>18400</v>
      </c>
      <c r="G42" s="8">
        <f>G61*400</f>
        <v>10800</v>
      </c>
      <c r="H42" s="8">
        <f>H61*400</f>
        <v>2400</v>
      </c>
      <c r="I42" s="8">
        <f>I61*400</f>
        <v>47600</v>
      </c>
      <c r="J42" s="8">
        <f t="shared" si="0"/>
        <v>106400</v>
      </c>
      <c r="K42" s="9"/>
    </row>
    <row r="43" spans="1:11" ht="18" customHeight="1">
      <c r="A43" s="5" t="s">
        <v>122</v>
      </c>
      <c r="B43" s="6" t="s">
        <v>123</v>
      </c>
      <c r="C43" s="6"/>
      <c r="D43" s="7" t="s">
        <v>25</v>
      </c>
      <c r="E43" s="8">
        <f>E44</f>
        <v>130548.90000000001</v>
      </c>
      <c r="F43" s="8">
        <f>F44</f>
        <v>102155.85</v>
      </c>
      <c r="G43" s="8">
        <f>G44</f>
        <v>133521.60000000001</v>
      </c>
      <c r="H43" s="8">
        <f>H44</f>
        <v>54900</v>
      </c>
      <c r="I43" s="8">
        <f>I44</f>
        <v>424758.30000000005</v>
      </c>
      <c r="J43" s="8">
        <f t="shared" si="0"/>
        <v>845884.65</v>
      </c>
      <c r="K43" s="9"/>
    </row>
    <row r="44" spans="1:11" s="13" customFormat="1" ht="18" customHeight="1">
      <c r="A44" s="5" t="s">
        <v>124</v>
      </c>
      <c r="B44" s="12" t="s">
        <v>125</v>
      </c>
      <c r="C44" s="12" t="s">
        <v>31</v>
      </c>
      <c r="D44" s="28" t="s">
        <v>126</v>
      </c>
      <c r="E44" s="8">
        <f>E72*15</f>
        <v>130548.90000000001</v>
      </c>
      <c r="F44" s="8">
        <f>F72*15</f>
        <v>102155.85</v>
      </c>
      <c r="G44" s="8">
        <f>G72*15</f>
        <v>133521.60000000001</v>
      </c>
      <c r="H44" s="8">
        <f>H72*15</f>
        <v>54900</v>
      </c>
      <c r="I44" s="8">
        <f>I72*15</f>
        <v>424758.30000000005</v>
      </c>
      <c r="J44" s="8">
        <f t="shared" si="0"/>
        <v>845884.65</v>
      </c>
      <c r="K44" s="9"/>
    </row>
    <row r="45" spans="1:11" ht="18" customHeight="1">
      <c r="A45" s="5" t="s">
        <v>127</v>
      </c>
      <c r="B45" s="6" t="s">
        <v>128</v>
      </c>
      <c r="C45" s="6"/>
      <c r="D45" s="7" t="s">
        <v>25</v>
      </c>
      <c r="E45" s="8">
        <f>E46</f>
        <v>26120</v>
      </c>
      <c r="F45" s="8">
        <f>F46</f>
        <v>26976</v>
      </c>
      <c r="G45" s="8">
        <f>G46</f>
        <v>28984</v>
      </c>
      <c r="H45" s="8">
        <f>H46</f>
        <v>21600</v>
      </c>
      <c r="I45" s="8">
        <f>I46</f>
        <v>119152</v>
      </c>
      <c r="J45" s="8">
        <f t="shared" si="0"/>
        <v>222832</v>
      </c>
      <c r="K45" s="9"/>
    </row>
    <row r="46" spans="1:11" s="13" customFormat="1" ht="18" customHeight="1">
      <c r="A46" s="5" t="s">
        <v>129</v>
      </c>
      <c r="B46" s="12" t="s">
        <v>130</v>
      </c>
      <c r="C46" s="12" t="s">
        <v>31</v>
      </c>
      <c r="D46" s="28" t="s">
        <v>131</v>
      </c>
      <c r="E46" s="8">
        <f>E73*8</f>
        <v>26120</v>
      </c>
      <c r="F46" s="8">
        <f>F73*8</f>
        <v>26976</v>
      </c>
      <c r="G46" s="8">
        <f>G73*8</f>
        <v>28984</v>
      </c>
      <c r="H46" s="8">
        <f>H73*8</f>
        <v>21600</v>
      </c>
      <c r="I46" s="8">
        <f>I73*8</f>
        <v>119152</v>
      </c>
      <c r="J46" s="8">
        <f t="shared" si="0"/>
        <v>222832</v>
      </c>
      <c r="K46" s="9"/>
    </row>
    <row r="47" spans="1:11" ht="18" customHeight="1">
      <c r="A47" s="5" t="s">
        <v>132</v>
      </c>
      <c r="B47" s="6" t="s">
        <v>133</v>
      </c>
      <c r="C47" s="6"/>
      <c r="D47" s="7" t="s">
        <v>25</v>
      </c>
      <c r="E47" s="8">
        <f>E48+E49</f>
        <v>345600</v>
      </c>
      <c r="F47" s="8">
        <f>F48+F49</f>
        <v>203040</v>
      </c>
      <c r="G47" s="8">
        <f>G48+G49</f>
        <v>116640</v>
      </c>
      <c r="H47" s="8">
        <f>H48+H49</f>
        <v>38880</v>
      </c>
      <c r="I47" s="8">
        <f>I48+I49</f>
        <v>898560</v>
      </c>
      <c r="J47" s="8">
        <f t="shared" si="0"/>
        <v>1602720</v>
      </c>
      <c r="K47" s="9"/>
    </row>
    <row r="48" spans="1:11" s="13" customFormat="1" ht="18" customHeight="1">
      <c r="A48" s="5" t="s">
        <v>134</v>
      </c>
      <c r="B48" s="12" t="s">
        <v>135</v>
      </c>
      <c r="C48" s="12" t="s">
        <v>31</v>
      </c>
      <c r="D48" s="28" t="s">
        <v>136</v>
      </c>
      <c r="E48" s="8">
        <f>E61*4320</f>
        <v>293760</v>
      </c>
      <c r="F48" s="8">
        <f>F61*4320</f>
        <v>198720</v>
      </c>
      <c r="G48" s="8">
        <f>G61*4320</f>
        <v>116640</v>
      </c>
      <c r="H48" s="8">
        <f>H61*4320</f>
        <v>25920</v>
      </c>
      <c r="I48" s="8">
        <f>I61*4320</f>
        <v>514080</v>
      </c>
      <c r="J48" s="8">
        <f t="shared" si="0"/>
        <v>1149120</v>
      </c>
      <c r="K48" s="9"/>
    </row>
    <row r="49" spans="1:11" s="13" customFormat="1" ht="18" customHeight="1">
      <c r="A49" s="5" t="s">
        <v>137</v>
      </c>
      <c r="B49" s="12" t="s">
        <v>138</v>
      </c>
      <c r="C49" s="12" t="s">
        <v>31</v>
      </c>
      <c r="D49" s="28" t="s">
        <v>139</v>
      </c>
      <c r="E49" s="8">
        <f>E71*4320</f>
        <v>51840</v>
      </c>
      <c r="F49" s="8">
        <f>F71*4320</f>
        <v>4320</v>
      </c>
      <c r="G49" s="8">
        <f>G71*4320</f>
        <v>0</v>
      </c>
      <c r="H49" s="8">
        <f>H71*4320</f>
        <v>12960</v>
      </c>
      <c r="I49" s="8">
        <f>I71*4320</f>
        <v>384480</v>
      </c>
      <c r="J49" s="8">
        <f t="shared" si="0"/>
        <v>453600</v>
      </c>
      <c r="K49" s="9"/>
    </row>
    <row r="50" spans="1:11" ht="18" customHeight="1">
      <c r="A50" s="5" t="s">
        <v>140</v>
      </c>
      <c r="B50" s="6" t="s">
        <v>141</v>
      </c>
      <c r="C50" s="6"/>
      <c r="D50" s="7" t="s">
        <v>25</v>
      </c>
      <c r="E50" s="8">
        <f>E51</f>
        <v>300240</v>
      </c>
      <c r="F50" s="8">
        <f>F51</f>
        <v>196440</v>
      </c>
      <c r="G50" s="8">
        <f>G51</f>
        <v>109378.29</v>
      </c>
      <c r="H50" s="8">
        <f>H51</f>
        <v>29571.43</v>
      </c>
      <c r="I50" s="8">
        <f>I51</f>
        <v>668173.71</v>
      </c>
      <c r="J50" s="8">
        <f t="shared" si="0"/>
        <v>1303803.4300000002</v>
      </c>
      <c r="K50" s="9"/>
    </row>
    <row r="51" spans="1:11" s="13" customFormat="1" ht="18" customHeight="1">
      <c r="A51" s="5" t="s">
        <v>142</v>
      </c>
      <c r="B51" s="12" t="s">
        <v>143</v>
      </c>
      <c r="C51" s="12" t="s">
        <v>31</v>
      </c>
      <c r="D51" s="9" t="s">
        <v>48</v>
      </c>
      <c r="E51" s="8">
        <f>ROUND(E29/0.07*0.02,2)</f>
        <v>300240</v>
      </c>
      <c r="F51" s="8">
        <f>ROUND(F29/0.07*0.02,2)</f>
        <v>196440</v>
      </c>
      <c r="G51" s="8">
        <f>ROUND(G29/0.07*0.02,2)</f>
        <v>109378.29</v>
      </c>
      <c r="H51" s="8">
        <f>ROUND(H29/0.07*0.02,2)</f>
        <v>29571.43</v>
      </c>
      <c r="I51" s="8">
        <f>ROUND(I29/0.07*0.02,2)</f>
        <v>668173.71</v>
      </c>
      <c r="J51" s="8">
        <f t="shared" si="0"/>
        <v>1303803.4300000002</v>
      </c>
      <c r="K51" s="9"/>
    </row>
    <row r="52" spans="1:11" ht="18" customHeight="1">
      <c r="A52" s="5" t="s">
        <v>144</v>
      </c>
      <c r="B52" s="6" t="s">
        <v>145</v>
      </c>
      <c r="C52" s="6"/>
      <c r="D52" s="7" t="s">
        <v>25</v>
      </c>
      <c r="E52" s="8">
        <f>E53</f>
        <v>32000</v>
      </c>
      <c r="F52" s="8">
        <f>F53</f>
        <v>0</v>
      </c>
      <c r="G52" s="8">
        <f>G53</f>
        <v>0</v>
      </c>
      <c r="H52" s="8">
        <f>H53</f>
        <v>0</v>
      </c>
      <c r="I52" s="8">
        <f>I53</f>
        <v>32000</v>
      </c>
      <c r="J52" s="8">
        <f t="shared" si="0"/>
        <v>64000</v>
      </c>
      <c r="K52" s="9"/>
    </row>
    <row r="53" spans="1:11" ht="18" customHeight="1">
      <c r="A53" s="5" t="s">
        <v>146</v>
      </c>
      <c r="B53" s="6" t="s">
        <v>147</v>
      </c>
      <c r="C53" s="6" t="s">
        <v>31</v>
      </c>
      <c r="D53" s="29" t="s">
        <v>148</v>
      </c>
      <c r="E53" s="10">
        <v>32000</v>
      </c>
      <c r="F53" s="10"/>
      <c r="G53" s="10"/>
      <c r="H53" s="10"/>
      <c r="I53" s="10">
        <v>32000</v>
      </c>
      <c r="J53" s="8">
        <f t="shared" si="0"/>
        <v>64000</v>
      </c>
      <c r="K53" s="9"/>
    </row>
    <row r="54" spans="1:11" ht="18" customHeight="1">
      <c r="A54" s="5" t="s">
        <v>149</v>
      </c>
      <c r="B54" s="6" t="s">
        <v>150</v>
      </c>
      <c r="C54" s="6"/>
      <c r="D54" s="7" t="s">
        <v>25</v>
      </c>
      <c r="E54" s="8">
        <f>E55+E57</f>
        <v>7800</v>
      </c>
      <c r="F54" s="8">
        <f>F55+F57</f>
        <v>3400</v>
      </c>
      <c r="G54" s="8">
        <f>G55+G57</f>
        <v>2400</v>
      </c>
      <c r="H54" s="8">
        <f>H55+H57</f>
        <v>1200</v>
      </c>
      <c r="I54" s="8">
        <f>I55+I57</f>
        <v>39100</v>
      </c>
      <c r="J54" s="8">
        <f t="shared" si="0"/>
        <v>53900</v>
      </c>
      <c r="K54" s="9"/>
    </row>
    <row r="55" spans="1:11" ht="18" customHeight="1">
      <c r="A55" s="5" t="s">
        <v>151</v>
      </c>
      <c r="B55" s="6" t="s">
        <v>152</v>
      </c>
      <c r="C55" s="6" t="s">
        <v>31</v>
      </c>
      <c r="D55" s="7" t="s">
        <v>25</v>
      </c>
      <c r="E55" s="8">
        <f>E56</f>
        <v>4800</v>
      </c>
      <c r="F55" s="8">
        <f>F56</f>
        <v>400</v>
      </c>
      <c r="G55" s="8">
        <f>G56</f>
        <v>0</v>
      </c>
      <c r="H55" s="8">
        <f>H56</f>
        <v>1200</v>
      </c>
      <c r="I55" s="8">
        <f>I56</f>
        <v>35600</v>
      </c>
      <c r="J55" s="8">
        <f t="shared" si="0"/>
        <v>42000</v>
      </c>
      <c r="K55" s="9"/>
    </row>
    <row r="56" spans="1:11" s="13" customFormat="1" ht="18" customHeight="1">
      <c r="A56" s="5" t="s">
        <v>153</v>
      </c>
      <c r="B56" s="12" t="s">
        <v>154</v>
      </c>
      <c r="C56" s="12" t="s">
        <v>31</v>
      </c>
      <c r="D56" s="28" t="s">
        <v>155</v>
      </c>
      <c r="E56" s="8">
        <f>E71*400</f>
        <v>4800</v>
      </c>
      <c r="F56" s="8">
        <f>F71*400</f>
        <v>400</v>
      </c>
      <c r="G56" s="8">
        <f>G71*400</f>
        <v>0</v>
      </c>
      <c r="H56" s="8">
        <f>H71*400</f>
        <v>1200</v>
      </c>
      <c r="I56" s="8">
        <f>I71*400</f>
        <v>35600</v>
      </c>
      <c r="J56" s="8">
        <f t="shared" si="0"/>
        <v>42000</v>
      </c>
      <c r="K56" s="9"/>
    </row>
    <row r="57" spans="1:11" ht="18" customHeight="1">
      <c r="A57" s="5" t="s">
        <v>156</v>
      </c>
      <c r="B57" s="6" t="s">
        <v>157</v>
      </c>
      <c r="C57" s="6" t="s">
        <v>31</v>
      </c>
      <c r="D57" s="29" t="s">
        <v>158</v>
      </c>
      <c r="E57" s="30">
        <v>3000</v>
      </c>
      <c r="F57" s="30">
        <v>3000</v>
      </c>
      <c r="G57" s="30">
        <v>2400</v>
      </c>
      <c r="H57" s="30"/>
      <c r="I57" s="30">
        <v>3500</v>
      </c>
      <c r="J57" s="8">
        <f t="shared" si="0"/>
        <v>11900</v>
      </c>
      <c r="K57" s="22"/>
    </row>
    <row r="58" spans="1:11" ht="18" customHeight="1">
      <c r="A58" s="5" t="s">
        <v>159</v>
      </c>
      <c r="B58" s="6" t="s">
        <v>160</v>
      </c>
      <c r="C58" s="6"/>
      <c r="D58" s="7" t="s">
        <v>25</v>
      </c>
      <c r="E58" s="8">
        <f>E59</f>
        <v>10000</v>
      </c>
      <c r="F58" s="8">
        <f>F59</f>
        <v>32000</v>
      </c>
      <c r="G58" s="8">
        <f>G59</f>
        <v>32000</v>
      </c>
      <c r="H58" s="8">
        <f>H59</f>
        <v>32000</v>
      </c>
      <c r="I58" s="8">
        <f>I59</f>
        <v>0</v>
      </c>
      <c r="J58" s="8">
        <f t="shared" si="0"/>
        <v>106000</v>
      </c>
      <c r="K58" s="9"/>
    </row>
    <row r="59" spans="1:11" ht="18" customHeight="1" thickBot="1">
      <c r="A59" s="5" t="s">
        <v>161</v>
      </c>
      <c r="B59" s="31" t="s">
        <v>162</v>
      </c>
      <c r="C59" s="6" t="s">
        <v>31</v>
      </c>
      <c r="D59" s="32" t="s">
        <v>163</v>
      </c>
      <c r="E59" s="33">
        <v>10000</v>
      </c>
      <c r="F59" s="34">
        <v>32000</v>
      </c>
      <c r="G59" s="33">
        <v>32000</v>
      </c>
      <c r="H59" s="33">
        <v>32000</v>
      </c>
      <c r="I59" s="33"/>
      <c r="J59" s="8">
        <f t="shared" si="0"/>
        <v>106000</v>
      </c>
      <c r="K59" s="35"/>
    </row>
    <row r="60" spans="1:11" ht="18" customHeight="1" thickTop="1">
      <c r="A60" s="5" t="s">
        <v>164</v>
      </c>
      <c r="B60" s="36" t="s">
        <v>165</v>
      </c>
      <c r="C60" s="36"/>
      <c r="D60" s="37"/>
      <c r="E60" s="38"/>
      <c r="F60" s="38"/>
      <c r="G60" s="38"/>
      <c r="H60" s="38"/>
      <c r="I60" s="38"/>
      <c r="J60" s="8">
        <f t="shared" si="0"/>
        <v>0</v>
      </c>
      <c r="K60" s="39"/>
    </row>
    <row r="61" spans="1:11" ht="18" customHeight="1">
      <c r="A61" s="5" t="s">
        <v>166</v>
      </c>
      <c r="B61" s="6" t="s">
        <v>167</v>
      </c>
      <c r="C61" s="6"/>
      <c r="D61" s="7" t="s">
        <v>168</v>
      </c>
      <c r="E61" s="8">
        <f>E62+E63+E64+E65</f>
        <v>68</v>
      </c>
      <c r="F61" s="8">
        <f>F62+F63+F64+F65</f>
        <v>46</v>
      </c>
      <c r="G61" s="8">
        <f>G62+G63+G64+G65</f>
        <v>27</v>
      </c>
      <c r="H61" s="8">
        <f>H62+H63+H64+H65</f>
        <v>6</v>
      </c>
      <c r="I61" s="8">
        <f>I62+I63+I64+I65</f>
        <v>119</v>
      </c>
      <c r="J61" s="8">
        <f t="shared" si="0"/>
        <v>266</v>
      </c>
      <c r="K61" s="9"/>
    </row>
    <row r="62" spans="1:11" ht="18" customHeight="1">
      <c r="A62" s="5" t="s">
        <v>169</v>
      </c>
      <c r="B62" s="40" t="s">
        <v>170</v>
      </c>
      <c r="C62" s="40"/>
      <c r="D62" s="22"/>
      <c r="E62" s="23"/>
      <c r="F62" s="23"/>
      <c r="G62" s="23"/>
      <c r="H62" s="23"/>
      <c r="I62" s="23">
        <v>55</v>
      </c>
      <c r="J62" s="8">
        <f t="shared" si="0"/>
        <v>55</v>
      </c>
      <c r="K62" s="9"/>
    </row>
    <row r="63" spans="1:11" ht="18" customHeight="1">
      <c r="A63" s="5" t="s">
        <v>171</v>
      </c>
      <c r="B63" s="40" t="s">
        <v>172</v>
      </c>
      <c r="C63" s="40"/>
      <c r="D63" s="7"/>
      <c r="E63" s="10"/>
      <c r="F63" s="10"/>
      <c r="G63" s="10"/>
      <c r="H63" s="10"/>
      <c r="I63" s="10">
        <v>64</v>
      </c>
      <c r="J63" s="8">
        <f t="shared" si="0"/>
        <v>64</v>
      </c>
      <c r="K63" s="9"/>
    </row>
    <row r="64" spans="1:11" ht="18" customHeight="1">
      <c r="A64" s="5" t="s">
        <v>173</v>
      </c>
      <c r="B64" s="40" t="s">
        <v>174</v>
      </c>
      <c r="C64" s="40"/>
      <c r="D64" s="22"/>
      <c r="E64" s="23">
        <v>68</v>
      </c>
      <c r="F64" s="23">
        <v>46</v>
      </c>
      <c r="G64" s="23">
        <v>27</v>
      </c>
      <c r="H64" s="23"/>
      <c r="I64" s="23"/>
      <c r="J64" s="8">
        <f t="shared" si="0"/>
        <v>141</v>
      </c>
      <c r="K64" s="9"/>
    </row>
    <row r="65" spans="1:11" ht="18" customHeight="1">
      <c r="A65" s="5" t="s">
        <v>175</v>
      </c>
      <c r="B65" s="40" t="s">
        <v>176</v>
      </c>
      <c r="C65" s="40"/>
      <c r="D65" s="22"/>
      <c r="E65" s="23"/>
      <c r="F65" s="23"/>
      <c r="G65" s="23"/>
      <c r="H65" s="23">
        <v>6</v>
      </c>
      <c r="I65" s="23"/>
      <c r="J65" s="8">
        <f t="shared" si="0"/>
        <v>6</v>
      </c>
      <c r="K65" s="9"/>
    </row>
    <row r="66" spans="1:11" ht="18" customHeight="1">
      <c r="A66" s="5" t="s">
        <v>177</v>
      </c>
      <c r="B66" s="6" t="s">
        <v>178</v>
      </c>
      <c r="C66" s="6"/>
      <c r="D66" s="7" t="s">
        <v>179</v>
      </c>
      <c r="E66" s="8">
        <f>E67+E68+E69+E70</f>
        <v>593</v>
      </c>
      <c r="F66" s="8">
        <f>F67+F68+F69+F70</f>
        <v>571</v>
      </c>
      <c r="G66" s="8">
        <f>G67+G68+G69+G70</f>
        <v>256</v>
      </c>
      <c r="H66" s="8">
        <f>H67+H68+H69+H70</f>
        <v>0</v>
      </c>
      <c r="I66" s="8">
        <f>I67+I68+I69+I70</f>
        <v>1555</v>
      </c>
      <c r="J66" s="8">
        <f t="shared" si="0"/>
        <v>2975</v>
      </c>
      <c r="K66" s="9"/>
    </row>
    <row r="67" spans="1:11" ht="18" customHeight="1">
      <c r="A67" s="5" t="s">
        <v>180</v>
      </c>
      <c r="B67" s="40" t="s">
        <v>170</v>
      </c>
      <c r="C67" s="40"/>
      <c r="D67" s="22"/>
      <c r="E67" s="23"/>
      <c r="F67" s="23"/>
      <c r="G67" s="23"/>
      <c r="H67" s="23"/>
      <c r="I67" s="23">
        <v>731</v>
      </c>
      <c r="J67" s="8">
        <f t="shared" ref="J67:J73" si="1">SUM(E67:I67)</f>
        <v>731</v>
      </c>
      <c r="K67" s="9"/>
    </row>
    <row r="68" spans="1:11" ht="18" customHeight="1">
      <c r="A68" s="5" t="s">
        <v>181</v>
      </c>
      <c r="B68" s="40" t="s">
        <v>172</v>
      </c>
      <c r="C68" s="40"/>
      <c r="D68" s="7"/>
      <c r="E68" s="10"/>
      <c r="F68" s="10"/>
      <c r="G68" s="10"/>
      <c r="H68" s="10"/>
      <c r="I68" s="10">
        <v>824</v>
      </c>
      <c r="J68" s="8">
        <f t="shared" si="1"/>
        <v>824</v>
      </c>
      <c r="K68" s="9"/>
    </row>
    <row r="69" spans="1:11" ht="18" customHeight="1">
      <c r="A69" s="5" t="s">
        <v>182</v>
      </c>
      <c r="B69" s="40" t="s">
        <v>174</v>
      </c>
      <c r="C69" s="40"/>
      <c r="D69" s="22"/>
      <c r="E69" s="23">
        <v>593</v>
      </c>
      <c r="F69" s="23">
        <v>571</v>
      </c>
      <c r="G69" s="23">
        <v>256</v>
      </c>
      <c r="H69" s="23"/>
      <c r="I69" s="23"/>
      <c r="J69" s="8">
        <f t="shared" si="1"/>
        <v>1420</v>
      </c>
      <c r="K69" s="9"/>
    </row>
    <row r="70" spans="1:11" ht="18" customHeight="1">
      <c r="A70" s="5" t="s">
        <v>183</v>
      </c>
      <c r="B70" s="40" t="s">
        <v>176</v>
      </c>
      <c r="C70" s="40"/>
      <c r="D70" s="22"/>
      <c r="E70" s="23"/>
      <c r="F70" s="23"/>
      <c r="G70" s="23"/>
      <c r="H70" s="23"/>
      <c r="I70" s="23"/>
      <c r="J70" s="8">
        <f t="shared" si="1"/>
        <v>0</v>
      </c>
      <c r="K70" s="9"/>
    </row>
    <row r="71" spans="1:11" ht="18" customHeight="1">
      <c r="A71" s="5" t="s">
        <v>184</v>
      </c>
      <c r="B71" s="6" t="s">
        <v>185</v>
      </c>
      <c r="C71" s="6"/>
      <c r="D71" s="7"/>
      <c r="E71" s="10">
        <v>12</v>
      </c>
      <c r="F71" s="10">
        <v>1</v>
      </c>
      <c r="G71" s="10"/>
      <c r="H71" s="10">
        <v>3</v>
      </c>
      <c r="I71" s="10">
        <v>89</v>
      </c>
      <c r="J71" s="8">
        <f t="shared" si="1"/>
        <v>105</v>
      </c>
      <c r="K71" s="9"/>
    </row>
    <row r="72" spans="1:11" ht="18" customHeight="1">
      <c r="A72" s="5" t="s">
        <v>186</v>
      </c>
      <c r="B72" s="40" t="s">
        <v>187</v>
      </c>
      <c r="C72" s="40"/>
      <c r="D72" s="29"/>
      <c r="E72" s="10">
        <v>8703.26</v>
      </c>
      <c r="F72" s="10">
        <v>6810.39</v>
      </c>
      <c r="G72" s="10">
        <v>8901.44</v>
      </c>
      <c r="H72" s="10">
        <v>3660</v>
      </c>
      <c r="I72" s="10">
        <v>28317.22</v>
      </c>
      <c r="J72" s="8">
        <f t="shared" si="1"/>
        <v>56392.310000000005</v>
      </c>
      <c r="K72" s="9"/>
    </row>
    <row r="73" spans="1:11" ht="18" customHeight="1">
      <c r="A73" s="5" t="s">
        <v>188</v>
      </c>
      <c r="B73" s="40" t="s">
        <v>189</v>
      </c>
      <c r="C73" s="40"/>
      <c r="D73" s="29"/>
      <c r="E73" s="10">
        <v>3265</v>
      </c>
      <c r="F73" s="10">
        <v>3372</v>
      </c>
      <c r="G73" s="10">
        <v>3623</v>
      </c>
      <c r="H73" s="10">
        <v>2700</v>
      </c>
      <c r="I73" s="10">
        <v>14894</v>
      </c>
      <c r="J73" s="8">
        <f t="shared" si="1"/>
        <v>27854</v>
      </c>
      <c r="K73" s="9"/>
    </row>
    <row r="74" spans="1:11">
      <c r="E74" s="1">
        <f t="shared" ref="E74:J74" si="2">E4/E61</f>
        <v>341031.92235294118</v>
      </c>
      <c r="F74" s="1">
        <f t="shared" si="2"/>
        <v>333856.22434782609</v>
      </c>
      <c r="G74" s="1">
        <f t="shared" si="2"/>
        <v>327476.77259259258</v>
      </c>
      <c r="H74" s="1">
        <f t="shared" si="2"/>
        <v>371545.88000000006</v>
      </c>
      <c r="I74" s="1">
        <f t="shared" si="2"/>
        <v>407096.62016806728</v>
      </c>
      <c r="J74" s="1">
        <f t="shared" si="2"/>
        <v>368658.65781954891</v>
      </c>
    </row>
  </sheetData>
  <protectedRanges>
    <protectedRange password="E9C1" sqref="D29 C30 A4:D5 B6:D28 B31:D73 J4:K73 A6:A73 A2:K3" name="区域1_1"/>
    <protectedRange password="E9C1" sqref="B29:C29 B30" name="区域1_1_1"/>
    <protectedRange password="E9C1" sqref="D30" name="区域1_2"/>
  </protectedRanges>
  <mergeCells count="1">
    <mergeCell ref="A1:K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8" scale="95" orientation="landscape" r:id="rId1"/>
  <headerFooter>
    <oddFooter>第 &amp;P 页，共 &amp;N 页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dimension ref="A1:L74"/>
  <sheetViews>
    <sheetView workbookViewId="0">
      <pane xSplit="4" ySplit="2" topLeftCell="E3" activePane="bottomRight" state="frozen"/>
      <selection pane="topRight" activeCell="E1" sqref="E1"/>
      <selection pane="bottomLeft" activeCell="A3" sqref="A3"/>
      <selection pane="bottomRight" activeCell="K33" activeCellId="4" sqref="K20 K25 K27 K29 K33"/>
    </sheetView>
  </sheetViews>
  <sheetFormatPr defaultColWidth="9" defaultRowHeight="11.25"/>
  <cols>
    <col min="1" max="1" width="9" style="61"/>
    <col min="2" max="2" width="23.25" style="19" customWidth="1"/>
    <col min="3" max="3" width="10.375" style="19" customWidth="1"/>
    <col min="4" max="4" width="11.125" style="62" customWidth="1"/>
    <col min="5" max="12" width="15.625" style="19" customWidth="1"/>
    <col min="13" max="16384" width="9" style="19"/>
  </cols>
  <sheetData>
    <row r="1" spans="1:12" ht="25.5">
      <c r="A1" s="574" t="s">
        <v>931</v>
      </c>
      <c r="B1" s="575"/>
      <c r="C1" s="575"/>
      <c r="D1" s="575"/>
      <c r="E1" s="575"/>
      <c r="F1" s="575"/>
      <c r="G1" s="575"/>
      <c r="H1" s="575"/>
      <c r="I1" s="575"/>
      <c r="J1" s="575"/>
      <c r="K1" s="575"/>
      <c r="L1" s="575"/>
    </row>
    <row r="2" spans="1:12" ht="22.5">
      <c r="A2" s="46" t="s">
        <v>12</v>
      </c>
      <c r="B2" s="46" t="s">
        <v>13</v>
      </c>
      <c r="C2" s="46" t="s">
        <v>14</v>
      </c>
      <c r="D2" s="47" t="s">
        <v>15</v>
      </c>
      <c r="E2" s="47" t="s">
        <v>190</v>
      </c>
      <c r="F2" s="47" t="s">
        <v>191</v>
      </c>
      <c r="G2" s="47" t="s">
        <v>192</v>
      </c>
      <c r="H2" s="47" t="s">
        <v>193</v>
      </c>
      <c r="I2" s="47" t="s">
        <v>194</v>
      </c>
      <c r="J2" s="47" t="s">
        <v>195</v>
      </c>
      <c r="K2" s="47" t="s">
        <v>21</v>
      </c>
      <c r="L2" s="48" t="s">
        <v>22</v>
      </c>
    </row>
    <row r="3" spans="1:12">
      <c r="A3" s="14" t="s">
        <v>23</v>
      </c>
      <c r="B3" s="24" t="s">
        <v>24</v>
      </c>
      <c r="C3" s="24"/>
      <c r="D3" s="45" t="s">
        <v>25</v>
      </c>
      <c r="E3" s="18">
        <f t="shared" ref="E3:J3" si="0">E4+E31+E38</f>
        <v>30873972.02</v>
      </c>
      <c r="F3" s="18">
        <f t="shared" si="0"/>
        <v>19330712.960000001</v>
      </c>
      <c r="G3" s="18">
        <f t="shared" si="0"/>
        <v>6492744.2000000002</v>
      </c>
      <c r="H3" s="18">
        <f t="shared" si="0"/>
        <v>13310430.789999999</v>
      </c>
      <c r="I3" s="18">
        <f t="shared" si="0"/>
        <v>18875276.359999999</v>
      </c>
      <c r="J3" s="18">
        <f t="shared" si="0"/>
        <v>2210607.5699999998</v>
      </c>
      <c r="K3" s="18">
        <f t="shared" ref="K3:K66" si="1">SUM(E3:J3)</f>
        <v>91093743.899999991</v>
      </c>
      <c r="L3" s="26"/>
    </row>
    <row r="4" spans="1:12">
      <c r="A4" s="14" t="s">
        <v>26</v>
      </c>
      <c r="B4" s="24" t="s">
        <v>0</v>
      </c>
      <c r="C4" s="24"/>
      <c r="D4" s="45" t="s">
        <v>25</v>
      </c>
      <c r="E4" s="18">
        <f t="shared" ref="E4:J4" si="2">E5+E8+E12+E15+E20+E25+E27+E29+E30</f>
        <v>25113095.09</v>
      </c>
      <c r="F4" s="18">
        <f t="shared" si="2"/>
        <v>16478668.670000002</v>
      </c>
      <c r="G4" s="18">
        <f t="shared" si="2"/>
        <v>5238399.2</v>
      </c>
      <c r="H4" s="18">
        <f t="shared" si="2"/>
        <v>11692502.719999999</v>
      </c>
      <c r="I4" s="18">
        <f t="shared" si="2"/>
        <v>16190851.870000001</v>
      </c>
      <c r="J4" s="18">
        <f t="shared" si="2"/>
        <v>1945981.14</v>
      </c>
      <c r="K4" s="18">
        <f t="shared" si="1"/>
        <v>76659498.690000013</v>
      </c>
      <c r="L4" s="26"/>
    </row>
    <row r="5" spans="1:12">
      <c r="A5" s="14" t="s">
        <v>27</v>
      </c>
      <c r="B5" s="24" t="s">
        <v>28</v>
      </c>
      <c r="C5" s="24"/>
      <c r="D5" s="45" t="s">
        <v>25</v>
      </c>
      <c r="E5" s="18">
        <f t="shared" ref="E5:J5" si="3">E6+E7</f>
        <v>3290476</v>
      </c>
      <c r="F5" s="18">
        <f t="shared" si="3"/>
        <v>2071280</v>
      </c>
      <c r="G5" s="18">
        <f t="shared" si="3"/>
        <v>763500</v>
      </c>
      <c r="H5" s="18">
        <f t="shared" si="3"/>
        <v>1500000</v>
      </c>
      <c r="I5" s="18">
        <f t="shared" si="3"/>
        <v>1950000</v>
      </c>
      <c r="J5" s="18">
        <f t="shared" si="3"/>
        <v>269472</v>
      </c>
      <c r="K5" s="18">
        <f t="shared" si="1"/>
        <v>9844728</v>
      </c>
      <c r="L5" s="26"/>
    </row>
    <row r="6" spans="1:12" ht="22.5">
      <c r="A6" s="14" t="s">
        <v>29</v>
      </c>
      <c r="B6" s="24" t="s">
        <v>30</v>
      </c>
      <c r="C6" s="24" t="s">
        <v>31</v>
      </c>
      <c r="D6" s="45" t="s">
        <v>32</v>
      </c>
      <c r="E6" s="25">
        <v>1766468</v>
      </c>
      <c r="F6" s="25">
        <v>1415200</v>
      </c>
      <c r="G6" s="25">
        <v>402000</v>
      </c>
      <c r="H6" s="25">
        <v>900000</v>
      </c>
      <c r="I6" s="25">
        <v>1300000</v>
      </c>
      <c r="J6" s="25">
        <v>132660</v>
      </c>
      <c r="K6" s="18">
        <f t="shared" si="1"/>
        <v>5916328</v>
      </c>
      <c r="L6" s="49"/>
    </row>
    <row r="7" spans="1:12" ht="22.5">
      <c r="A7" s="14" t="s">
        <v>33</v>
      </c>
      <c r="B7" s="24" t="s">
        <v>34</v>
      </c>
      <c r="C7" s="24" t="s">
        <v>31</v>
      </c>
      <c r="D7" s="45" t="s">
        <v>32</v>
      </c>
      <c r="E7" s="25">
        <v>1524008</v>
      </c>
      <c r="F7" s="25">
        <v>656080</v>
      </c>
      <c r="G7" s="25">
        <v>361500</v>
      </c>
      <c r="H7" s="25">
        <v>600000</v>
      </c>
      <c r="I7" s="25">
        <v>650000</v>
      </c>
      <c r="J7" s="25">
        <v>136812</v>
      </c>
      <c r="K7" s="18">
        <f t="shared" si="1"/>
        <v>3928400</v>
      </c>
      <c r="L7" s="26"/>
    </row>
    <row r="8" spans="1:12">
      <c r="A8" s="14" t="s">
        <v>35</v>
      </c>
      <c r="B8" s="24" t="s">
        <v>36</v>
      </c>
      <c r="C8" s="24"/>
      <c r="D8" s="45" t="s">
        <v>25</v>
      </c>
      <c r="E8" s="18">
        <f t="shared" ref="E8:J8" si="4">E9+E10</f>
        <v>354152</v>
      </c>
      <c r="F8" s="18">
        <f t="shared" si="4"/>
        <v>229040</v>
      </c>
      <c r="G8" s="18">
        <f t="shared" si="4"/>
        <v>96800</v>
      </c>
      <c r="H8" s="18">
        <f t="shared" si="4"/>
        <v>171360</v>
      </c>
      <c r="I8" s="18">
        <f t="shared" si="4"/>
        <v>271480</v>
      </c>
      <c r="J8" s="18">
        <f t="shared" si="4"/>
        <v>26820</v>
      </c>
      <c r="K8" s="18">
        <f t="shared" si="1"/>
        <v>1149652</v>
      </c>
      <c r="L8" s="26"/>
    </row>
    <row r="9" spans="1:12" ht="22.5">
      <c r="A9" s="14" t="s">
        <v>37</v>
      </c>
      <c r="B9" s="24" t="s">
        <v>38</v>
      </c>
      <c r="C9" s="24" t="s">
        <v>31</v>
      </c>
      <c r="D9" s="45" t="s">
        <v>32</v>
      </c>
      <c r="E9" s="25">
        <v>5672</v>
      </c>
      <c r="F9" s="25">
        <v>2000</v>
      </c>
      <c r="G9" s="25">
        <v>17600</v>
      </c>
      <c r="H9" s="25">
        <v>2400</v>
      </c>
      <c r="I9" s="25">
        <v>2200</v>
      </c>
      <c r="J9" s="25">
        <v>420</v>
      </c>
      <c r="K9" s="18">
        <f t="shared" si="1"/>
        <v>30292</v>
      </c>
      <c r="L9" s="26"/>
    </row>
    <row r="10" spans="1:12">
      <c r="A10" s="14" t="s">
        <v>39</v>
      </c>
      <c r="B10" s="24" t="s">
        <v>40</v>
      </c>
      <c r="C10" s="24"/>
      <c r="D10" s="45" t="s">
        <v>25</v>
      </c>
      <c r="E10" s="18">
        <f t="shared" ref="E10:J10" si="5">E11</f>
        <v>348480</v>
      </c>
      <c r="F10" s="18">
        <f t="shared" si="5"/>
        <v>227040</v>
      </c>
      <c r="G10" s="18">
        <f t="shared" si="5"/>
        <v>79200</v>
      </c>
      <c r="H10" s="18">
        <f t="shared" si="5"/>
        <v>168960</v>
      </c>
      <c r="I10" s="18">
        <f t="shared" si="5"/>
        <v>269280</v>
      </c>
      <c r="J10" s="18">
        <f t="shared" si="5"/>
        <v>26400</v>
      </c>
      <c r="K10" s="18">
        <f t="shared" si="1"/>
        <v>1119360</v>
      </c>
      <c r="L10" s="26"/>
    </row>
    <row r="11" spans="1:12" s="44" customFormat="1">
      <c r="A11" s="14" t="s">
        <v>41</v>
      </c>
      <c r="B11" s="43" t="s">
        <v>196</v>
      </c>
      <c r="C11" s="43" t="s">
        <v>31</v>
      </c>
      <c r="D11" s="26" t="s">
        <v>25</v>
      </c>
      <c r="E11" s="18">
        <f t="shared" ref="E11:J11" si="6">440*12*E61</f>
        <v>348480</v>
      </c>
      <c r="F11" s="18">
        <f t="shared" si="6"/>
        <v>227040</v>
      </c>
      <c r="G11" s="18">
        <f t="shared" si="6"/>
        <v>79200</v>
      </c>
      <c r="H11" s="18">
        <f t="shared" si="6"/>
        <v>168960</v>
      </c>
      <c r="I11" s="18">
        <f t="shared" si="6"/>
        <v>269280</v>
      </c>
      <c r="J11" s="18">
        <f t="shared" si="6"/>
        <v>26400</v>
      </c>
      <c r="K11" s="18">
        <f t="shared" si="1"/>
        <v>1119360</v>
      </c>
      <c r="L11" s="26"/>
    </row>
    <row r="12" spans="1:12" ht="22.5">
      <c r="A12" s="14" t="s">
        <v>43</v>
      </c>
      <c r="B12" s="24" t="s">
        <v>44</v>
      </c>
      <c r="C12" s="24"/>
      <c r="D12" s="45" t="s">
        <v>45</v>
      </c>
      <c r="E12" s="18">
        <f t="shared" ref="E12:J12" si="7">E13+E14</f>
        <v>117749.95</v>
      </c>
      <c r="F12" s="18">
        <f t="shared" si="7"/>
        <v>79877.23</v>
      </c>
      <c r="G12" s="18">
        <f t="shared" si="7"/>
        <v>25099.200000000001</v>
      </c>
      <c r="H12" s="18">
        <f t="shared" si="7"/>
        <v>64799.86</v>
      </c>
      <c r="I12" s="18">
        <f t="shared" si="7"/>
        <v>70200.429999999993</v>
      </c>
      <c r="J12" s="18">
        <f t="shared" si="7"/>
        <v>10594.380000000001</v>
      </c>
      <c r="K12" s="18">
        <f t="shared" si="1"/>
        <v>368321.05</v>
      </c>
      <c r="L12" s="26"/>
    </row>
    <row r="13" spans="1:12" s="44" customFormat="1" ht="22.5">
      <c r="A13" s="14" t="s">
        <v>46</v>
      </c>
      <c r="B13" s="43" t="s">
        <v>197</v>
      </c>
      <c r="C13" s="43" t="s">
        <v>31</v>
      </c>
      <c r="D13" s="26" t="s">
        <v>48</v>
      </c>
      <c r="E13" s="18">
        <f t="shared" ref="E13:J13" si="8">ROUND(E29/0.07*0.00256,2)</f>
        <v>39872.949999999997</v>
      </c>
      <c r="F13" s="18">
        <f t="shared" si="8"/>
        <v>27048.23</v>
      </c>
      <c r="G13" s="18">
        <f t="shared" si="8"/>
        <v>8499.2000000000007</v>
      </c>
      <c r="H13" s="18">
        <f t="shared" si="8"/>
        <v>21942.86</v>
      </c>
      <c r="I13" s="18">
        <f t="shared" si="8"/>
        <v>23771.43</v>
      </c>
      <c r="J13" s="18">
        <f t="shared" si="8"/>
        <v>3587.38</v>
      </c>
      <c r="K13" s="18">
        <f t="shared" si="1"/>
        <v>124722.04999999999</v>
      </c>
      <c r="L13" s="26"/>
    </row>
    <row r="14" spans="1:12" s="44" customFormat="1" ht="22.5">
      <c r="A14" s="14" t="s">
        <v>49</v>
      </c>
      <c r="B14" s="43" t="s">
        <v>198</v>
      </c>
      <c r="C14" s="43" t="s">
        <v>31</v>
      </c>
      <c r="D14" s="26" t="s">
        <v>48</v>
      </c>
      <c r="E14" s="18">
        <f t="shared" ref="E14:J14" si="9">ROUND(E29/0.07*0.005,0)</f>
        <v>77877</v>
      </c>
      <c r="F14" s="18">
        <f t="shared" si="9"/>
        <v>52829</v>
      </c>
      <c r="G14" s="18">
        <f t="shared" si="9"/>
        <v>16600</v>
      </c>
      <c r="H14" s="18">
        <f t="shared" si="9"/>
        <v>42857</v>
      </c>
      <c r="I14" s="18">
        <f t="shared" si="9"/>
        <v>46429</v>
      </c>
      <c r="J14" s="18">
        <f t="shared" si="9"/>
        <v>7007</v>
      </c>
      <c r="K14" s="18">
        <f t="shared" si="1"/>
        <v>243599</v>
      </c>
      <c r="L14" s="26"/>
    </row>
    <row r="15" spans="1:12">
      <c r="A15" s="14" t="s">
        <v>51</v>
      </c>
      <c r="B15" s="24" t="s">
        <v>52</v>
      </c>
      <c r="C15" s="24"/>
      <c r="D15" s="45" t="s">
        <v>25</v>
      </c>
      <c r="E15" s="18">
        <f t="shared" ref="E15:J15" si="10">E16+E17+E18+E19</f>
        <v>14341800</v>
      </c>
      <c r="F15" s="18">
        <f t="shared" si="10"/>
        <v>9343900</v>
      </c>
      <c r="G15" s="18">
        <f t="shared" si="10"/>
        <v>2859000</v>
      </c>
      <c r="H15" s="18">
        <f t="shared" si="10"/>
        <v>6099200</v>
      </c>
      <c r="I15" s="18">
        <f t="shared" si="10"/>
        <v>9720600</v>
      </c>
      <c r="J15" s="18">
        <f t="shared" si="10"/>
        <v>1008500</v>
      </c>
      <c r="K15" s="18">
        <f t="shared" si="1"/>
        <v>43373000</v>
      </c>
      <c r="L15" s="26"/>
    </row>
    <row r="16" spans="1:12" ht="22.5">
      <c r="A16" s="14" t="s">
        <v>53</v>
      </c>
      <c r="B16" s="15" t="s">
        <v>54</v>
      </c>
      <c r="C16" s="15" t="s">
        <v>31</v>
      </c>
      <c r="D16" s="16" t="s">
        <v>199</v>
      </c>
      <c r="E16" s="17">
        <v>12710717</v>
      </c>
      <c r="F16" s="17">
        <v>8255716</v>
      </c>
      <c r="G16" s="17">
        <v>2769000</v>
      </c>
      <c r="H16" s="17">
        <v>5621130</v>
      </c>
      <c r="I16" s="17">
        <v>9134600</v>
      </c>
      <c r="J16" s="17">
        <v>978500</v>
      </c>
      <c r="K16" s="18">
        <f t="shared" si="1"/>
        <v>39469663</v>
      </c>
      <c r="L16" s="16"/>
    </row>
    <row r="17" spans="1:12" ht="22.5">
      <c r="A17" s="14" t="s">
        <v>56</v>
      </c>
      <c r="B17" s="15" t="s">
        <v>57</v>
      </c>
      <c r="C17" s="15" t="s">
        <v>31</v>
      </c>
      <c r="D17" s="16" t="s">
        <v>58</v>
      </c>
      <c r="E17" s="17">
        <v>575083</v>
      </c>
      <c r="F17" s="17">
        <v>400184</v>
      </c>
      <c r="G17" s="17"/>
      <c r="H17" s="17">
        <v>286070</v>
      </c>
      <c r="I17" s="17">
        <v>280000</v>
      </c>
      <c r="J17" s="17"/>
      <c r="K17" s="18">
        <f t="shared" si="1"/>
        <v>1541337</v>
      </c>
      <c r="L17" s="16"/>
    </row>
    <row r="18" spans="1:12">
      <c r="A18" s="14" t="s">
        <v>59</v>
      </c>
      <c r="B18" s="15" t="s">
        <v>200</v>
      </c>
      <c r="C18" s="15" t="s">
        <v>31</v>
      </c>
      <c r="D18" s="45" t="s">
        <v>25</v>
      </c>
      <c r="E18" s="50">
        <f t="shared" ref="E18:J18" si="11">E61*500*12</f>
        <v>396000</v>
      </c>
      <c r="F18" s="50">
        <f t="shared" si="11"/>
        <v>258000</v>
      </c>
      <c r="G18" s="50">
        <f t="shared" si="11"/>
        <v>90000</v>
      </c>
      <c r="H18" s="50">
        <f t="shared" si="11"/>
        <v>192000</v>
      </c>
      <c r="I18" s="50">
        <f t="shared" si="11"/>
        <v>306000</v>
      </c>
      <c r="J18" s="50">
        <f t="shared" si="11"/>
        <v>30000</v>
      </c>
      <c r="K18" s="18">
        <f t="shared" si="1"/>
        <v>1272000</v>
      </c>
      <c r="L18" s="16"/>
    </row>
    <row r="19" spans="1:12" ht="22.5">
      <c r="A19" s="14" t="s">
        <v>61</v>
      </c>
      <c r="B19" s="15" t="s">
        <v>201</v>
      </c>
      <c r="C19" s="15" t="s">
        <v>31</v>
      </c>
      <c r="D19" s="45" t="s">
        <v>32</v>
      </c>
      <c r="E19" s="17">
        <f>10000*E61</f>
        <v>660000</v>
      </c>
      <c r="F19" s="17">
        <f>10000*F61</f>
        <v>430000</v>
      </c>
      <c r="G19" s="17"/>
      <c r="H19" s="17"/>
      <c r="I19" s="17"/>
      <c r="J19" s="17"/>
      <c r="K19" s="18">
        <f t="shared" si="1"/>
        <v>1090000</v>
      </c>
      <c r="L19" s="16"/>
    </row>
    <row r="20" spans="1:12">
      <c r="A20" s="14" t="s">
        <v>63</v>
      </c>
      <c r="B20" s="24" t="s">
        <v>64</v>
      </c>
      <c r="C20" s="24"/>
      <c r="D20" s="16" t="s">
        <v>25</v>
      </c>
      <c r="E20" s="50">
        <f t="shared" ref="E20:J20" si="12">E21+E22</f>
        <v>2180552</v>
      </c>
      <c r="F20" s="50">
        <f t="shared" si="12"/>
        <v>1479200.01</v>
      </c>
      <c r="G20" s="50">
        <f t="shared" si="12"/>
        <v>464800</v>
      </c>
      <c r="H20" s="50">
        <f t="shared" si="12"/>
        <v>1200000</v>
      </c>
      <c r="I20" s="50">
        <f t="shared" si="12"/>
        <v>1300000.01</v>
      </c>
      <c r="J20" s="50">
        <f t="shared" si="12"/>
        <v>196185.03000000003</v>
      </c>
      <c r="K20" s="18">
        <f t="shared" si="1"/>
        <v>6820737.0499999998</v>
      </c>
      <c r="L20" s="16"/>
    </row>
    <row r="21" spans="1:12">
      <c r="A21" s="14" t="s">
        <v>65</v>
      </c>
      <c r="B21" s="24" t="s">
        <v>202</v>
      </c>
      <c r="C21" s="24" t="s">
        <v>67</v>
      </c>
      <c r="D21" s="16" t="s">
        <v>25</v>
      </c>
      <c r="E21" s="50">
        <f t="shared" ref="E21:J21" si="13">ROUND(E29/0.07*0.1,2)</f>
        <v>1557537.14</v>
      </c>
      <c r="F21" s="50">
        <f t="shared" si="13"/>
        <v>1056571.43</v>
      </c>
      <c r="G21" s="50">
        <f t="shared" si="13"/>
        <v>332000</v>
      </c>
      <c r="H21" s="50">
        <f t="shared" si="13"/>
        <v>857142.86</v>
      </c>
      <c r="I21" s="50">
        <f t="shared" si="13"/>
        <v>928571.43</v>
      </c>
      <c r="J21" s="50">
        <f t="shared" si="13"/>
        <v>140132.17000000001</v>
      </c>
      <c r="K21" s="18">
        <f t="shared" si="1"/>
        <v>4871955.0299999993</v>
      </c>
      <c r="L21" s="16"/>
    </row>
    <row r="22" spans="1:12" ht="22.5">
      <c r="A22" s="14" t="s">
        <v>68</v>
      </c>
      <c r="B22" s="24" t="s">
        <v>203</v>
      </c>
      <c r="C22" s="24" t="s">
        <v>67</v>
      </c>
      <c r="D22" s="16" t="s">
        <v>48</v>
      </c>
      <c r="E22" s="50">
        <f t="shared" ref="E22:J22" si="14">E23+E24</f>
        <v>623014.86</v>
      </c>
      <c r="F22" s="50">
        <f t="shared" si="14"/>
        <v>422628.58</v>
      </c>
      <c r="G22" s="50">
        <f t="shared" si="14"/>
        <v>132800</v>
      </c>
      <c r="H22" s="50">
        <f t="shared" si="14"/>
        <v>342857.14</v>
      </c>
      <c r="I22" s="50">
        <f t="shared" si="14"/>
        <v>371428.58</v>
      </c>
      <c r="J22" s="50">
        <f t="shared" si="14"/>
        <v>56052.86</v>
      </c>
      <c r="K22" s="18">
        <f t="shared" si="1"/>
        <v>1948782.0200000003</v>
      </c>
      <c r="L22" s="16"/>
    </row>
    <row r="23" spans="1:12" ht="22.5">
      <c r="A23" s="14" t="s">
        <v>70</v>
      </c>
      <c r="B23" s="24" t="s">
        <v>71</v>
      </c>
      <c r="C23" s="24" t="s">
        <v>67</v>
      </c>
      <c r="D23" s="16" t="s">
        <v>48</v>
      </c>
      <c r="E23" s="50">
        <f t="shared" ref="E23:J23" si="15">ROUND(E29/0.07*0.02,2)</f>
        <v>311507.43</v>
      </c>
      <c r="F23" s="50">
        <f t="shared" si="15"/>
        <v>211314.29</v>
      </c>
      <c r="G23" s="50">
        <f t="shared" si="15"/>
        <v>66400</v>
      </c>
      <c r="H23" s="50">
        <f t="shared" si="15"/>
        <v>171428.57</v>
      </c>
      <c r="I23" s="50">
        <f t="shared" si="15"/>
        <v>185714.29</v>
      </c>
      <c r="J23" s="50">
        <f t="shared" si="15"/>
        <v>28026.43</v>
      </c>
      <c r="K23" s="18">
        <f t="shared" si="1"/>
        <v>974391.01000000013</v>
      </c>
      <c r="L23" s="16"/>
    </row>
    <row r="24" spans="1:12" ht="22.5">
      <c r="A24" s="14" t="s">
        <v>72</v>
      </c>
      <c r="B24" s="24" t="s">
        <v>73</v>
      </c>
      <c r="C24" s="24" t="s">
        <v>67</v>
      </c>
      <c r="D24" s="16" t="s">
        <v>48</v>
      </c>
      <c r="E24" s="50">
        <f t="shared" ref="E24:J24" si="16">ROUND(E29/0.07*0.02,2)</f>
        <v>311507.43</v>
      </c>
      <c r="F24" s="50">
        <f t="shared" si="16"/>
        <v>211314.29</v>
      </c>
      <c r="G24" s="50">
        <f t="shared" si="16"/>
        <v>66400</v>
      </c>
      <c r="H24" s="50">
        <f t="shared" si="16"/>
        <v>171428.57</v>
      </c>
      <c r="I24" s="50">
        <f t="shared" si="16"/>
        <v>185714.29</v>
      </c>
      <c r="J24" s="50">
        <f t="shared" si="16"/>
        <v>28026.43</v>
      </c>
      <c r="K24" s="18">
        <f t="shared" si="1"/>
        <v>974391.01000000013</v>
      </c>
      <c r="L24" s="16"/>
    </row>
    <row r="25" spans="1:12">
      <c r="A25" s="14" t="s">
        <v>74</v>
      </c>
      <c r="B25" s="24" t="s">
        <v>75</v>
      </c>
      <c r="C25" s="24"/>
      <c r="D25" s="45" t="s">
        <v>25</v>
      </c>
      <c r="E25" s="18">
        <f t="shared" ref="E25:J25" si="17">E26</f>
        <v>2492059.4300000002</v>
      </c>
      <c r="F25" s="18">
        <f t="shared" si="17"/>
        <v>1690514.29</v>
      </c>
      <c r="G25" s="18">
        <f t="shared" si="17"/>
        <v>531200</v>
      </c>
      <c r="H25" s="18">
        <f t="shared" si="17"/>
        <v>1371428.57</v>
      </c>
      <c r="I25" s="18">
        <f t="shared" si="17"/>
        <v>1485714.29</v>
      </c>
      <c r="J25" s="18">
        <f t="shared" si="17"/>
        <v>224211.47</v>
      </c>
      <c r="K25" s="18">
        <f t="shared" si="1"/>
        <v>7795128.0500000007</v>
      </c>
      <c r="L25" s="26"/>
    </row>
    <row r="26" spans="1:12" s="44" customFormat="1" ht="22.5">
      <c r="A26" s="14" t="s">
        <v>76</v>
      </c>
      <c r="B26" s="43" t="s">
        <v>204</v>
      </c>
      <c r="C26" s="43" t="s">
        <v>78</v>
      </c>
      <c r="D26" s="26" t="s">
        <v>48</v>
      </c>
      <c r="E26" s="18">
        <f t="shared" ref="E26:J26" si="18">ROUND(E29/0.07*0.16,2)</f>
        <v>2492059.4300000002</v>
      </c>
      <c r="F26" s="18">
        <f t="shared" si="18"/>
        <v>1690514.29</v>
      </c>
      <c r="G26" s="18">
        <f t="shared" si="18"/>
        <v>531200</v>
      </c>
      <c r="H26" s="18">
        <f t="shared" si="18"/>
        <v>1371428.57</v>
      </c>
      <c r="I26" s="18">
        <f t="shared" si="18"/>
        <v>1485714.29</v>
      </c>
      <c r="J26" s="18">
        <f t="shared" si="18"/>
        <v>224211.47</v>
      </c>
      <c r="K26" s="18">
        <f t="shared" si="1"/>
        <v>7795128.0500000007</v>
      </c>
      <c r="L26" s="26"/>
    </row>
    <row r="27" spans="1:12">
      <c r="A27" s="14" t="s">
        <v>79</v>
      </c>
      <c r="B27" s="24" t="s">
        <v>80</v>
      </c>
      <c r="C27" s="24"/>
      <c r="D27" s="45" t="s">
        <v>25</v>
      </c>
      <c r="E27" s="18">
        <f t="shared" ref="E27:J27" si="19">E28</f>
        <v>1246029.71</v>
      </c>
      <c r="F27" s="18">
        <f t="shared" si="19"/>
        <v>845257.14</v>
      </c>
      <c r="G27" s="18">
        <f t="shared" si="19"/>
        <v>265600</v>
      </c>
      <c r="H27" s="18">
        <f t="shared" si="19"/>
        <v>685714.29</v>
      </c>
      <c r="I27" s="18">
        <f t="shared" si="19"/>
        <v>742857.14</v>
      </c>
      <c r="J27" s="18">
        <f t="shared" si="19"/>
        <v>112105.74</v>
      </c>
      <c r="K27" s="18">
        <f t="shared" si="1"/>
        <v>3897564.0200000005</v>
      </c>
      <c r="L27" s="26"/>
    </row>
    <row r="28" spans="1:12" s="44" customFormat="1" ht="22.5">
      <c r="A28" s="14" t="s">
        <v>81</v>
      </c>
      <c r="B28" s="43" t="s">
        <v>82</v>
      </c>
      <c r="C28" s="43" t="s">
        <v>83</v>
      </c>
      <c r="D28" s="26" t="s">
        <v>48</v>
      </c>
      <c r="E28" s="18">
        <f t="shared" ref="E28:J28" si="20">ROUND(E29/0.07*0.08,2)</f>
        <v>1246029.71</v>
      </c>
      <c r="F28" s="18">
        <f t="shared" si="20"/>
        <v>845257.14</v>
      </c>
      <c r="G28" s="18">
        <f t="shared" si="20"/>
        <v>265600</v>
      </c>
      <c r="H28" s="18">
        <f t="shared" si="20"/>
        <v>685714.29</v>
      </c>
      <c r="I28" s="18">
        <f t="shared" si="20"/>
        <v>742857.14</v>
      </c>
      <c r="J28" s="18">
        <f t="shared" si="20"/>
        <v>112105.74</v>
      </c>
      <c r="K28" s="18">
        <f t="shared" si="1"/>
        <v>3897564.0200000005</v>
      </c>
      <c r="L28" s="26"/>
    </row>
    <row r="29" spans="1:12" ht="22.5">
      <c r="A29" s="14" t="s">
        <v>84</v>
      </c>
      <c r="B29" s="24" t="s">
        <v>205</v>
      </c>
      <c r="C29" s="24" t="s">
        <v>86</v>
      </c>
      <c r="D29" s="45" t="s">
        <v>206</v>
      </c>
      <c r="E29" s="17">
        <v>1090276</v>
      </c>
      <c r="F29" s="17">
        <v>739600</v>
      </c>
      <c r="G29" s="17">
        <v>232400</v>
      </c>
      <c r="H29" s="17">
        <v>600000</v>
      </c>
      <c r="I29" s="17">
        <v>650000</v>
      </c>
      <c r="J29" s="17">
        <v>98092.52</v>
      </c>
      <c r="K29" s="18">
        <f t="shared" si="1"/>
        <v>3410368.52</v>
      </c>
      <c r="L29" s="16"/>
    </row>
    <row r="30" spans="1:12">
      <c r="A30" s="14" t="s">
        <v>88</v>
      </c>
      <c r="B30" s="24" t="s">
        <v>207</v>
      </c>
      <c r="C30" s="15" t="s">
        <v>31</v>
      </c>
      <c r="D30" s="26" t="s">
        <v>208</v>
      </c>
      <c r="E30" s="17"/>
      <c r="F30" s="17"/>
      <c r="G30" s="17"/>
      <c r="H30" s="17"/>
      <c r="I30" s="17"/>
      <c r="J30" s="17"/>
      <c r="K30" s="18">
        <f t="shared" si="1"/>
        <v>0</v>
      </c>
      <c r="L30" s="16"/>
    </row>
    <row r="31" spans="1:12">
      <c r="A31" s="14" t="s">
        <v>91</v>
      </c>
      <c r="B31" s="24" t="s">
        <v>92</v>
      </c>
      <c r="C31" s="24"/>
      <c r="D31" s="45" t="s">
        <v>25</v>
      </c>
      <c r="E31" s="18">
        <f t="shared" ref="E31:J31" si="21">E32+E34+E36</f>
        <v>1424830</v>
      </c>
      <c r="F31" s="18">
        <f t="shared" si="21"/>
        <v>3240</v>
      </c>
      <c r="G31" s="18">
        <f t="shared" si="21"/>
        <v>136500</v>
      </c>
      <c r="H31" s="18">
        <f t="shared" si="21"/>
        <v>51780</v>
      </c>
      <c r="I31" s="18">
        <f t="shared" si="21"/>
        <v>23500</v>
      </c>
      <c r="J31" s="18">
        <f t="shared" si="21"/>
        <v>0</v>
      </c>
      <c r="K31" s="18">
        <f t="shared" si="1"/>
        <v>1639850</v>
      </c>
      <c r="L31" s="26"/>
    </row>
    <row r="32" spans="1:12" ht="22.5">
      <c r="A32" s="14" t="s">
        <v>93</v>
      </c>
      <c r="B32" s="24" t="s">
        <v>209</v>
      </c>
      <c r="C32" s="24" t="s">
        <v>95</v>
      </c>
      <c r="D32" s="16" t="s">
        <v>210</v>
      </c>
      <c r="E32" s="50">
        <f t="shared" ref="E32:J32" si="22">E33</f>
        <v>1420440</v>
      </c>
      <c r="F32" s="50">
        <f t="shared" si="22"/>
        <v>0</v>
      </c>
      <c r="G32" s="50">
        <f t="shared" si="22"/>
        <v>134340</v>
      </c>
      <c r="H32" s="50">
        <f t="shared" si="22"/>
        <v>48180</v>
      </c>
      <c r="I32" s="50">
        <f t="shared" si="22"/>
        <v>21700</v>
      </c>
      <c r="J32" s="50">
        <f t="shared" si="22"/>
        <v>0</v>
      </c>
      <c r="K32" s="18">
        <f t="shared" si="1"/>
        <v>1624660</v>
      </c>
      <c r="L32" s="16"/>
    </row>
    <row r="33" spans="1:12" ht="22.5">
      <c r="A33" s="14" t="s">
        <v>97</v>
      </c>
      <c r="B33" s="24" t="s">
        <v>211</v>
      </c>
      <c r="C33" s="24" t="s">
        <v>95</v>
      </c>
      <c r="D33" s="16" t="s">
        <v>210</v>
      </c>
      <c r="E33" s="25">
        <v>1420440</v>
      </c>
      <c r="F33" s="25"/>
      <c r="G33" s="25">
        <f>11195*12</f>
        <v>134340</v>
      </c>
      <c r="H33" s="25">
        <v>48180</v>
      </c>
      <c r="I33" s="25">
        <f>1085*12+1085*8</f>
        <v>21700</v>
      </c>
      <c r="J33" s="25"/>
      <c r="K33" s="18">
        <f t="shared" si="1"/>
        <v>1624660</v>
      </c>
      <c r="L33" s="26"/>
    </row>
    <row r="34" spans="1:12">
      <c r="A34" s="14" t="s">
        <v>99</v>
      </c>
      <c r="B34" s="24" t="s">
        <v>100</v>
      </c>
      <c r="C34" s="24"/>
      <c r="D34" s="45" t="s">
        <v>25</v>
      </c>
      <c r="E34" s="18">
        <f t="shared" ref="E34:J34" si="23">E35</f>
        <v>4390</v>
      </c>
      <c r="F34" s="18">
        <f t="shared" si="23"/>
        <v>3240</v>
      </c>
      <c r="G34" s="18">
        <f t="shared" si="23"/>
        <v>2160</v>
      </c>
      <c r="H34" s="18">
        <f t="shared" si="23"/>
        <v>3600</v>
      </c>
      <c r="I34" s="18">
        <f t="shared" si="23"/>
        <v>1800</v>
      </c>
      <c r="J34" s="18">
        <f t="shared" si="23"/>
        <v>0</v>
      </c>
      <c r="K34" s="18">
        <f t="shared" si="1"/>
        <v>15190</v>
      </c>
      <c r="L34" s="26"/>
    </row>
    <row r="35" spans="1:12" ht="22.5">
      <c r="A35" s="14" t="s">
        <v>101</v>
      </c>
      <c r="B35" s="24" t="s">
        <v>102</v>
      </c>
      <c r="C35" s="24" t="s">
        <v>31</v>
      </c>
      <c r="D35" s="45" t="s">
        <v>32</v>
      </c>
      <c r="E35" s="25">
        <v>4390</v>
      </c>
      <c r="F35" s="25">
        <v>3240</v>
      </c>
      <c r="G35" s="25">
        <v>2160</v>
      </c>
      <c r="H35" s="25">
        <v>3600</v>
      </c>
      <c r="I35" s="25">
        <v>1800</v>
      </c>
      <c r="J35" s="25"/>
      <c r="K35" s="18">
        <f t="shared" si="1"/>
        <v>15190</v>
      </c>
      <c r="L35" s="26"/>
    </row>
    <row r="36" spans="1:12">
      <c r="A36" s="14" t="s">
        <v>103</v>
      </c>
      <c r="B36" s="24" t="s">
        <v>104</v>
      </c>
      <c r="C36" s="24"/>
      <c r="D36" s="45" t="s">
        <v>25</v>
      </c>
      <c r="E36" s="18">
        <f t="shared" ref="E36:J36" si="24">E37</f>
        <v>0</v>
      </c>
      <c r="F36" s="18">
        <f t="shared" si="24"/>
        <v>0</v>
      </c>
      <c r="G36" s="18">
        <f t="shared" si="24"/>
        <v>0</v>
      </c>
      <c r="H36" s="18">
        <f t="shared" si="24"/>
        <v>0</v>
      </c>
      <c r="I36" s="18">
        <f t="shared" si="24"/>
        <v>0</v>
      </c>
      <c r="J36" s="18">
        <f t="shared" si="24"/>
        <v>0</v>
      </c>
      <c r="K36" s="18">
        <f t="shared" si="1"/>
        <v>0</v>
      </c>
      <c r="L36" s="26"/>
    </row>
    <row r="37" spans="1:12" ht="56.25">
      <c r="A37" s="14" t="s">
        <v>105</v>
      </c>
      <c r="B37" s="24" t="s">
        <v>212</v>
      </c>
      <c r="C37" s="24" t="s">
        <v>31</v>
      </c>
      <c r="D37" s="16" t="s">
        <v>107</v>
      </c>
      <c r="E37" s="17"/>
      <c r="F37" s="17"/>
      <c r="G37" s="17"/>
      <c r="H37" s="17"/>
      <c r="I37" s="17"/>
      <c r="J37" s="17"/>
      <c r="K37" s="18">
        <f t="shared" si="1"/>
        <v>0</v>
      </c>
      <c r="L37" s="16"/>
    </row>
    <row r="38" spans="1:12">
      <c r="A38" s="14" t="s">
        <v>108</v>
      </c>
      <c r="B38" s="24" t="s">
        <v>109</v>
      </c>
      <c r="C38" s="24"/>
      <c r="D38" s="45" t="s">
        <v>25</v>
      </c>
      <c r="E38" s="18">
        <f t="shared" ref="E38:J38" si="25">E39+E41+E43+E45+E47+E50+E52+E54+E58</f>
        <v>4336046.93</v>
      </c>
      <c r="F38" s="18">
        <f t="shared" si="25"/>
        <v>2848804.29</v>
      </c>
      <c r="G38" s="18">
        <f t="shared" si="25"/>
        <v>1117845</v>
      </c>
      <c r="H38" s="18">
        <f t="shared" si="25"/>
        <v>1566148.07</v>
      </c>
      <c r="I38" s="18">
        <f t="shared" si="25"/>
        <v>2660924.4900000002</v>
      </c>
      <c r="J38" s="18">
        <f t="shared" si="25"/>
        <v>264626.43</v>
      </c>
      <c r="K38" s="18">
        <f t="shared" si="1"/>
        <v>12794395.209999999</v>
      </c>
      <c r="L38" s="26"/>
    </row>
    <row r="39" spans="1:12">
      <c r="A39" s="14" t="s">
        <v>110</v>
      </c>
      <c r="B39" s="24" t="s">
        <v>111</v>
      </c>
      <c r="C39" s="24"/>
      <c r="D39" s="45" t="s">
        <v>112</v>
      </c>
      <c r="E39" s="25">
        <v>3190740</v>
      </c>
      <c r="F39" s="25">
        <v>2015880</v>
      </c>
      <c r="G39" s="25">
        <v>886560</v>
      </c>
      <c r="H39" s="25">
        <v>1080180</v>
      </c>
      <c r="I39" s="25">
        <v>1899020</v>
      </c>
      <c r="J39" s="25">
        <v>112000</v>
      </c>
      <c r="K39" s="18">
        <f t="shared" si="1"/>
        <v>9184380</v>
      </c>
      <c r="L39" s="26"/>
    </row>
    <row r="40" spans="1:12">
      <c r="A40" s="14" t="s">
        <v>113</v>
      </c>
      <c r="B40" s="24" t="s">
        <v>213</v>
      </c>
      <c r="C40" s="24" t="s">
        <v>214</v>
      </c>
      <c r="D40" s="27" t="s">
        <v>215</v>
      </c>
      <c r="E40" s="25">
        <f>E39*0.05</f>
        <v>159537</v>
      </c>
      <c r="F40" s="25">
        <v>100794</v>
      </c>
      <c r="G40" s="25">
        <v>15728</v>
      </c>
      <c r="H40" s="25">
        <v>54009</v>
      </c>
      <c r="I40" s="25">
        <v>90089</v>
      </c>
      <c r="J40" s="25">
        <v>5600</v>
      </c>
      <c r="K40" s="18">
        <f t="shared" si="1"/>
        <v>425757</v>
      </c>
      <c r="L40" s="26"/>
    </row>
    <row r="41" spans="1:12">
      <c r="A41" s="14" t="s">
        <v>117</v>
      </c>
      <c r="B41" s="24" t="s">
        <v>118</v>
      </c>
      <c r="C41" s="24"/>
      <c r="D41" s="45"/>
      <c r="E41" s="18">
        <f t="shared" ref="E41:J41" si="26">E42</f>
        <v>26400</v>
      </c>
      <c r="F41" s="18">
        <f t="shared" si="26"/>
        <v>17200</v>
      </c>
      <c r="G41" s="18">
        <f t="shared" si="26"/>
        <v>6000</v>
      </c>
      <c r="H41" s="18">
        <f t="shared" si="26"/>
        <v>12800</v>
      </c>
      <c r="I41" s="18">
        <f t="shared" si="26"/>
        <v>20400</v>
      </c>
      <c r="J41" s="18">
        <f t="shared" si="26"/>
        <v>2000</v>
      </c>
      <c r="K41" s="18">
        <f t="shared" si="1"/>
        <v>84800</v>
      </c>
      <c r="L41" s="26"/>
    </row>
    <row r="42" spans="1:12" s="44" customFormat="1" ht="22.5">
      <c r="A42" s="14" t="s">
        <v>119</v>
      </c>
      <c r="B42" s="43" t="s">
        <v>120</v>
      </c>
      <c r="C42" s="43" t="s">
        <v>31</v>
      </c>
      <c r="D42" s="51" t="s">
        <v>121</v>
      </c>
      <c r="E42" s="18">
        <f t="shared" ref="E42:J42" si="27">E61*400</f>
        <v>26400</v>
      </c>
      <c r="F42" s="18">
        <f t="shared" si="27"/>
        <v>17200</v>
      </c>
      <c r="G42" s="18">
        <f t="shared" si="27"/>
        <v>6000</v>
      </c>
      <c r="H42" s="18">
        <f t="shared" si="27"/>
        <v>12800</v>
      </c>
      <c r="I42" s="18">
        <f t="shared" si="27"/>
        <v>20400</v>
      </c>
      <c r="J42" s="18">
        <f t="shared" si="27"/>
        <v>2000</v>
      </c>
      <c r="K42" s="18">
        <f t="shared" si="1"/>
        <v>84800</v>
      </c>
      <c r="L42" s="26"/>
    </row>
    <row r="43" spans="1:12">
      <c r="A43" s="14" t="s">
        <v>122</v>
      </c>
      <c r="B43" s="24" t="s">
        <v>123</v>
      </c>
      <c r="C43" s="24"/>
      <c r="D43" s="45" t="s">
        <v>25</v>
      </c>
      <c r="E43" s="18">
        <f t="shared" ref="E43:J43" si="28">E44</f>
        <v>100471.5</v>
      </c>
      <c r="F43" s="18">
        <f t="shared" si="28"/>
        <v>307530</v>
      </c>
      <c r="G43" s="18">
        <f t="shared" si="28"/>
        <v>22725</v>
      </c>
      <c r="H43" s="18">
        <f t="shared" si="28"/>
        <v>86839.5</v>
      </c>
      <c r="I43" s="18">
        <f t="shared" si="28"/>
        <v>224590.2</v>
      </c>
      <c r="J43" s="18">
        <f t="shared" si="28"/>
        <v>45000</v>
      </c>
      <c r="K43" s="18">
        <f t="shared" si="1"/>
        <v>787156.2</v>
      </c>
      <c r="L43" s="26"/>
    </row>
    <row r="44" spans="1:12" s="44" customFormat="1" ht="22.5">
      <c r="A44" s="14" t="s">
        <v>124</v>
      </c>
      <c r="B44" s="43" t="s">
        <v>125</v>
      </c>
      <c r="C44" s="43" t="s">
        <v>31</v>
      </c>
      <c r="D44" s="51" t="s">
        <v>126</v>
      </c>
      <c r="E44" s="18">
        <f t="shared" ref="E44:J44" si="29">E72*15</f>
        <v>100471.5</v>
      </c>
      <c r="F44" s="18">
        <f t="shared" si="29"/>
        <v>307530</v>
      </c>
      <c r="G44" s="18">
        <f t="shared" si="29"/>
        <v>22725</v>
      </c>
      <c r="H44" s="18">
        <f t="shared" si="29"/>
        <v>86839.5</v>
      </c>
      <c r="I44" s="18">
        <f t="shared" si="29"/>
        <v>224590.2</v>
      </c>
      <c r="J44" s="18">
        <f t="shared" si="29"/>
        <v>45000</v>
      </c>
      <c r="K44" s="18">
        <f t="shared" si="1"/>
        <v>787156.2</v>
      </c>
      <c r="L44" s="26"/>
    </row>
    <row r="45" spans="1:12">
      <c r="A45" s="14" t="s">
        <v>127</v>
      </c>
      <c r="B45" s="24" t="s">
        <v>128</v>
      </c>
      <c r="C45" s="24"/>
      <c r="D45" s="45" t="s">
        <v>25</v>
      </c>
      <c r="E45" s="18">
        <f t="shared" ref="E45:J45" si="30">E46</f>
        <v>40528</v>
      </c>
      <c r="F45" s="18">
        <f t="shared" si="30"/>
        <v>77120</v>
      </c>
      <c r="G45" s="18">
        <f t="shared" si="30"/>
        <v>1600</v>
      </c>
      <c r="H45" s="18">
        <f t="shared" si="30"/>
        <v>28000</v>
      </c>
      <c r="I45" s="18">
        <f t="shared" si="30"/>
        <v>66440</v>
      </c>
      <c r="J45" s="18">
        <f t="shared" si="30"/>
        <v>24000</v>
      </c>
      <c r="K45" s="18">
        <f t="shared" si="1"/>
        <v>237688</v>
      </c>
      <c r="L45" s="26"/>
    </row>
    <row r="46" spans="1:12" s="44" customFormat="1" ht="22.5">
      <c r="A46" s="14" t="s">
        <v>129</v>
      </c>
      <c r="B46" s="43" t="s">
        <v>130</v>
      </c>
      <c r="C46" s="43" t="s">
        <v>31</v>
      </c>
      <c r="D46" s="51" t="s">
        <v>131</v>
      </c>
      <c r="E46" s="18">
        <f t="shared" ref="E46:J46" si="31">E73*8</f>
        <v>40528</v>
      </c>
      <c r="F46" s="18">
        <f t="shared" si="31"/>
        <v>77120</v>
      </c>
      <c r="G46" s="18">
        <f t="shared" si="31"/>
        <v>1600</v>
      </c>
      <c r="H46" s="18">
        <f t="shared" si="31"/>
        <v>28000</v>
      </c>
      <c r="I46" s="18">
        <f t="shared" si="31"/>
        <v>66440</v>
      </c>
      <c r="J46" s="18">
        <f t="shared" si="31"/>
        <v>24000</v>
      </c>
      <c r="K46" s="18">
        <f t="shared" si="1"/>
        <v>237688</v>
      </c>
      <c r="L46" s="26"/>
    </row>
    <row r="47" spans="1:12">
      <c r="A47" s="14" t="s">
        <v>132</v>
      </c>
      <c r="B47" s="24" t="s">
        <v>216</v>
      </c>
      <c r="C47" s="24"/>
      <c r="D47" s="45" t="s">
        <v>25</v>
      </c>
      <c r="E47" s="18">
        <f t="shared" ref="E47:J47" si="32">E48+E49</f>
        <v>604800</v>
      </c>
      <c r="F47" s="18">
        <f t="shared" si="32"/>
        <v>185760</v>
      </c>
      <c r="G47" s="18">
        <f t="shared" si="32"/>
        <v>99360</v>
      </c>
      <c r="H47" s="18">
        <f t="shared" si="32"/>
        <v>151200</v>
      </c>
      <c r="I47" s="18">
        <f t="shared" si="32"/>
        <v>228960</v>
      </c>
      <c r="J47" s="18">
        <f t="shared" si="32"/>
        <v>21600</v>
      </c>
      <c r="K47" s="18">
        <f t="shared" si="1"/>
        <v>1291680</v>
      </c>
      <c r="L47" s="26"/>
    </row>
    <row r="48" spans="1:12" s="44" customFormat="1" ht="33.75">
      <c r="A48" s="14" t="s">
        <v>134</v>
      </c>
      <c r="B48" s="43" t="s">
        <v>217</v>
      </c>
      <c r="C48" s="43" t="s">
        <v>31</v>
      </c>
      <c r="D48" s="51" t="s">
        <v>136</v>
      </c>
      <c r="E48" s="18">
        <f t="shared" ref="E48:J48" si="33">E61*4320</f>
        <v>285120</v>
      </c>
      <c r="F48" s="18">
        <f t="shared" si="33"/>
        <v>185760</v>
      </c>
      <c r="G48" s="18">
        <f t="shared" si="33"/>
        <v>64800</v>
      </c>
      <c r="H48" s="18">
        <f t="shared" si="33"/>
        <v>138240</v>
      </c>
      <c r="I48" s="18">
        <f t="shared" si="33"/>
        <v>220320</v>
      </c>
      <c r="J48" s="18">
        <f t="shared" si="33"/>
        <v>21600</v>
      </c>
      <c r="K48" s="18">
        <f t="shared" si="1"/>
        <v>915840</v>
      </c>
      <c r="L48" s="26"/>
    </row>
    <row r="49" spans="1:12" s="44" customFormat="1" ht="33.75">
      <c r="A49" s="14" t="s">
        <v>137</v>
      </c>
      <c r="B49" s="43" t="s">
        <v>218</v>
      </c>
      <c r="C49" s="43" t="s">
        <v>31</v>
      </c>
      <c r="D49" s="51" t="s">
        <v>219</v>
      </c>
      <c r="E49" s="18">
        <f t="shared" ref="E49:J49" si="34">E71*4320</f>
        <v>319680</v>
      </c>
      <c r="F49" s="18">
        <f t="shared" si="34"/>
        <v>0</v>
      </c>
      <c r="G49" s="18">
        <f t="shared" si="34"/>
        <v>34560</v>
      </c>
      <c r="H49" s="18">
        <f t="shared" si="34"/>
        <v>12960</v>
      </c>
      <c r="I49" s="18">
        <f t="shared" si="34"/>
        <v>8640</v>
      </c>
      <c r="J49" s="18">
        <f t="shared" si="34"/>
        <v>0</v>
      </c>
      <c r="K49" s="18">
        <f t="shared" si="1"/>
        <v>375840</v>
      </c>
      <c r="L49" s="26"/>
    </row>
    <row r="50" spans="1:12">
      <c r="A50" s="14" t="s">
        <v>140</v>
      </c>
      <c r="B50" s="24" t="s">
        <v>220</v>
      </c>
      <c r="C50" s="24"/>
      <c r="D50" s="45" t="s">
        <v>25</v>
      </c>
      <c r="E50" s="18">
        <f t="shared" ref="E50:J50" si="35">E51</f>
        <v>311507.43</v>
      </c>
      <c r="F50" s="18">
        <f t="shared" si="35"/>
        <v>211314.29</v>
      </c>
      <c r="G50" s="18">
        <f t="shared" si="35"/>
        <v>66400</v>
      </c>
      <c r="H50" s="18">
        <f t="shared" si="35"/>
        <v>171428.57</v>
      </c>
      <c r="I50" s="18">
        <f t="shared" si="35"/>
        <v>185714.29</v>
      </c>
      <c r="J50" s="18">
        <f t="shared" si="35"/>
        <v>28026.43</v>
      </c>
      <c r="K50" s="18">
        <f t="shared" si="1"/>
        <v>974391.01000000013</v>
      </c>
      <c r="L50" s="26"/>
    </row>
    <row r="51" spans="1:12" s="44" customFormat="1" ht="22.5">
      <c r="A51" s="14" t="s">
        <v>142</v>
      </c>
      <c r="B51" s="43" t="s">
        <v>143</v>
      </c>
      <c r="C51" s="43" t="s">
        <v>31</v>
      </c>
      <c r="D51" s="26" t="s">
        <v>48</v>
      </c>
      <c r="E51" s="18">
        <f t="shared" ref="E51:J51" si="36">ROUND(E29/0.07*0.02,2)</f>
        <v>311507.43</v>
      </c>
      <c r="F51" s="18">
        <f t="shared" si="36"/>
        <v>211314.29</v>
      </c>
      <c r="G51" s="18">
        <f t="shared" si="36"/>
        <v>66400</v>
      </c>
      <c r="H51" s="18">
        <f t="shared" si="36"/>
        <v>171428.57</v>
      </c>
      <c r="I51" s="18">
        <f t="shared" si="36"/>
        <v>185714.29</v>
      </c>
      <c r="J51" s="18">
        <f t="shared" si="36"/>
        <v>28026.43</v>
      </c>
      <c r="K51" s="18">
        <f t="shared" si="1"/>
        <v>974391.01000000013</v>
      </c>
      <c r="L51" s="26"/>
    </row>
    <row r="52" spans="1:12">
      <c r="A52" s="14" t="s">
        <v>144</v>
      </c>
      <c r="B52" s="24" t="s">
        <v>221</v>
      </c>
      <c r="C52" s="24"/>
      <c r="D52" s="45" t="s">
        <v>25</v>
      </c>
      <c r="E52" s="18">
        <f t="shared" ref="E52:J52" si="37">E53</f>
        <v>32000</v>
      </c>
      <c r="F52" s="18">
        <f t="shared" si="37"/>
        <v>0</v>
      </c>
      <c r="G52" s="18">
        <f t="shared" si="37"/>
        <v>0</v>
      </c>
      <c r="H52" s="18">
        <f t="shared" si="37"/>
        <v>0</v>
      </c>
      <c r="I52" s="18">
        <f t="shared" si="37"/>
        <v>0</v>
      </c>
      <c r="J52" s="18">
        <f t="shared" si="37"/>
        <v>0</v>
      </c>
      <c r="K52" s="18">
        <f t="shared" si="1"/>
        <v>32000</v>
      </c>
      <c r="L52" s="26"/>
    </row>
    <row r="53" spans="1:12" ht="56.25">
      <c r="A53" s="14" t="s">
        <v>146</v>
      </c>
      <c r="B53" s="24" t="s">
        <v>147</v>
      </c>
      <c r="C53" s="24" t="s">
        <v>31</v>
      </c>
      <c r="D53" s="27" t="s">
        <v>148</v>
      </c>
      <c r="E53" s="25">
        <v>32000</v>
      </c>
      <c r="F53" s="25"/>
      <c r="G53" s="25"/>
      <c r="H53" s="25"/>
      <c r="I53" s="25"/>
      <c r="J53" s="25"/>
      <c r="K53" s="18">
        <f t="shared" si="1"/>
        <v>32000</v>
      </c>
      <c r="L53" s="26"/>
    </row>
    <row r="54" spans="1:12">
      <c r="A54" s="14" t="s">
        <v>149</v>
      </c>
      <c r="B54" s="24" t="s">
        <v>222</v>
      </c>
      <c r="C54" s="24"/>
      <c r="D54" s="45" t="s">
        <v>25</v>
      </c>
      <c r="E54" s="18">
        <f t="shared" ref="E54:J54" si="38">E55+E57</f>
        <v>29600</v>
      </c>
      <c r="F54" s="18">
        <f t="shared" si="38"/>
        <v>2000</v>
      </c>
      <c r="G54" s="18">
        <f t="shared" si="38"/>
        <v>3200</v>
      </c>
      <c r="H54" s="18">
        <f t="shared" si="38"/>
        <v>3700</v>
      </c>
      <c r="I54" s="18">
        <f t="shared" si="38"/>
        <v>3800</v>
      </c>
      <c r="J54" s="18">
        <f t="shared" si="38"/>
        <v>0</v>
      </c>
      <c r="K54" s="18">
        <f t="shared" si="1"/>
        <v>42300</v>
      </c>
      <c r="L54" s="26"/>
    </row>
    <row r="55" spans="1:12">
      <c r="A55" s="14" t="s">
        <v>151</v>
      </c>
      <c r="B55" s="24" t="s">
        <v>223</v>
      </c>
      <c r="C55" s="24" t="s">
        <v>31</v>
      </c>
      <c r="D55" s="45" t="s">
        <v>25</v>
      </c>
      <c r="E55" s="18">
        <f t="shared" ref="E55:J55" si="39">E56</f>
        <v>29600</v>
      </c>
      <c r="F55" s="18">
        <f t="shared" si="39"/>
        <v>0</v>
      </c>
      <c r="G55" s="18">
        <f t="shared" si="39"/>
        <v>3200</v>
      </c>
      <c r="H55" s="18">
        <f t="shared" si="39"/>
        <v>1200</v>
      </c>
      <c r="I55" s="18">
        <f t="shared" si="39"/>
        <v>800</v>
      </c>
      <c r="J55" s="18">
        <f t="shared" si="39"/>
        <v>0</v>
      </c>
      <c r="K55" s="18">
        <f t="shared" si="1"/>
        <v>34800</v>
      </c>
      <c r="L55" s="26"/>
    </row>
    <row r="56" spans="1:12" s="44" customFormat="1" ht="33.75">
      <c r="A56" s="14" t="s">
        <v>153</v>
      </c>
      <c r="B56" s="43" t="s">
        <v>154</v>
      </c>
      <c r="C56" s="43" t="s">
        <v>31</v>
      </c>
      <c r="D56" s="51" t="s">
        <v>224</v>
      </c>
      <c r="E56" s="18">
        <f t="shared" ref="E56:J56" si="40">E71*400</f>
        <v>29600</v>
      </c>
      <c r="F56" s="18">
        <f t="shared" si="40"/>
        <v>0</v>
      </c>
      <c r="G56" s="18">
        <f t="shared" si="40"/>
        <v>3200</v>
      </c>
      <c r="H56" s="18">
        <f t="shared" si="40"/>
        <v>1200</v>
      </c>
      <c r="I56" s="18">
        <f t="shared" si="40"/>
        <v>800</v>
      </c>
      <c r="J56" s="18">
        <f t="shared" si="40"/>
        <v>0</v>
      </c>
      <c r="K56" s="18">
        <f t="shared" si="1"/>
        <v>34800</v>
      </c>
      <c r="L56" s="26"/>
    </row>
    <row r="57" spans="1:12">
      <c r="A57" s="14" t="s">
        <v>156</v>
      </c>
      <c r="B57" s="24" t="s">
        <v>225</v>
      </c>
      <c r="C57" s="24" t="s">
        <v>31</v>
      </c>
      <c r="D57" s="27" t="s">
        <v>158</v>
      </c>
      <c r="E57" s="52"/>
      <c r="F57" s="52">
        <v>2000</v>
      </c>
      <c r="G57" s="52"/>
      <c r="H57" s="52">
        <v>2500</v>
      </c>
      <c r="I57" s="52">
        <v>3000</v>
      </c>
      <c r="J57" s="52"/>
      <c r="K57" s="18">
        <f t="shared" si="1"/>
        <v>7500</v>
      </c>
      <c r="L57" s="16"/>
    </row>
    <row r="58" spans="1:12">
      <c r="A58" s="14" t="s">
        <v>159</v>
      </c>
      <c r="B58" s="24" t="s">
        <v>226</v>
      </c>
      <c r="C58" s="24"/>
      <c r="D58" s="45" t="s">
        <v>25</v>
      </c>
      <c r="E58" s="18">
        <f t="shared" ref="E58:J58" si="41">E59</f>
        <v>0</v>
      </c>
      <c r="F58" s="18">
        <f t="shared" si="41"/>
        <v>32000</v>
      </c>
      <c r="G58" s="18">
        <f t="shared" si="41"/>
        <v>32000</v>
      </c>
      <c r="H58" s="18">
        <f t="shared" si="41"/>
        <v>32000</v>
      </c>
      <c r="I58" s="18">
        <f t="shared" si="41"/>
        <v>32000</v>
      </c>
      <c r="J58" s="18">
        <f t="shared" si="41"/>
        <v>32000</v>
      </c>
      <c r="K58" s="18">
        <f t="shared" si="1"/>
        <v>160000</v>
      </c>
      <c r="L58" s="26"/>
    </row>
    <row r="59" spans="1:12" ht="113.25" thickBot="1">
      <c r="A59" s="14" t="s">
        <v>161</v>
      </c>
      <c r="B59" s="53" t="s">
        <v>162</v>
      </c>
      <c r="C59" s="24" t="s">
        <v>31</v>
      </c>
      <c r="D59" s="54" t="s">
        <v>227</v>
      </c>
      <c r="E59" s="34"/>
      <c r="F59" s="34">
        <v>32000</v>
      </c>
      <c r="G59" s="34">
        <v>32000</v>
      </c>
      <c r="H59" s="34">
        <v>32000</v>
      </c>
      <c r="I59" s="34">
        <v>32000</v>
      </c>
      <c r="J59" s="34">
        <v>32000</v>
      </c>
      <c r="K59" s="18">
        <f t="shared" si="1"/>
        <v>160000</v>
      </c>
      <c r="L59" s="55"/>
    </row>
    <row r="60" spans="1:12" ht="12" thickTop="1">
      <c r="A60" s="14" t="s">
        <v>164</v>
      </c>
      <c r="B60" s="56" t="s">
        <v>165</v>
      </c>
      <c r="C60" s="56"/>
      <c r="D60" s="57"/>
      <c r="E60" s="58"/>
      <c r="F60" s="58"/>
      <c r="G60" s="58"/>
      <c r="H60" s="58"/>
      <c r="I60" s="58"/>
      <c r="J60" s="58"/>
      <c r="K60" s="18">
        <f t="shared" si="1"/>
        <v>0</v>
      </c>
      <c r="L60" s="59"/>
    </row>
    <row r="61" spans="1:12" ht="22.5">
      <c r="A61" s="14" t="s">
        <v>166</v>
      </c>
      <c r="B61" s="24" t="s">
        <v>167</v>
      </c>
      <c r="C61" s="24"/>
      <c r="D61" s="45" t="s">
        <v>228</v>
      </c>
      <c r="E61" s="18">
        <f t="shared" ref="E61:J61" si="42">E62+E63+E64+E65</f>
        <v>66</v>
      </c>
      <c r="F61" s="18">
        <f t="shared" si="42"/>
        <v>43</v>
      </c>
      <c r="G61" s="18">
        <f t="shared" si="42"/>
        <v>15</v>
      </c>
      <c r="H61" s="18">
        <f t="shared" si="42"/>
        <v>32</v>
      </c>
      <c r="I61" s="18">
        <f t="shared" si="42"/>
        <v>51</v>
      </c>
      <c r="J61" s="18">
        <f t="shared" si="42"/>
        <v>5</v>
      </c>
      <c r="K61" s="18">
        <f t="shared" si="1"/>
        <v>212</v>
      </c>
      <c r="L61" s="26"/>
    </row>
    <row r="62" spans="1:12">
      <c r="A62" s="14" t="s">
        <v>169</v>
      </c>
      <c r="B62" s="60" t="s">
        <v>170</v>
      </c>
      <c r="C62" s="60"/>
      <c r="D62" s="16"/>
      <c r="E62" s="17"/>
      <c r="F62" s="17"/>
      <c r="G62" s="17"/>
      <c r="H62" s="17"/>
      <c r="I62" s="17"/>
      <c r="J62" s="17"/>
      <c r="K62" s="18">
        <f t="shared" si="1"/>
        <v>0</v>
      </c>
      <c r="L62" s="26"/>
    </row>
    <row r="63" spans="1:12">
      <c r="A63" s="14" t="s">
        <v>171</v>
      </c>
      <c r="B63" s="60" t="s">
        <v>172</v>
      </c>
      <c r="C63" s="60"/>
      <c r="D63" s="45"/>
      <c r="E63" s="25">
        <v>66</v>
      </c>
      <c r="F63" s="25">
        <v>43</v>
      </c>
      <c r="G63" s="25"/>
      <c r="H63" s="25"/>
      <c r="I63" s="25"/>
      <c r="J63" s="25"/>
      <c r="K63" s="18">
        <f t="shared" si="1"/>
        <v>109</v>
      </c>
      <c r="L63" s="26"/>
    </row>
    <row r="64" spans="1:12">
      <c r="A64" s="14" t="s">
        <v>173</v>
      </c>
      <c r="B64" s="60" t="s">
        <v>174</v>
      </c>
      <c r="C64" s="60"/>
      <c r="D64" s="16"/>
      <c r="E64" s="17"/>
      <c r="F64" s="17"/>
      <c r="G64" s="17">
        <v>15</v>
      </c>
      <c r="H64" s="17">
        <v>32</v>
      </c>
      <c r="I64" s="17">
        <v>51</v>
      </c>
      <c r="J64" s="17"/>
      <c r="K64" s="18">
        <f t="shared" si="1"/>
        <v>98</v>
      </c>
      <c r="L64" s="26"/>
    </row>
    <row r="65" spans="1:12">
      <c r="A65" s="14" t="s">
        <v>175</v>
      </c>
      <c r="B65" s="60" t="s">
        <v>176</v>
      </c>
      <c r="C65" s="60"/>
      <c r="D65" s="16"/>
      <c r="E65" s="17"/>
      <c r="F65" s="17"/>
      <c r="G65" s="17"/>
      <c r="H65" s="17"/>
      <c r="I65" s="17"/>
      <c r="J65" s="17">
        <v>5</v>
      </c>
      <c r="K65" s="18">
        <f t="shared" si="1"/>
        <v>5</v>
      </c>
      <c r="L65" s="26"/>
    </row>
    <row r="66" spans="1:12" ht="33.75">
      <c r="A66" s="14" t="s">
        <v>177</v>
      </c>
      <c r="B66" s="24" t="s">
        <v>178</v>
      </c>
      <c r="C66" s="24"/>
      <c r="D66" s="45" t="s">
        <v>229</v>
      </c>
      <c r="E66" s="18">
        <f t="shared" ref="E66:J66" si="43">E67+E68+E69+E70</f>
        <v>994</v>
      </c>
      <c r="F66" s="18">
        <f t="shared" si="43"/>
        <v>628</v>
      </c>
      <c r="G66" s="18">
        <f t="shared" si="43"/>
        <v>100</v>
      </c>
      <c r="H66" s="18">
        <f t="shared" si="43"/>
        <v>353</v>
      </c>
      <c r="I66" s="18">
        <f t="shared" si="43"/>
        <v>625</v>
      </c>
      <c r="J66" s="18">
        <f t="shared" si="43"/>
        <v>0</v>
      </c>
      <c r="K66" s="18">
        <f t="shared" si="1"/>
        <v>2700</v>
      </c>
      <c r="L66" s="26"/>
    </row>
    <row r="67" spans="1:12">
      <c r="A67" s="14" t="s">
        <v>180</v>
      </c>
      <c r="B67" s="60" t="s">
        <v>170</v>
      </c>
      <c r="C67" s="60"/>
      <c r="D67" s="16"/>
      <c r="E67" s="17"/>
      <c r="F67" s="17"/>
      <c r="G67" s="17"/>
      <c r="H67" s="17"/>
      <c r="I67" s="17"/>
      <c r="J67" s="17"/>
      <c r="K67" s="18">
        <f t="shared" ref="K67:K73" si="44">SUM(E67:J67)</f>
        <v>0</v>
      </c>
      <c r="L67" s="26"/>
    </row>
    <row r="68" spans="1:12">
      <c r="A68" s="14" t="s">
        <v>181</v>
      </c>
      <c r="B68" s="60" t="s">
        <v>172</v>
      </c>
      <c r="C68" s="60"/>
      <c r="D68" s="45"/>
      <c r="E68" s="25">
        <v>994</v>
      </c>
      <c r="F68" s="25">
        <v>628</v>
      </c>
      <c r="G68" s="25"/>
      <c r="H68" s="25"/>
      <c r="I68" s="25"/>
      <c r="J68" s="25"/>
      <c r="K68" s="18">
        <f t="shared" si="44"/>
        <v>1622</v>
      </c>
      <c r="L68" s="26"/>
    </row>
    <row r="69" spans="1:12">
      <c r="A69" s="14" t="s">
        <v>182</v>
      </c>
      <c r="B69" s="60" t="s">
        <v>174</v>
      </c>
      <c r="C69" s="60"/>
      <c r="D69" s="16"/>
      <c r="E69" s="17"/>
      <c r="F69" s="17"/>
      <c r="G69" s="17">
        <v>100</v>
      </c>
      <c r="H69" s="17">
        <v>353</v>
      </c>
      <c r="I69" s="17">
        <v>625</v>
      </c>
      <c r="J69" s="17"/>
      <c r="K69" s="18">
        <f t="shared" si="44"/>
        <v>1078</v>
      </c>
      <c r="L69" s="26"/>
    </row>
    <row r="70" spans="1:12">
      <c r="A70" s="14" t="s">
        <v>183</v>
      </c>
      <c r="B70" s="60" t="s">
        <v>176</v>
      </c>
      <c r="C70" s="60"/>
      <c r="D70" s="16"/>
      <c r="E70" s="17"/>
      <c r="F70" s="17"/>
      <c r="G70" s="17"/>
      <c r="H70" s="17"/>
      <c r="I70" s="17"/>
      <c r="J70" s="17"/>
      <c r="K70" s="18">
        <f t="shared" si="44"/>
        <v>0</v>
      </c>
      <c r="L70" s="26"/>
    </row>
    <row r="71" spans="1:12">
      <c r="A71" s="14" t="s">
        <v>184</v>
      </c>
      <c r="B71" s="24" t="s">
        <v>230</v>
      </c>
      <c r="C71" s="24"/>
      <c r="D71" s="45"/>
      <c r="E71" s="25">
        <v>74</v>
      </c>
      <c r="F71" s="25"/>
      <c r="G71" s="25">
        <v>8</v>
      </c>
      <c r="H71" s="25">
        <v>3</v>
      </c>
      <c r="I71" s="25">
        <v>2</v>
      </c>
      <c r="J71" s="25"/>
      <c r="K71" s="18">
        <f t="shared" si="44"/>
        <v>87</v>
      </c>
      <c r="L71" s="26"/>
    </row>
    <row r="72" spans="1:12">
      <c r="A72" s="14" t="s">
        <v>186</v>
      </c>
      <c r="B72" s="60" t="s">
        <v>231</v>
      </c>
      <c r="C72" s="60"/>
      <c r="D72" s="27"/>
      <c r="E72" s="25">
        <v>6698.1</v>
      </c>
      <c r="F72" s="25">
        <v>20502</v>
      </c>
      <c r="G72" s="25">
        <v>1515</v>
      </c>
      <c r="H72" s="25">
        <v>5789.3</v>
      </c>
      <c r="I72" s="25">
        <v>14972.68</v>
      </c>
      <c r="J72" s="25">
        <v>3000</v>
      </c>
      <c r="K72" s="18">
        <f t="shared" si="44"/>
        <v>52477.08</v>
      </c>
      <c r="L72" s="26"/>
    </row>
    <row r="73" spans="1:12">
      <c r="A73" s="14" t="s">
        <v>188</v>
      </c>
      <c r="B73" s="60" t="s">
        <v>232</v>
      </c>
      <c r="C73" s="60"/>
      <c r="D73" s="27"/>
      <c r="E73" s="25">
        <v>5066</v>
      </c>
      <c r="F73" s="25">
        <v>9640</v>
      </c>
      <c r="G73" s="25">
        <v>200</v>
      </c>
      <c r="H73" s="25">
        <v>3500</v>
      </c>
      <c r="I73" s="25">
        <v>8305</v>
      </c>
      <c r="J73" s="25">
        <v>3000</v>
      </c>
      <c r="K73" s="18">
        <f t="shared" si="44"/>
        <v>29711</v>
      </c>
      <c r="L73" s="26"/>
    </row>
    <row r="74" spans="1:12">
      <c r="E74" s="19">
        <f>E4/E61</f>
        <v>380501.44075757574</v>
      </c>
      <c r="F74" s="19">
        <f t="shared" ref="F74:K74" si="45">F4/F61</f>
        <v>383224.85279069771</v>
      </c>
      <c r="G74" s="19">
        <f t="shared" si="45"/>
        <v>349226.61333333334</v>
      </c>
      <c r="H74" s="19">
        <f t="shared" si="45"/>
        <v>365390.70999999996</v>
      </c>
      <c r="I74" s="19">
        <f t="shared" si="45"/>
        <v>317467.68372549023</v>
      </c>
      <c r="J74" s="19">
        <f t="shared" si="45"/>
        <v>389196.228</v>
      </c>
      <c r="K74" s="19">
        <f t="shared" si="45"/>
        <v>361601.40891509439</v>
      </c>
    </row>
  </sheetData>
  <protectedRanges>
    <protectedRange password="E9C1" sqref="D29 C30 A4:D5 B6:D28 B31:D73 K4:L73 A6:A73 A2:L3" name="区域1_1"/>
    <protectedRange password="E9C1" sqref="B29:C29 B30" name="区域1_1_1"/>
    <protectedRange password="E9C1" sqref="D30" name="区域1_2"/>
  </protectedRanges>
  <mergeCells count="1">
    <mergeCell ref="A1:L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8" orientation="landscape" r:id="rId1"/>
  <headerFooter>
    <oddFooter>第 &amp;P 页，共 &amp;N 页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dimension ref="A1:Z74"/>
  <sheetViews>
    <sheetView workbookViewId="0">
      <pane xSplit="4" ySplit="2" topLeftCell="K18" activePane="bottomRight" state="frozen"/>
      <selection pane="topRight" activeCell="E1" sqref="E1"/>
      <selection pane="bottomLeft" activeCell="A3" sqref="A3"/>
      <selection pane="bottomRight" activeCell="Y33" activeCellId="4" sqref="Y20 Y25 Y27 Y29 Y33"/>
    </sheetView>
  </sheetViews>
  <sheetFormatPr defaultColWidth="9" defaultRowHeight="11.25"/>
  <cols>
    <col min="1" max="1" width="4" style="61" customWidth="1"/>
    <col min="2" max="2" width="14.75" style="19" customWidth="1"/>
    <col min="3" max="3" width="7.125" style="19" customWidth="1"/>
    <col min="4" max="4" width="6.875" style="62" customWidth="1"/>
    <col min="5" max="5" width="12.125" style="19" customWidth="1"/>
    <col min="6" max="6" width="12.5" style="19" customWidth="1"/>
    <col min="7" max="7" width="11.375" style="19" customWidth="1"/>
    <col min="8" max="8" width="10.625" style="19" customWidth="1"/>
    <col min="9" max="10" width="11.75" style="19" customWidth="1"/>
    <col min="11" max="11" width="10.875" style="19" customWidth="1"/>
    <col min="12" max="12" width="11.25" style="19" customWidth="1"/>
    <col min="13" max="13" width="12" style="19" customWidth="1"/>
    <col min="14" max="14" width="11.875" style="19" customWidth="1"/>
    <col min="15" max="16" width="11.125" style="19" customWidth="1"/>
    <col min="17" max="17" width="11.375" style="19" customWidth="1"/>
    <col min="18" max="18" width="12" style="19" customWidth="1"/>
    <col min="19" max="19" width="11.5" style="19" customWidth="1"/>
    <col min="20" max="20" width="11.125" style="19" customWidth="1"/>
    <col min="21" max="21" width="12" style="19" customWidth="1"/>
    <col min="22" max="22" width="11.625" style="19" customWidth="1"/>
    <col min="23" max="23" width="10.75" style="19" customWidth="1"/>
    <col min="24" max="24" width="9.75" style="19" customWidth="1"/>
    <col min="25" max="25" width="13.375" style="19" customWidth="1"/>
    <col min="26" max="26" width="5.875" style="19" customWidth="1"/>
    <col min="27" max="16384" width="9" style="19"/>
  </cols>
  <sheetData>
    <row r="1" spans="1:26" ht="25.5">
      <c r="A1" s="574" t="s">
        <v>930</v>
      </c>
      <c r="B1" s="575"/>
      <c r="C1" s="575"/>
      <c r="D1" s="575"/>
      <c r="E1" s="575"/>
      <c r="F1" s="575"/>
      <c r="G1" s="575"/>
      <c r="H1" s="575"/>
      <c r="I1" s="575"/>
      <c r="J1" s="575"/>
      <c r="K1" s="575"/>
      <c r="L1" s="575"/>
      <c r="M1" s="575"/>
      <c r="N1" s="575"/>
      <c r="O1" s="575"/>
      <c r="P1" s="575"/>
      <c r="Q1" s="575"/>
      <c r="R1" s="575"/>
      <c r="S1" s="575"/>
      <c r="T1" s="575"/>
      <c r="U1" s="575"/>
      <c r="V1" s="575"/>
      <c r="W1" s="575"/>
      <c r="X1" s="575"/>
      <c r="Y1" s="575"/>
      <c r="Z1" s="575"/>
    </row>
    <row r="2" spans="1:26">
      <c r="A2" s="46" t="s">
        <v>12</v>
      </c>
      <c r="B2" s="46" t="s">
        <v>13</v>
      </c>
      <c r="C2" s="46" t="s">
        <v>14</v>
      </c>
      <c r="D2" s="47" t="s">
        <v>15</v>
      </c>
      <c r="E2" s="47" t="s">
        <v>233</v>
      </c>
      <c r="F2" s="47" t="s">
        <v>234</v>
      </c>
      <c r="G2" s="47" t="s">
        <v>235</v>
      </c>
      <c r="H2" s="47" t="s">
        <v>236</v>
      </c>
      <c r="I2" s="47" t="s">
        <v>237</v>
      </c>
      <c r="J2" s="47" t="s">
        <v>238</v>
      </c>
      <c r="K2" s="47" t="s">
        <v>239</v>
      </c>
      <c r="L2" s="47" t="s">
        <v>240</v>
      </c>
      <c r="M2" s="47" t="s">
        <v>241</v>
      </c>
      <c r="N2" s="47" t="s">
        <v>242</v>
      </c>
      <c r="O2" s="47" t="s">
        <v>243</v>
      </c>
      <c r="P2" s="47" t="s">
        <v>244</v>
      </c>
      <c r="Q2" s="47" t="s">
        <v>245</v>
      </c>
      <c r="R2" s="47" t="s">
        <v>246</v>
      </c>
      <c r="S2" s="47" t="s">
        <v>247</v>
      </c>
      <c r="T2" s="47" t="s">
        <v>248</v>
      </c>
      <c r="U2" s="47" t="s">
        <v>249</v>
      </c>
      <c r="V2" s="47" t="s">
        <v>250</v>
      </c>
      <c r="W2" s="47" t="s">
        <v>251</v>
      </c>
      <c r="X2" s="47" t="s">
        <v>252</v>
      </c>
      <c r="Y2" s="47" t="s">
        <v>21</v>
      </c>
      <c r="Z2" s="48" t="s">
        <v>22</v>
      </c>
    </row>
    <row r="3" spans="1:26" ht="27.95" customHeight="1">
      <c r="A3" s="14" t="s">
        <v>23</v>
      </c>
      <c r="B3" s="24" t="s">
        <v>24</v>
      </c>
      <c r="C3" s="24"/>
      <c r="D3" s="45" t="s">
        <v>25</v>
      </c>
      <c r="E3" s="18">
        <f t="shared" ref="E3:X3" si="0">E4+E31+E38</f>
        <v>127487255.90000001</v>
      </c>
      <c r="F3" s="18">
        <f t="shared" si="0"/>
        <v>42952525.539999999</v>
      </c>
      <c r="G3" s="18">
        <f t="shared" si="0"/>
        <v>35832076.540000007</v>
      </c>
      <c r="H3" s="18">
        <f t="shared" si="0"/>
        <v>45665068.099999994</v>
      </c>
      <c r="I3" s="18">
        <f t="shared" si="0"/>
        <v>158114549.19</v>
      </c>
      <c r="J3" s="18">
        <f t="shared" si="0"/>
        <v>26797810.68</v>
      </c>
      <c r="K3" s="18">
        <f t="shared" si="0"/>
        <v>60033049.349999994</v>
      </c>
      <c r="L3" s="18">
        <f t="shared" si="0"/>
        <v>25948659.41</v>
      </c>
      <c r="M3" s="18">
        <f t="shared" si="0"/>
        <v>56488653.259999998</v>
      </c>
      <c r="N3" s="18">
        <f t="shared" si="0"/>
        <v>38823260.599999994</v>
      </c>
      <c r="O3" s="18">
        <f t="shared" si="0"/>
        <v>17853092.59</v>
      </c>
      <c r="P3" s="18">
        <f t="shared" si="0"/>
        <v>18269604.329999998</v>
      </c>
      <c r="Q3" s="18">
        <f t="shared" si="0"/>
        <v>11282578.67</v>
      </c>
      <c r="R3" s="18">
        <f t="shared" si="0"/>
        <v>16859888.919999998</v>
      </c>
      <c r="S3" s="18">
        <f t="shared" si="0"/>
        <v>8227042.7699999996</v>
      </c>
      <c r="T3" s="18">
        <f t="shared" si="0"/>
        <v>7473681.3599999994</v>
      </c>
      <c r="U3" s="18">
        <f t="shared" si="0"/>
        <v>29952615.190000005</v>
      </c>
      <c r="V3" s="18">
        <f t="shared" si="0"/>
        <v>4396715.74</v>
      </c>
      <c r="W3" s="18">
        <f t="shared" si="0"/>
        <v>36563779.93</v>
      </c>
      <c r="X3" s="18">
        <f t="shared" si="0"/>
        <v>3141337.1599999997</v>
      </c>
      <c r="Y3" s="18">
        <f t="shared" ref="Y3:Y66" si="1">SUM(E3:X3)</f>
        <v>772163245.23000002</v>
      </c>
      <c r="Z3" s="26"/>
    </row>
    <row r="4" spans="1:26" ht="27.95" customHeight="1">
      <c r="A4" s="14" t="s">
        <v>26</v>
      </c>
      <c r="B4" s="24" t="s">
        <v>0</v>
      </c>
      <c r="C4" s="24"/>
      <c r="D4" s="45" t="s">
        <v>25</v>
      </c>
      <c r="E4" s="18">
        <f>E5+E8+E12+E15+E20+E25+E27+E29+E30</f>
        <v>107289362.82000001</v>
      </c>
      <c r="F4" s="18">
        <f t="shared" ref="F4:X4" si="2">F5+F8+F12+F15+F20+F25+F27+F29+F30</f>
        <v>35576872.109999999</v>
      </c>
      <c r="G4" s="18">
        <f t="shared" si="2"/>
        <v>29286542.630000003</v>
      </c>
      <c r="H4" s="18">
        <f t="shared" si="2"/>
        <v>38283351.009999998</v>
      </c>
      <c r="I4" s="18">
        <f t="shared" si="2"/>
        <v>133283341.93000001</v>
      </c>
      <c r="J4" s="18">
        <f t="shared" si="2"/>
        <v>22820136.939999998</v>
      </c>
      <c r="K4" s="18">
        <f t="shared" si="2"/>
        <v>49963786.759999998</v>
      </c>
      <c r="L4" s="18">
        <f t="shared" si="2"/>
        <v>22121063.859999999</v>
      </c>
      <c r="M4" s="18">
        <f t="shared" si="2"/>
        <v>48126318.969999999</v>
      </c>
      <c r="N4" s="18">
        <f t="shared" si="2"/>
        <v>33491743.689999998</v>
      </c>
      <c r="O4" s="18">
        <f t="shared" si="2"/>
        <v>15097284.300000001</v>
      </c>
      <c r="P4" s="18">
        <f t="shared" si="2"/>
        <v>15812212.919999998</v>
      </c>
      <c r="Q4" s="18">
        <f t="shared" si="2"/>
        <v>9918593.5800000001</v>
      </c>
      <c r="R4" s="18">
        <f t="shared" si="2"/>
        <v>14372125.489999998</v>
      </c>
      <c r="S4" s="18">
        <f t="shared" si="2"/>
        <v>6980815.6799999997</v>
      </c>
      <c r="T4" s="18">
        <f t="shared" si="2"/>
        <v>6278328.4199999999</v>
      </c>
      <c r="U4" s="18">
        <f t="shared" si="2"/>
        <v>26997591.480000004</v>
      </c>
      <c r="V4" s="18">
        <f t="shared" si="2"/>
        <v>3301888.14</v>
      </c>
      <c r="W4" s="18">
        <f t="shared" si="2"/>
        <v>29817728.960000001</v>
      </c>
      <c r="X4" s="18">
        <f t="shared" si="2"/>
        <v>2645964.59</v>
      </c>
      <c r="Y4" s="18">
        <f t="shared" si="1"/>
        <v>651465054.27999997</v>
      </c>
      <c r="Z4" s="26"/>
    </row>
    <row r="5" spans="1:26" ht="27.95" customHeight="1">
      <c r="A5" s="14" t="s">
        <v>27</v>
      </c>
      <c r="B5" s="24" t="s">
        <v>28</v>
      </c>
      <c r="C5" s="24"/>
      <c r="D5" s="45" t="s">
        <v>25</v>
      </c>
      <c r="E5" s="18">
        <f>E6+E7</f>
        <v>13740516</v>
      </c>
      <c r="F5" s="18">
        <f t="shared" ref="F5:X5" si="3">F6+F7</f>
        <v>4557336</v>
      </c>
      <c r="G5" s="18">
        <f t="shared" si="3"/>
        <v>3827964</v>
      </c>
      <c r="H5" s="18">
        <f t="shared" si="3"/>
        <v>4579920</v>
      </c>
      <c r="I5" s="18">
        <f t="shared" si="3"/>
        <v>16444056</v>
      </c>
      <c r="J5" s="18">
        <f t="shared" si="3"/>
        <v>2969184</v>
      </c>
      <c r="K5" s="18">
        <f t="shared" si="3"/>
        <v>5573076</v>
      </c>
      <c r="L5" s="18">
        <f t="shared" si="3"/>
        <v>3047400</v>
      </c>
      <c r="M5" s="18">
        <f t="shared" si="3"/>
        <v>5558160</v>
      </c>
      <c r="N5" s="18">
        <f t="shared" si="3"/>
        <v>4529340</v>
      </c>
      <c r="O5" s="18">
        <f t="shared" si="3"/>
        <v>2108412</v>
      </c>
      <c r="P5" s="18">
        <f t="shared" si="3"/>
        <v>1918452</v>
      </c>
      <c r="Q5" s="18">
        <f t="shared" si="3"/>
        <v>1248000</v>
      </c>
      <c r="R5" s="18">
        <f t="shared" si="3"/>
        <v>1971072</v>
      </c>
      <c r="S5" s="18">
        <f t="shared" si="3"/>
        <v>756912</v>
      </c>
      <c r="T5" s="18">
        <f t="shared" si="3"/>
        <v>743808</v>
      </c>
      <c r="U5" s="18">
        <f t="shared" si="3"/>
        <v>3665472</v>
      </c>
      <c r="V5" s="18">
        <f t="shared" si="3"/>
        <v>449088</v>
      </c>
      <c r="W5" s="18">
        <f t="shared" si="3"/>
        <v>3344136</v>
      </c>
      <c r="X5" s="18">
        <f t="shared" si="3"/>
        <v>348912</v>
      </c>
      <c r="Y5" s="18">
        <f t="shared" si="1"/>
        <v>81381216</v>
      </c>
      <c r="Z5" s="26"/>
    </row>
    <row r="6" spans="1:26" ht="27.95" customHeight="1">
      <c r="A6" s="14" t="s">
        <v>29</v>
      </c>
      <c r="B6" s="24" t="s">
        <v>30</v>
      </c>
      <c r="C6" s="24" t="s">
        <v>31</v>
      </c>
      <c r="D6" s="45" t="s">
        <v>32</v>
      </c>
      <c r="E6" s="25">
        <f>642716*12</f>
        <v>7712592</v>
      </c>
      <c r="F6" s="25">
        <f>213829*12</f>
        <v>2565948</v>
      </c>
      <c r="G6" s="25">
        <v>2047212</v>
      </c>
      <c r="H6" s="25">
        <f>237599*12</f>
        <v>2851188</v>
      </c>
      <c r="I6" s="25">
        <f>804863*12</f>
        <v>9658356</v>
      </c>
      <c r="J6" s="25">
        <v>1551336</v>
      </c>
      <c r="K6" s="25">
        <f>279230*12</f>
        <v>3350760</v>
      </c>
      <c r="L6" s="25">
        <f>132977*12</f>
        <v>1595724</v>
      </c>
      <c r="M6" s="25">
        <f>288010*12</f>
        <v>3456120</v>
      </c>
      <c r="N6" s="25">
        <f>206362*12</f>
        <v>2476344</v>
      </c>
      <c r="O6" s="25">
        <f>92213*12</f>
        <v>1106556</v>
      </c>
      <c r="P6" s="25">
        <f>102839*12</f>
        <v>1234068</v>
      </c>
      <c r="Q6" s="25">
        <f>65000*12</f>
        <v>780000</v>
      </c>
      <c r="R6" s="25">
        <f>89650*12</f>
        <v>1075800</v>
      </c>
      <c r="S6" s="25">
        <f>39259*12</f>
        <v>471108</v>
      </c>
      <c r="T6" s="25">
        <f>39534*12</f>
        <v>474408</v>
      </c>
      <c r="U6" s="25">
        <f>170445*12</f>
        <v>2045340</v>
      </c>
      <c r="V6" s="25">
        <f>23646*12</f>
        <v>283752</v>
      </c>
      <c r="W6" s="25">
        <f>189576*12</f>
        <v>2274912</v>
      </c>
      <c r="X6" s="25">
        <v>180096</v>
      </c>
      <c r="Y6" s="18">
        <f t="shared" si="1"/>
        <v>47191620</v>
      </c>
      <c r="Z6" s="49"/>
    </row>
    <row r="7" spans="1:26" ht="27.95" customHeight="1">
      <c r="A7" s="14" t="s">
        <v>33</v>
      </c>
      <c r="B7" s="24" t="s">
        <v>34</v>
      </c>
      <c r="C7" s="24" t="s">
        <v>31</v>
      </c>
      <c r="D7" s="45" t="s">
        <v>32</v>
      </c>
      <c r="E7" s="25">
        <f>502327*12</f>
        <v>6027924</v>
      </c>
      <c r="F7" s="25">
        <f>165949*12</f>
        <v>1991388</v>
      </c>
      <c r="G7" s="25">
        <v>1780752</v>
      </c>
      <c r="H7" s="25">
        <f>144061*12</f>
        <v>1728732</v>
      </c>
      <c r="I7" s="25">
        <f>565475*12</f>
        <v>6785700</v>
      </c>
      <c r="J7" s="25">
        <v>1417848</v>
      </c>
      <c r="K7" s="25">
        <f>185193*12</f>
        <v>2222316</v>
      </c>
      <c r="L7" s="25">
        <f>120973*12</f>
        <v>1451676</v>
      </c>
      <c r="M7" s="25">
        <f>175170*12</f>
        <v>2102040</v>
      </c>
      <c r="N7" s="25">
        <f>171083*12</f>
        <v>2052996</v>
      </c>
      <c r="O7" s="25">
        <f>83488*12</f>
        <v>1001856</v>
      </c>
      <c r="P7" s="25">
        <f>57032*12</f>
        <v>684384</v>
      </c>
      <c r="Q7" s="25">
        <f>39000*12</f>
        <v>468000</v>
      </c>
      <c r="R7" s="25">
        <f>74606*12</f>
        <v>895272</v>
      </c>
      <c r="S7" s="25">
        <f>23817*12</f>
        <v>285804</v>
      </c>
      <c r="T7" s="25">
        <f>22450*12</f>
        <v>269400</v>
      </c>
      <c r="U7" s="25">
        <f>135011*12</f>
        <v>1620132</v>
      </c>
      <c r="V7" s="25">
        <f>13778*12</f>
        <v>165336</v>
      </c>
      <c r="W7" s="25">
        <f>89102*12</f>
        <v>1069224</v>
      </c>
      <c r="X7" s="25">
        <v>168816</v>
      </c>
      <c r="Y7" s="18">
        <f t="shared" si="1"/>
        <v>34189596</v>
      </c>
      <c r="Z7" s="26"/>
    </row>
    <row r="8" spans="1:26" ht="27.95" customHeight="1">
      <c r="A8" s="14" t="s">
        <v>35</v>
      </c>
      <c r="B8" s="24" t="s">
        <v>36</v>
      </c>
      <c r="C8" s="24"/>
      <c r="D8" s="45" t="s">
        <v>25</v>
      </c>
      <c r="E8" s="18">
        <f>E9+E10</f>
        <v>1439700</v>
      </c>
      <c r="F8" s="18">
        <f t="shared" ref="F8:X8" si="4">F9+F10</f>
        <v>492264</v>
      </c>
      <c r="G8" s="18">
        <f t="shared" si="4"/>
        <v>407592</v>
      </c>
      <c r="H8" s="18">
        <f t="shared" si="4"/>
        <v>533124</v>
      </c>
      <c r="I8" s="18">
        <f t="shared" si="4"/>
        <v>1901292</v>
      </c>
      <c r="J8" s="18">
        <f t="shared" si="4"/>
        <v>321588</v>
      </c>
      <c r="K8" s="18">
        <f t="shared" si="4"/>
        <v>714180</v>
      </c>
      <c r="L8" s="18">
        <f t="shared" si="4"/>
        <v>305700</v>
      </c>
      <c r="M8" s="18">
        <f t="shared" si="4"/>
        <v>682848</v>
      </c>
      <c r="N8" s="18">
        <f t="shared" si="4"/>
        <v>525888</v>
      </c>
      <c r="O8" s="18">
        <f t="shared" si="4"/>
        <v>236016</v>
      </c>
      <c r="P8" s="18">
        <f t="shared" si="4"/>
        <v>255984</v>
      </c>
      <c r="Q8" s="18">
        <f t="shared" si="4"/>
        <v>154908</v>
      </c>
      <c r="R8" s="18">
        <f t="shared" si="4"/>
        <v>225024</v>
      </c>
      <c r="S8" s="18">
        <f t="shared" si="4"/>
        <v>116952</v>
      </c>
      <c r="T8" s="18">
        <f t="shared" si="4"/>
        <v>101340</v>
      </c>
      <c r="U8" s="18">
        <f t="shared" si="4"/>
        <v>418356</v>
      </c>
      <c r="V8" s="18">
        <f t="shared" si="4"/>
        <v>53460</v>
      </c>
      <c r="W8" s="18">
        <f t="shared" si="4"/>
        <v>441636</v>
      </c>
      <c r="X8" s="18">
        <f t="shared" si="4"/>
        <v>37464</v>
      </c>
      <c r="Y8" s="18">
        <f t="shared" si="1"/>
        <v>9365316</v>
      </c>
      <c r="Z8" s="26"/>
    </row>
    <row r="9" spans="1:26" ht="27.95" customHeight="1">
      <c r="A9" s="14" t="s">
        <v>37</v>
      </c>
      <c r="B9" s="24" t="s">
        <v>38</v>
      </c>
      <c r="C9" s="24" t="s">
        <v>31</v>
      </c>
      <c r="D9" s="45" t="s">
        <v>32</v>
      </c>
      <c r="E9" s="25">
        <f>1615*12</f>
        <v>19380</v>
      </c>
      <c r="F9" s="25">
        <f>542*12</f>
        <v>6504</v>
      </c>
      <c r="G9" s="25">
        <v>6312</v>
      </c>
      <c r="H9" s="25">
        <f>427*12</f>
        <v>5124</v>
      </c>
      <c r="I9" s="25">
        <f>1801*12</f>
        <v>21612</v>
      </c>
      <c r="J9" s="25">
        <v>4788</v>
      </c>
      <c r="K9" s="25">
        <f>555*12</f>
        <v>6660</v>
      </c>
      <c r="L9" s="25">
        <f>395*12</f>
        <v>4740</v>
      </c>
      <c r="M9" s="25">
        <f>584*12</f>
        <v>7008</v>
      </c>
      <c r="N9" s="25">
        <f>704*12</f>
        <v>8448</v>
      </c>
      <c r="O9" s="25">
        <f>308*12</f>
        <v>3696</v>
      </c>
      <c r="P9" s="25">
        <f>212*12</f>
        <v>2544</v>
      </c>
      <c r="Q9" s="25">
        <f>149*12</f>
        <v>1788</v>
      </c>
      <c r="R9" s="25">
        <f>272*12</f>
        <v>3264</v>
      </c>
      <c r="S9" s="25">
        <f>66*12</f>
        <v>792</v>
      </c>
      <c r="T9" s="25">
        <f>85*12</f>
        <v>1020</v>
      </c>
      <c r="U9" s="25">
        <f>543*12</f>
        <v>6516</v>
      </c>
      <c r="V9" s="25">
        <f>55*12</f>
        <v>660</v>
      </c>
      <c r="W9" s="25">
        <f>283*12</f>
        <v>3396</v>
      </c>
      <c r="X9" s="25">
        <v>504</v>
      </c>
      <c r="Y9" s="18">
        <f t="shared" si="1"/>
        <v>114756</v>
      </c>
      <c r="Z9" s="26"/>
    </row>
    <row r="10" spans="1:26" ht="27.95" customHeight="1">
      <c r="A10" s="14" t="s">
        <v>39</v>
      </c>
      <c r="B10" s="24" t="s">
        <v>40</v>
      </c>
      <c r="C10" s="24"/>
      <c r="D10" s="45" t="s">
        <v>25</v>
      </c>
      <c r="E10" s="18">
        <f>E11</f>
        <v>1420320</v>
      </c>
      <c r="F10" s="18">
        <f t="shared" ref="F10:X10" si="5">F11</f>
        <v>485760</v>
      </c>
      <c r="G10" s="18">
        <f t="shared" si="5"/>
        <v>401280</v>
      </c>
      <c r="H10" s="18">
        <f t="shared" si="5"/>
        <v>528000</v>
      </c>
      <c r="I10" s="18">
        <f t="shared" si="5"/>
        <v>1879680</v>
      </c>
      <c r="J10" s="18">
        <f t="shared" si="5"/>
        <v>316800</v>
      </c>
      <c r="K10" s="18">
        <f t="shared" si="5"/>
        <v>707520</v>
      </c>
      <c r="L10" s="18">
        <f t="shared" si="5"/>
        <v>300960</v>
      </c>
      <c r="M10" s="18">
        <f t="shared" si="5"/>
        <v>675840</v>
      </c>
      <c r="N10" s="18">
        <f t="shared" si="5"/>
        <v>517440</v>
      </c>
      <c r="O10" s="18">
        <f t="shared" si="5"/>
        <v>232320</v>
      </c>
      <c r="P10" s="18">
        <f t="shared" si="5"/>
        <v>253440</v>
      </c>
      <c r="Q10" s="18">
        <f t="shared" si="5"/>
        <v>153120</v>
      </c>
      <c r="R10" s="18">
        <f t="shared" si="5"/>
        <v>221760</v>
      </c>
      <c r="S10" s="18">
        <f t="shared" si="5"/>
        <v>116160</v>
      </c>
      <c r="T10" s="18">
        <f t="shared" si="5"/>
        <v>100320</v>
      </c>
      <c r="U10" s="18">
        <f t="shared" si="5"/>
        <v>411840</v>
      </c>
      <c r="V10" s="18">
        <f t="shared" si="5"/>
        <v>52800</v>
      </c>
      <c r="W10" s="18">
        <f t="shared" si="5"/>
        <v>438240</v>
      </c>
      <c r="X10" s="18">
        <f t="shared" si="5"/>
        <v>36960</v>
      </c>
      <c r="Y10" s="18">
        <f t="shared" si="1"/>
        <v>9250560</v>
      </c>
      <c r="Z10" s="26"/>
    </row>
    <row r="11" spans="1:26" s="44" customFormat="1" ht="27.95" customHeight="1">
      <c r="A11" s="14" t="s">
        <v>41</v>
      </c>
      <c r="B11" s="43" t="s">
        <v>196</v>
      </c>
      <c r="C11" s="43" t="s">
        <v>31</v>
      </c>
      <c r="D11" s="26" t="s">
        <v>25</v>
      </c>
      <c r="E11" s="18">
        <f>440*12*E61</f>
        <v>1420320</v>
      </c>
      <c r="F11" s="18">
        <f t="shared" ref="F11:X11" si="6">440*12*F61</f>
        <v>485760</v>
      </c>
      <c r="G11" s="18">
        <f t="shared" si="6"/>
        <v>401280</v>
      </c>
      <c r="H11" s="18">
        <f t="shared" si="6"/>
        <v>528000</v>
      </c>
      <c r="I11" s="18">
        <f t="shared" si="6"/>
        <v>1879680</v>
      </c>
      <c r="J11" s="18">
        <f t="shared" si="6"/>
        <v>316800</v>
      </c>
      <c r="K11" s="18">
        <f t="shared" si="6"/>
        <v>707520</v>
      </c>
      <c r="L11" s="18">
        <f t="shared" si="6"/>
        <v>300960</v>
      </c>
      <c r="M11" s="18">
        <f t="shared" si="6"/>
        <v>675840</v>
      </c>
      <c r="N11" s="18">
        <f t="shared" si="6"/>
        <v>517440</v>
      </c>
      <c r="O11" s="18">
        <f t="shared" si="6"/>
        <v>232320</v>
      </c>
      <c r="P11" s="18">
        <f t="shared" si="6"/>
        <v>253440</v>
      </c>
      <c r="Q11" s="18">
        <f t="shared" si="6"/>
        <v>153120</v>
      </c>
      <c r="R11" s="18">
        <f t="shared" si="6"/>
        <v>221760</v>
      </c>
      <c r="S11" s="18">
        <f t="shared" si="6"/>
        <v>116160</v>
      </c>
      <c r="T11" s="18">
        <f t="shared" si="6"/>
        <v>100320</v>
      </c>
      <c r="U11" s="18">
        <f t="shared" si="6"/>
        <v>411840</v>
      </c>
      <c r="V11" s="18">
        <f t="shared" si="6"/>
        <v>52800</v>
      </c>
      <c r="W11" s="18">
        <f t="shared" si="6"/>
        <v>438240</v>
      </c>
      <c r="X11" s="18">
        <f t="shared" si="6"/>
        <v>36960</v>
      </c>
      <c r="Y11" s="18">
        <f t="shared" si="1"/>
        <v>9250560</v>
      </c>
      <c r="Z11" s="26"/>
    </row>
    <row r="12" spans="1:26" ht="27.95" customHeight="1">
      <c r="A12" s="14" t="s">
        <v>43</v>
      </c>
      <c r="B12" s="24" t="s">
        <v>44</v>
      </c>
      <c r="C12" s="24"/>
      <c r="D12" s="45" t="s">
        <v>45</v>
      </c>
      <c r="E12" s="18">
        <f>E13+E14</f>
        <v>556069.67999999993</v>
      </c>
      <c r="F12" s="18">
        <f t="shared" ref="F12:X12" si="7">F13+F14</f>
        <v>174074.97</v>
      </c>
      <c r="G12" s="18">
        <f t="shared" si="7"/>
        <v>141038.07</v>
      </c>
      <c r="H12" s="18">
        <f t="shared" si="7"/>
        <v>189021.31</v>
      </c>
      <c r="I12" s="18">
        <f t="shared" si="7"/>
        <v>620899.63</v>
      </c>
      <c r="J12" s="18">
        <f t="shared" si="7"/>
        <v>107253.5</v>
      </c>
      <c r="K12" s="18">
        <f t="shared" si="7"/>
        <v>240539.32</v>
      </c>
      <c r="L12" s="18">
        <f t="shared" si="7"/>
        <v>105443.86</v>
      </c>
      <c r="M12" s="18">
        <f t="shared" si="7"/>
        <v>232485.27000000002</v>
      </c>
      <c r="N12" s="18">
        <f t="shared" si="7"/>
        <v>161221.39000000001</v>
      </c>
      <c r="O12" s="18">
        <f t="shared" si="7"/>
        <v>72144.86</v>
      </c>
      <c r="P12" s="18">
        <f t="shared" si="7"/>
        <v>74168.36</v>
      </c>
      <c r="Q12" s="18">
        <f t="shared" si="7"/>
        <v>49374.14</v>
      </c>
      <c r="R12" s="18">
        <f t="shared" si="7"/>
        <v>68912.350000000006</v>
      </c>
      <c r="S12" s="18">
        <f t="shared" si="7"/>
        <v>31620.239999999998</v>
      </c>
      <c r="T12" s="18">
        <f t="shared" si="7"/>
        <v>29934.720000000001</v>
      </c>
      <c r="U12" s="18">
        <f t="shared" si="7"/>
        <v>132954.91999999998</v>
      </c>
      <c r="V12" s="18">
        <f t="shared" si="7"/>
        <v>14760.14</v>
      </c>
      <c r="W12" s="18">
        <f t="shared" si="7"/>
        <v>132114.1</v>
      </c>
      <c r="X12" s="18">
        <f t="shared" si="7"/>
        <v>14005.73</v>
      </c>
      <c r="Y12" s="18">
        <f t="shared" si="1"/>
        <v>3148036.560000001</v>
      </c>
      <c r="Z12" s="26"/>
    </row>
    <row r="13" spans="1:26" s="44" customFormat="1" ht="27.95" customHeight="1">
      <c r="A13" s="14" t="s">
        <v>46</v>
      </c>
      <c r="B13" s="43" t="s">
        <v>197</v>
      </c>
      <c r="C13" s="43" t="s">
        <v>31</v>
      </c>
      <c r="D13" s="26" t="s">
        <v>48</v>
      </c>
      <c r="E13" s="18">
        <f>ROUND(E29/0.07*0.00256,2)</f>
        <v>188298.68</v>
      </c>
      <c r="F13" s="18">
        <f t="shared" ref="F13:X13" si="8">ROUND(F29/0.07*0.00256,2)</f>
        <v>58945.97</v>
      </c>
      <c r="G13" s="18">
        <f t="shared" si="8"/>
        <v>47759.07</v>
      </c>
      <c r="H13" s="18">
        <f t="shared" si="8"/>
        <v>64007.31</v>
      </c>
      <c r="I13" s="18">
        <f t="shared" si="8"/>
        <v>210251.63</v>
      </c>
      <c r="J13" s="18">
        <f t="shared" si="8"/>
        <v>36318.5</v>
      </c>
      <c r="K13" s="18">
        <f t="shared" si="8"/>
        <v>81452.320000000007</v>
      </c>
      <c r="L13" s="18">
        <f t="shared" si="8"/>
        <v>35705.86</v>
      </c>
      <c r="M13" s="18">
        <f t="shared" si="8"/>
        <v>78725.27</v>
      </c>
      <c r="N13" s="18">
        <f t="shared" si="8"/>
        <v>54593.39</v>
      </c>
      <c r="O13" s="18">
        <f t="shared" si="8"/>
        <v>24429.86</v>
      </c>
      <c r="P13" s="18">
        <f t="shared" si="8"/>
        <v>25115.360000000001</v>
      </c>
      <c r="Q13" s="18">
        <f t="shared" si="8"/>
        <v>16719.14</v>
      </c>
      <c r="R13" s="18">
        <f t="shared" si="8"/>
        <v>23335.35</v>
      </c>
      <c r="S13" s="18">
        <f t="shared" si="8"/>
        <v>10707.24</v>
      </c>
      <c r="T13" s="18">
        <f t="shared" si="8"/>
        <v>10136.719999999999</v>
      </c>
      <c r="U13" s="18">
        <f t="shared" si="8"/>
        <v>45021.919999999998</v>
      </c>
      <c r="V13" s="18">
        <f t="shared" si="8"/>
        <v>4998.1400000000003</v>
      </c>
      <c r="W13" s="18">
        <f t="shared" si="8"/>
        <v>44737.1</v>
      </c>
      <c r="X13" s="18">
        <f t="shared" si="8"/>
        <v>4742.7299999999996</v>
      </c>
      <c r="Y13" s="18">
        <f t="shared" si="1"/>
        <v>1066001.56</v>
      </c>
      <c r="Z13" s="26"/>
    </row>
    <row r="14" spans="1:26" s="44" customFormat="1" ht="27.95" customHeight="1">
      <c r="A14" s="14" t="s">
        <v>49</v>
      </c>
      <c r="B14" s="43" t="s">
        <v>198</v>
      </c>
      <c r="C14" s="43" t="s">
        <v>31</v>
      </c>
      <c r="D14" s="26" t="s">
        <v>48</v>
      </c>
      <c r="E14" s="18">
        <f>ROUND(E29/0.07*0.005,0)</f>
        <v>367771</v>
      </c>
      <c r="F14" s="18">
        <f t="shared" ref="F14:X14" si="9">ROUND(F29/0.07*0.005,0)</f>
        <v>115129</v>
      </c>
      <c r="G14" s="18">
        <f t="shared" si="9"/>
        <v>93279</v>
      </c>
      <c r="H14" s="18">
        <f t="shared" si="9"/>
        <v>125014</v>
      </c>
      <c r="I14" s="18">
        <f t="shared" si="9"/>
        <v>410648</v>
      </c>
      <c r="J14" s="18">
        <f t="shared" si="9"/>
        <v>70935</v>
      </c>
      <c r="K14" s="18">
        <f t="shared" si="9"/>
        <v>159087</v>
      </c>
      <c r="L14" s="18">
        <f t="shared" si="9"/>
        <v>69738</v>
      </c>
      <c r="M14" s="18">
        <f t="shared" si="9"/>
        <v>153760</v>
      </c>
      <c r="N14" s="18">
        <f t="shared" si="9"/>
        <v>106628</v>
      </c>
      <c r="O14" s="18">
        <f t="shared" si="9"/>
        <v>47715</v>
      </c>
      <c r="P14" s="18">
        <f t="shared" si="9"/>
        <v>49053</v>
      </c>
      <c r="Q14" s="18">
        <f t="shared" si="9"/>
        <v>32655</v>
      </c>
      <c r="R14" s="18">
        <f t="shared" si="9"/>
        <v>45577</v>
      </c>
      <c r="S14" s="18">
        <f t="shared" si="9"/>
        <v>20913</v>
      </c>
      <c r="T14" s="18">
        <f t="shared" si="9"/>
        <v>19798</v>
      </c>
      <c r="U14" s="18">
        <f t="shared" si="9"/>
        <v>87933</v>
      </c>
      <c r="V14" s="18">
        <f t="shared" si="9"/>
        <v>9762</v>
      </c>
      <c r="W14" s="18">
        <f t="shared" si="9"/>
        <v>87377</v>
      </c>
      <c r="X14" s="18">
        <f t="shared" si="9"/>
        <v>9263</v>
      </c>
      <c r="Y14" s="18">
        <f t="shared" si="1"/>
        <v>2082035</v>
      </c>
      <c r="Z14" s="26"/>
    </row>
    <row r="15" spans="1:26" ht="27.95" customHeight="1">
      <c r="A15" s="14" t="s">
        <v>51</v>
      </c>
      <c r="B15" s="24" t="s">
        <v>52</v>
      </c>
      <c r="C15" s="24"/>
      <c r="D15" s="45" t="s">
        <v>25</v>
      </c>
      <c r="E15" s="18">
        <f>E16+E17+E18+E19</f>
        <v>58453700</v>
      </c>
      <c r="F15" s="18">
        <f t="shared" ref="F15:X15" si="10">F16+F17+F18+F19</f>
        <v>19991600</v>
      </c>
      <c r="G15" s="18">
        <f t="shared" si="10"/>
        <v>16514800</v>
      </c>
      <c r="H15" s="18">
        <f t="shared" si="10"/>
        <v>21730000</v>
      </c>
      <c r="I15" s="18">
        <f t="shared" si="10"/>
        <v>77358800</v>
      </c>
      <c r="J15" s="18">
        <f t="shared" si="10"/>
        <v>13038000</v>
      </c>
      <c r="K15" s="18">
        <f t="shared" si="10"/>
        <v>29118200</v>
      </c>
      <c r="L15" s="18">
        <f t="shared" si="10"/>
        <v>12386100</v>
      </c>
      <c r="M15" s="18">
        <f t="shared" si="10"/>
        <v>27814400</v>
      </c>
      <c r="N15" s="18">
        <f t="shared" si="10"/>
        <v>18678800</v>
      </c>
      <c r="O15" s="18">
        <f t="shared" si="10"/>
        <v>8386400</v>
      </c>
      <c r="P15" s="18">
        <f t="shared" si="10"/>
        <v>9148800</v>
      </c>
      <c r="Q15" s="18">
        <f t="shared" si="10"/>
        <v>5527400</v>
      </c>
      <c r="R15" s="18">
        <f t="shared" si="10"/>
        <v>8005200</v>
      </c>
      <c r="S15" s="18">
        <f t="shared" si="10"/>
        <v>4193200</v>
      </c>
      <c r="T15" s="18">
        <f t="shared" si="10"/>
        <v>3621400</v>
      </c>
      <c r="U15" s="18">
        <f t="shared" si="10"/>
        <v>14866800</v>
      </c>
      <c r="V15" s="18">
        <f t="shared" si="10"/>
        <v>1906000</v>
      </c>
      <c r="W15" s="18">
        <f t="shared" si="10"/>
        <v>18035900</v>
      </c>
      <c r="X15" s="18">
        <f t="shared" si="10"/>
        <v>1411900</v>
      </c>
      <c r="Y15" s="18">
        <f t="shared" si="1"/>
        <v>370187400</v>
      </c>
      <c r="Z15" s="26"/>
    </row>
    <row r="16" spans="1:26" ht="27.95" customHeight="1">
      <c r="A16" s="14" t="s">
        <v>53</v>
      </c>
      <c r="B16" s="15" t="s">
        <v>54</v>
      </c>
      <c r="C16" s="15" t="s">
        <v>31</v>
      </c>
      <c r="D16" s="16" t="s">
        <v>199</v>
      </c>
      <c r="E16" s="17">
        <v>53458676</v>
      </c>
      <c r="F16" s="17">
        <v>18233824</v>
      </c>
      <c r="G16" s="17">
        <v>14995004</v>
      </c>
      <c r="H16" s="17">
        <v>19813036</v>
      </c>
      <c r="I16" s="17">
        <v>70923772</v>
      </c>
      <c r="J16" s="17">
        <v>11564816</v>
      </c>
      <c r="K16" s="17">
        <v>26312716</v>
      </c>
      <c r="L16" s="17">
        <v>11230828</v>
      </c>
      <c r="M16" s="17">
        <v>25477580</v>
      </c>
      <c r="N16" s="17">
        <v>17753856</v>
      </c>
      <c r="O16" s="17">
        <v>7877844</v>
      </c>
      <c r="P16" s="17">
        <v>8614736</v>
      </c>
      <c r="Q16" s="17">
        <v>5101564</v>
      </c>
      <c r="R16" s="17">
        <v>7506196</v>
      </c>
      <c r="S16" s="17">
        <v>4061200</v>
      </c>
      <c r="T16" s="17">
        <v>3283604</v>
      </c>
      <c r="U16" s="17">
        <v>14398800</v>
      </c>
      <c r="V16" s="17">
        <v>1576484</v>
      </c>
      <c r="W16" s="17">
        <v>16443428</v>
      </c>
      <c r="X16" s="17">
        <v>1369900</v>
      </c>
      <c r="Y16" s="18">
        <f t="shared" si="1"/>
        <v>339997864</v>
      </c>
      <c r="Z16" s="16"/>
    </row>
    <row r="17" spans="1:26" ht="27.95" customHeight="1">
      <c r="A17" s="14" t="s">
        <v>56</v>
      </c>
      <c r="B17" s="15" t="s">
        <v>57</v>
      </c>
      <c r="C17" s="15" t="s">
        <v>31</v>
      </c>
      <c r="D17" s="16" t="s">
        <v>58</v>
      </c>
      <c r="E17" s="17">
        <v>691024</v>
      </c>
      <c r="F17" s="17">
        <v>285776</v>
      </c>
      <c r="G17" s="17">
        <v>303796</v>
      </c>
      <c r="H17" s="17">
        <v>316964</v>
      </c>
      <c r="I17" s="17">
        <v>739028</v>
      </c>
      <c r="J17" s="17">
        <v>513184</v>
      </c>
      <c r="K17" s="17">
        <v>661484</v>
      </c>
      <c r="L17" s="17">
        <v>243272</v>
      </c>
      <c r="M17" s="17">
        <v>288820</v>
      </c>
      <c r="N17" s="17">
        <v>336944</v>
      </c>
      <c r="O17" s="17">
        <v>244556</v>
      </c>
      <c r="P17" s="17">
        <v>246064</v>
      </c>
      <c r="Q17" s="17">
        <v>251836</v>
      </c>
      <c r="R17" s="17">
        <v>247004</v>
      </c>
      <c r="S17" s="17"/>
      <c r="T17" s="17">
        <v>223796</v>
      </c>
      <c r="U17" s="17"/>
      <c r="V17" s="17">
        <v>269516</v>
      </c>
      <c r="W17" s="17">
        <v>264472</v>
      </c>
      <c r="X17" s="17"/>
      <c r="Y17" s="18">
        <f t="shared" si="1"/>
        <v>6127536</v>
      </c>
      <c r="Z17" s="16"/>
    </row>
    <row r="18" spans="1:26" ht="27.95" customHeight="1">
      <c r="A18" s="14" t="s">
        <v>59</v>
      </c>
      <c r="B18" s="15" t="s">
        <v>200</v>
      </c>
      <c r="C18" s="15" t="s">
        <v>31</v>
      </c>
      <c r="D18" s="45" t="s">
        <v>25</v>
      </c>
      <c r="E18" s="50">
        <f>E61*500*12</f>
        <v>1614000</v>
      </c>
      <c r="F18" s="50">
        <f t="shared" ref="F18:X18" si="11">F61*500*12</f>
        <v>552000</v>
      </c>
      <c r="G18" s="50">
        <f t="shared" si="11"/>
        <v>456000</v>
      </c>
      <c r="H18" s="50">
        <f t="shared" si="11"/>
        <v>600000</v>
      </c>
      <c r="I18" s="50">
        <f t="shared" si="11"/>
        <v>2136000</v>
      </c>
      <c r="J18" s="50">
        <f t="shared" si="11"/>
        <v>360000</v>
      </c>
      <c r="K18" s="50">
        <f t="shared" si="11"/>
        <v>804000</v>
      </c>
      <c r="L18" s="50">
        <f t="shared" si="11"/>
        <v>342000</v>
      </c>
      <c r="M18" s="50">
        <f t="shared" si="11"/>
        <v>768000</v>
      </c>
      <c r="N18" s="50">
        <f t="shared" si="11"/>
        <v>588000</v>
      </c>
      <c r="O18" s="50">
        <f t="shared" si="11"/>
        <v>264000</v>
      </c>
      <c r="P18" s="50">
        <f t="shared" si="11"/>
        <v>288000</v>
      </c>
      <c r="Q18" s="50">
        <f t="shared" si="11"/>
        <v>174000</v>
      </c>
      <c r="R18" s="50">
        <f t="shared" si="11"/>
        <v>252000</v>
      </c>
      <c r="S18" s="50">
        <f t="shared" si="11"/>
        <v>132000</v>
      </c>
      <c r="T18" s="50">
        <f t="shared" si="11"/>
        <v>114000</v>
      </c>
      <c r="U18" s="50">
        <f t="shared" si="11"/>
        <v>468000</v>
      </c>
      <c r="V18" s="50">
        <f t="shared" si="11"/>
        <v>60000</v>
      </c>
      <c r="W18" s="50">
        <f t="shared" si="11"/>
        <v>498000</v>
      </c>
      <c r="X18" s="50">
        <f t="shared" si="11"/>
        <v>42000</v>
      </c>
      <c r="Y18" s="18">
        <f t="shared" si="1"/>
        <v>10512000</v>
      </c>
      <c r="Z18" s="16"/>
    </row>
    <row r="19" spans="1:26" ht="27.95" customHeight="1">
      <c r="A19" s="14" t="s">
        <v>61</v>
      </c>
      <c r="B19" s="15" t="s">
        <v>201</v>
      </c>
      <c r="C19" s="15" t="s">
        <v>31</v>
      </c>
      <c r="D19" s="45" t="s">
        <v>32</v>
      </c>
      <c r="E19" s="17">
        <f>10000*E61</f>
        <v>2690000</v>
      </c>
      <c r="F19" s="17">
        <f t="shared" ref="F19:M19" si="12">10000*F61</f>
        <v>920000</v>
      </c>
      <c r="G19" s="17">
        <f t="shared" si="12"/>
        <v>760000</v>
      </c>
      <c r="H19" s="17">
        <f t="shared" si="12"/>
        <v>1000000</v>
      </c>
      <c r="I19" s="17">
        <f t="shared" si="12"/>
        <v>3560000</v>
      </c>
      <c r="J19" s="17">
        <f t="shared" si="12"/>
        <v>600000</v>
      </c>
      <c r="K19" s="17">
        <f t="shared" si="12"/>
        <v>1340000</v>
      </c>
      <c r="L19" s="17">
        <f t="shared" si="12"/>
        <v>570000</v>
      </c>
      <c r="M19" s="17">
        <f t="shared" si="12"/>
        <v>1280000</v>
      </c>
      <c r="N19" s="17"/>
      <c r="O19" s="17"/>
      <c r="P19" s="17"/>
      <c r="Q19" s="17"/>
      <c r="R19" s="17"/>
      <c r="S19" s="17"/>
      <c r="T19" s="17"/>
      <c r="U19" s="17"/>
      <c r="V19" s="17"/>
      <c r="W19" s="17">
        <f>10000*W61</f>
        <v>830000</v>
      </c>
      <c r="X19" s="17"/>
      <c r="Y19" s="18">
        <f t="shared" si="1"/>
        <v>13550000</v>
      </c>
      <c r="Z19" s="16"/>
    </row>
    <row r="20" spans="1:26" ht="27.95" customHeight="1">
      <c r="A20" s="14" t="s">
        <v>63</v>
      </c>
      <c r="B20" s="24" t="s">
        <v>64</v>
      </c>
      <c r="C20" s="24"/>
      <c r="D20" s="16" t="s">
        <v>25</v>
      </c>
      <c r="E20" s="50">
        <f>E21+E22</f>
        <v>10297584</v>
      </c>
      <c r="F20" s="50">
        <f t="shared" ref="F20:X20" si="13">F21+F22</f>
        <v>3223608</v>
      </c>
      <c r="G20" s="50">
        <f t="shared" si="13"/>
        <v>2611823.9900000002</v>
      </c>
      <c r="H20" s="50">
        <f t="shared" si="13"/>
        <v>3500399.99</v>
      </c>
      <c r="I20" s="50">
        <f t="shared" si="13"/>
        <v>11498136.01</v>
      </c>
      <c r="J20" s="50">
        <f t="shared" si="13"/>
        <v>1986168.0099999998</v>
      </c>
      <c r="K20" s="50">
        <f t="shared" si="13"/>
        <v>4454424.01</v>
      </c>
      <c r="L20" s="50">
        <f t="shared" si="13"/>
        <v>1952664</v>
      </c>
      <c r="M20" s="50">
        <f t="shared" si="13"/>
        <v>4305287.99</v>
      </c>
      <c r="N20" s="50">
        <f t="shared" si="13"/>
        <v>2985576.01</v>
      </c>
      <c r="O20" s="50">
        <f t="shared" si="13"/>
        <v>1336008.01</v>
      </c>
      <c r="P20" s="50">
        <f t="shared" si="13"/>
        <v>1373495.99</v>
      </c>
      <c r="Q20" s="50">
        <f t="shared" si="13"/>
        <v>914328.01</v>
      </c>
      <c r="R20" s="50">
        <f t="shared" si="13"/>
        <v>1276152</v>
      </c>
      <c r="S20" s="50">
        <f t="shared" si="13"/>
        <v>585552.01</v>
      </c>
      <c r="T20" s="50">
        <f t="shared" si="13"/>
        <v>554351.99</v>
      </c>
      <c r="U20" s="50">
        <f t="shared" si="13"/>
        <v>2462135.9900000002</v>
      </c>
      <c r="V20" s="50">
        <f t="shared" si="13"/>
        <v>273336</v>
      </c>
      <c r="W20" s="50">
        <f t="shared" si="13"/>
        <v>2446560</v>
      </c>
      <c r="X20" s="50">
        <f t="shared" si="13"/>
        <v>259368</v>
      </c>
      <c r="Y20" s="18">
        <f t="shared" si="1"/>
        <v>58296960.009999998</v>
      </c>
      <c r="Z20" s="16"/>
    </row>
    <row r="21" spans="1:26" ht="27.95" customHeight="1">
      <c r="A21" s="14" t="s">
        <v>65</v>
      </c>
      <c r="B21" s="24" t="s">
        <v>202</v>
      </c>
      <c r="C21" s="24" t="s">
        <v>67</v>
      </c>
      <c r="D21" s="16" t="s">
        <v>25</v>
      </c>
      <c r="E21" s="50">
        <f>ROUND(E29/0.07*0.1,2)</f>
        <v>7355417.1399999997</v>
      </c>
      <c r="F21" s="50">
        <f t="shared" ref="F21:X21" si="14">ROUND(F29/0.07*0.1,2)</f>
        <v>2302577.14</v>
      </c>
      <c r="G21" s="50">
        <f t="shared" si="14"/>
        <v>1865588.57</v>
      </c>
      <c r="H21" s="50">
        <f t="shared" si="14"/>
        <v>2500285.71</v>
      </c>
      <c r="I21" s="50">
        <f t="shared" si="14"/>
        <v>8212954.29</v>
      </c>
      <c r="J21" s="50">
        <f t="shared" si="14"/>
        <v>1418691.43</v>
      </c>
      <c r="K21" s="50">
        <f t="shared" si="14"/>
        <v>3181731.43</v>
      </c>
      <c r="L21" s="50">
        <f t="shared" si="14"/>
        <v>1394760</v>
      </c>
      <c r="M21" s="50">
        <f t="shared" si="14"/>
        <v>3075205.71</v>
      </c>
      <c r="N21" s="50">
        <f t="shared" si="14"/>
        <v>2132554.29</v>
      </c>
      <c r="O21" s="50">
        <f t="shared" si="14"/>
        <v>954291.43</v>
      </c>
      <c r="P21" s="50">
        <f t="shared" si="14"/>
        <v>981068.57</v>
      </c>
      <c r="Q21" s="50">
        <f t="shared" si="14"/>
        <v>653091.43000000005</v>
      </c>
      <c r="R21" s="50">
        <f t="shared" si="14"/>
        <v>911537.14</v>
      </c>
      <c r="S21" s="50">
        <f t="shared" si="14"/>
        <v>418251.43</v>
      </c>
      <c r="T21" s="50">
        <f t="shared" si="14"/>
        <v>395965.71</v>
      </c>
      <c r="U21" s="50">
        <f t="shared" si="14"/>
        <v>1758668.57</v>
      </c>
      <c r="V21" s="50">
        <f t="shared" si="14"/>
        <v>195240</v>
      </c>
      <c r="W21" s="50">
        <f t="shared" si="14"/>
        <v>1747542.86</v>
      </c>
      <c r="X21" s="50">
        <f t="shared" si="14"/>
        <v>185262.86</v>
      </c>
      <c r="Y21" s="18">
        <f t="shared" si="1"/>
        <v>41640685.710000001</v>
      </c>
      <c r="Z21" s="16"/>
    </row>
    <row r="22" spans="1:26" ht="27.95" customHeight="1">
      <c r="A22" s="14" t="s">
        <v>68</v>
      </c>
      <c r="B22" s="24" t="s">
        <v>203</v>
      </c>
      <c r="C22" s="24" t="s">
        <v>67</v>
      </c>
      <c r="D22" s="16" t="s">
        <v>48</v>
      </c>
      <c r="E22" s="50">
        <f>E23+E24</f>
        <v>2942166.86</v>
      </c>
      <c r="F22" s="50">
        <f t="shared" ref="F22:X22" si="15">F23+F24</f>
        <v>921030.86</v>
      </c>
      <c r="G22" s="50">
        <f t="shared" si="15"/>
        <v>746235.42</v>
      </c>
      <c r="H22" s="50">
        <f t="shared" si="15"/>
        <v>1000114.28</v>
      </c>
      <c r="I22" s="50">
        <f t="shared" si="15"/>
        <v>3285181.72</v>
      </c>
      <c r="J22" s="50">
        <f t="shared" si="15"/>
        <v>567476.57999999996</v>
      </c>
      <c r="K22" s="50">
        <f t="shared" si="15"/>
        <v>1272692.58</v>
      </c>
      <c r="L22" s="50">
        <f t="shared" si="15"/>
        <v>557904</v>
      </c>
      <c r="M22" s="50">
        <f t="shared" si="15"/>
        <v>1230082.28</v>
      </c>
      <c r="N22" s="50">
        <f t="shared" si="15"/>
        <v>853021.72</v>
      </c>
      <c r="O22" s="50">
        <f t="shared" si="15"/>
        <v>381716.58</v>
      </c>
      <c r="P22" s="50">
        <f t="shared" si="15"/>
        <v>392427.42</v>
      </c>
      <c r="Q22" s="50">
        <f t="shared" si="15"/>
        <v>261236.58</v>
      </c>
      <c r="R22" s="50">
        <f t="shared" si="15"/>
        <v>364614.86</v>
      </c>
      <c r="S22" s="50">
        <f t="shared" si="15"/>
        <v>167300.57999999999</v>
      </c>
      <c r="T22" s="50">
        <f t="shared" si="15"/>
        <v>158386.28</v>
      </c>
      <c r="U22" s="50">
        <f t="shared" si="15"/>
        <v>703467.42</v>
      </c>
      <c r="V22" s="50">
        <f t="shared" si="15"/>
        <v>78096</v>
      </c>
      <c r="W22" s="50">
        <f t="shared" si="15"/>
        <v>699017.14</v>
      </c>
      <c r="X22" s="50">
        <f t="shared" si="15"/>
        <v>74105.14</v>
      </c>
      <c r="Y22" s="18">
        <f t="shared" si="1"/>
        <v>16656274.300000001</v>
      </c>
      <c r="Z22" s="16"/>
    </row>
    <row r="23" spans="1:26" ht="27.95" customHeight="1">
      <c r="A23" s="14" t="s">
        <v>70</v>
      </c>
      <c r="B23" s="24" t="s">
        <v>71</v>
      </c>
      <c r="C23" s="24" t="s">
        <v>67</v>
      </c>
      <c r="D23" s="16" t="s">
        <v>48</v>
      </c>
      <c r="E23" s="50">
        <f>ROUND(E29/0.07*0.02,2)</f>
        <v>1471083.43</v>
      </c>
      <c r="F23" s="50">
        <f t="shared" ref="F23:X23" si="16">ROUND(F29/0.07*0.02,2)</f>
        <v>460515.43</v>
      </c>
      <c r="G23" s="50">
        <f t="shared" si="16"/>
        <v>373117.71</v>
      </c>
      <c r="H23" s="50">
        <f t="shared" si="16"/>
        <v>500057.14</v>
      </c>
      <c r="I23" s="50">
        <f t="shared" si="16"/>
        <v>1642590.86</v>
      </c>
      <c r="J23" s="50">
        <f t="shared" si="16"/>
        <v>283738.28999999998</v>
      </c>
      <c r="K23" s="50">
        <f t="shared" si="16"/>
        <v>636346.29</v>
      </c>
      <c r="L23" s="50">
        <f t="shared" si="16"/>
        <v>278952</v>
      </c>
      <c r="M23" s="50">
        <f t="shared" si="16"/>
        <v>615041.14</v>
      </c>
      <c r="N23" s="50">
        <f t="shared" si="16"/>
        <v>426510.86</v>
      </c>
      <c r="O23" s="50">
        <f t="shared" si="16"/>
        <v>190858.29</v>
      </c>
      <c r="P23" s="50">
        <f t="shared" si="16"/>
        <v>196213.71</v>
      </c>
      <c r="Q23" s="50">
        <f t="shared" si="16"/>
        <v>130618.29</v>
      </c>
      <c r="R23" s="50">
        <f t="shared" si="16"/>
        <v>182307.43</v>
      </c>
      <c r="S23" s="50">
        <f t="shared" si="16"/>
        <v>83650.289999999994</v>
      </c>
      <c r="T23" s="50">
        <f t="shared" si="16"/>
        <v>79193.14</v>
      </c>
      <c r="U23" s="50">
        <f t="shared" si="16"/>
        <v>351733.71</v>
      </c>
      <c r="V23" s="50">
        <f t="shared" si="16"/>
        <v>39048</v>
      </c>
      <c r="W23" s="50">
        <f t="shared" si="16"/>
        <v>349508.57</v>
      </c>
      <c r="X23" s="50">
        <f t="shared" si="16"/>
        <v>37052.57</v>
      </c>
      <c r="Y23" s="18">
        <f t="shared" si="1"/>
        <v>8328137.1500000004</v>
      </c>
      <c r="Z23" s="16"/>
    </row>
    <row r="24" spans="1:26" ht="27.95" customHeight="1">
      <c r="A24" s="14" t="s">
        <v>72</v>
      </c>
      <c r="B24" s="24" t="s">
        <v>73</v>
      </c>
      <c r="C24" s="24" t="s">
        <v>67</v>
      </c>
      <c r="D24" s="16" t="s">
        <v>48</v>
      </c>
      <c r="E24" s="50">
        <f>ROUND(E29/0.07*0.02,2)</f>
        <v>1471083.43</v>
      </c>
      <c r="F24" s="50">
        <f t="shared" ref="F24:X24" si="17">ROUND(F29/0.07*0.02,2)</f>
        <v>460515.43</v>
      </c>
      <c r="G24" s="50">
        <f t="shared" si="17"/>
        <v>373117.71</v>
      </c>
      <c r="H24" s="50">
        <f t="shared" si="17"/>
        <v>500057.14</v>
      </c>
      <c r="I24" s="50">
        <f t="shared" si="17"/>
        <v>1642590.86</v>
      </c>
      <c r="J24" s="50">
        <f t="shared" si="17"/>
        <v>283738.28999999998</v>
      </c>
      <c r="K24" s="50">
        <f t="shared" si="17"/>
        <v>636346.29</v>
      </c>
      <c r="L24" s="50">
        <f t="shared" si="17"/>
        <v>278952</v>
      </c>
      <c r="M24" s="50">
        <f t="shared" si="17"/>
        <v>615041.14</v>
      </c>
      <c r="N24" s="50">
        <f t="shared" si="17"/>
        <v>426510.86</v>
      </c>
      <c r="O24" s="50">
        <f t="shared" si="17"/>
        <v>190858.29</v>
      </c>
      <c r="P24" s="50">
        <f t="shared" si="17"/>
        <v>196213.71</v>
      </c>
      <c r="Q24" s="50">
        <f t="shared" si="17"/>
        <v>130618.29</v>
      </c>
      <c r="R24" s="50">
        <f t="shared" si="17"/>
        <v>182307.43</v>
      </c>
      <c r="S24" s="50">
        <f t="shared" si="17"/>
        <v>83650.289999999994</v>
      </c>
      <c r="T24" s="50">
        <f t="shared" si="17"/>
        <v>79193.14</v>
      </c>
      <c r="U24" s="50">
        <f t="shared" si="17"/>
        <v>351733.71</v>
      </c>
      <c r="V24" s="50">
        <f t="shared" si="17"/>
        <v>39048</v>
      </c>
      <c r="W24" s="50">
        <f t="shared" si="17"/>
        <v>349508.57</v>
      </c>
      <c r="X24" s="50">
        <f t="shared" si="17"/>
        <v>37052.57</v>
      </c>
      <c r="Y24" s="18">
        <f t="shared" si="1"/>
        <v>8328137.1500000004</v>
      </c>
      <c r="Z24" s="16"/>
    </row>
    <row r="25" spans="1:26" ht="27.95" customHeight="1">
      <c r="A25" s="14" t="s">
        <v>74</v>
      </c>
      <c r="B25" s="24" t="s">
        <v>75</v>
      </c>
      <c r="C25" s="24"/>
      <c r="D25" s="45" t="s">
        <v>25</v>
      </c>
      <c r="E25" s="18">
        <f t="shared" ref="E25:X25" si="18">E26</f>
        <v>11768667.43</v>
      </c>
      <c r="F25" s="18">
        <f t="shared" si="18"/>
        <v>3684123.43</v>
      </c>
      <c r="G25" s="18">
        <f t="shared" si="18"/>
        <v>2984941.71</v>
      </c>
      <c r="H25" s="18">
        <f t="shared" si="18"/>
        <v>4000457.14</v>
      </c>
      <c r="I25" s="18">
        <f t="shared" si="18"/>
        <v>13140726.859999999</v>
      </c>
      <c r="J25" s="18">
        <f t="shared" si="18"/>
        <v>2269906.29</v>
      </c>
      <c r="K25" s="18">
        <f t="shared" si="18"/>
        <v>5090770.29</v>
      </c>
      <c r="L25" s="18">
        <f t="shared" si="18"/>
        <v>2231616</v>
      </c>
      <c r="M25" s="18">
        <f t="shared" si="18"/>
        <v>4920329.1399999997</v>
      </c>
      <c r="N25" s="18">
        <f t="shared" si="18"/>
        <v>3412086.86</v>
      </c>
      <c r="O25" s="18">
        <f t="shared" si="18"/>
        <v>1526866.29</v>
      </c>
      <c r="P25" s="18">
        <f t="shared" si="18"/>
        <v>1569709.71</v>
      </c>
      <c r="Q25" s="18">
        <f t="shared" si="18"/>
        <v>1044946.29</v>
      </c>
      <c r="R25" s="18">
        <f t="shared" si="18"/>
        <v>1458459.43</v>
      </c>
      <c r="S25" s="18">
        <f t="shared" si="18"/>
        <v>669202.29</v>
      </c>
      <c r="T25" s="18">
        <f t="shared" si="18"/>
        <v>633545.14</v>
      </c>
      <c r="U25" s="18">
        <f t="shared" si="18"/>
        <v>2813869.71</v>
      </c>
      <c r="V25" s="18">
        <f t="shared" si="18"/>
        <v>312384</v>
      </c>
      <c r="W25" s="18">
        <f t="shared" si="18"/>
        <v>2796068.57</v>
      </c>
      <c r="X25" s="18">
        <f t="shared" si="18"/>
        <v>296420.57</v>
      </c>
      <c r="Y25" s="18">
        <f t="shared" si="1"/>
        <v>66625097.149999999</v>
      </c>
      <c r="Z25" s="26"/>
    </row>
    <row r="26" spans="1:26" s="44" customFormat="1" ht="27.95" customHeight="1">
      <c r="A26" s="14" t="s">
        <v>76</v>
      </c>
      <c r="B26" s="43" t="s">
        <v>204</v>
      </c>
      <c r="C26" s="43" t="s">
        <v>78</v>
      </c>
      <c r="D26" s="26" t="s">
        <v>48</v>
      </c>
      <c r="E26" s="18">
        <f>ROUND(E29/0.07*0.16,2)</f>
        <v>11768667.43</v>
      </c>
      <c r="F26" s="18">
        <f t="shared" ref="F26:X26" si="19">ROUND(F29/0.07*0.16,2)</f>
        <v>3684123.43</v>
      </c>
      <c r="G26" s="18">
        <f t="shared" si="19"/>
        <v>2984941.71</v>
      </c>
      <c r="H26" s="18">
        <f t="shared" si="19"/>
        <v>4000457.14</v>
      </c>
      <c r="I26" s="18">
        <f t="shared" si="19"/>
        <v>13140726.859999999</v>
      </c>
      <c r="J26" s="18">
        <f t="shared" si="19"/>
        <v>2269906.29</v>
      </c>
      <c r="K26" s="18">
        <f t="shared" si="19"/>
        <v>5090770.29</v>
      </c>
      <c r="L26" s="18">
        <f t="shared" si="19"/>
        <v>2231616</v>
      </c>
      <c r="M26" s="18">
        <f t="shared" si="19"/>
        <v>4920329.1399999997</v>
      </c>
      <c r="N26" s="18">
        <f t="shared" si="19"/>
        <v>3412086.86</v>
      </c>
      <c r="O26" s="18">
        <f t="shared" si="19"/>
        <v>1526866.29</v>
      </c>
      <c r="P26" s="18">
        <f t="shared" si="19"/>
        <v>1569709.71</v>
      </c>
      <c r="Q26" s="18">
        <f t="shared" si="19"/>
        <v>1044946.29</v>
      </c>
      <c r="R26" s="18">
        <f t="shared" si="19"/>
        <v>1458459.43</v>
      </c>
      <c r="S26" s="18">
        <f t="shared" si="19"/>
        <v>669202.29</v>
      </c>
      <c r="T26" s="18">
        <f t="shared" si="19"/>
        <v>633545.14</v>
      </c>
      <c r="U26" s="18">
        <f t="shared" si="19"/>
        <v>2813869.71</v>
      </c>
      <c r="V26" s="18">
        <f t="shared" si="19"/>
        <v>312384</v>
      </c>
      <c r="W26" s="18">
        <f t="shared" si="19"/>
        <v>2796068.57</v>
      </c>
      <c r="X26" s="18">
        <f t="shared" si="19"/>
        <v>296420.57</v>
      </c>
      <c r="Y26" s="18">
        <f t="shared" si="1"/>
        <v>66625097.149999999</v>
      </c>
      <c r="Z26" s="26"/>
    </row>
    <row r="27" spans="1:26" ht="27.95" customHeight="1">
      <c r="A27" s="14" t="s">
        <v>79</v>
      </c>
      <c r="B27" s="24" t="s">
        <v>80</v>
      </c>
      <c r="C27" s="24"/>
      <c r="D27" s="45" t="s">
        <v>25</v>
      </c>
      <c r="E27" s="18">
        <f t="shared" ref="E27:X27" si="20">E28</f>
        <v>5884333.71</v>
      </c>
      <c r="F27" s="18">
        <f t="shared" si="20"/>
        <v>1842061.71</v>
      </c>
      <c r="G27" s="18">
        <f t="shared" si="20"/>
        <v>1492470.86</v>
      </c>
      <c r="H27" s="18">
        <f t="shared" si="20"/>
        <v>2000228.57</v>
      </c>
      <c r="I27" s="18">
        <f t="shared" si="20"/>
        <v>6570363.4299999997</v>
      </c>
      <c r="J27" s="18">
        <f t="shared" si="20"/>
        <v>1134953.1399999999</v>
      </c>
      <c r="K27" s="18">
        <f t="shared" si="20"/>
        <v>2545385.14</v>
      </c>
      <c r="L27" s="18">
        <f t="shared" si="20"/>
        <v>1115808</v>
      </c>
      <c r="M27" s="18">
        <f t="shared" si="20"/>
        <v>2460164.5699999998</v>
      </c>
      <c r="N27" s="18">
        <f t="shared" si="20"/>
        <v>1706043.43</v>
      </c>
      <c r="O27" s="18">
        <f t="shared" si="20"/>
        <v>763433.14</v>
      </c>
      <c r="P27" s="18">
        <f t="shared" si="20"/>
        <v>784854.86</v>
      </c>
      <c r="Q27" s="18">
        <f t="shared" si="20"/>
        <v>522473.14</v>
      </c>
      <c r="R27" s="18">
        <f t="shared" si="20"/>
        <v>729229.71</v>
      </c>
      <c r="S27" s="18">
        <f t="shared" si="20"/>
        <v>334601.14</v>
      </c>
      <c r="T27" s="18">
        <f t="shared" si="20"/>
        <v>316772.57</v>
      </c>
      <c r="U27" s="18">
        <f t="shared" si="20"/>
        <v>1406934.86</v>
      </c>
      <c r="V27" s="18">
        <f t="shared" si="20"/>
        <v>156192</v>
      </c>
      <c r="W27" s="18">
        <f t="shared" si="20"/>
        <v>1398034.29</v>
      </c>
      <c r="X27" s="18">
        <f t="shared" si="20"/>
        <v>148210.29</v>
      </c>
      <c r="Y27" s="18">
        <f t="shared" si="1"/>
        <v>33312548.560000002</v>
      </c>
      <c r="Z27" s="26"/>
    </row>
    <row r="28" spans="1:26" s="44" customFormat="1" ht="27.95" customHeight="1">
      <c r="A28" s="14" t="s">
        <v>81</v>
      </c>
      <c r="B28" s="43" t="s">
        <v>82</v>
      </c>
      <c r="C28" s="43" t="s">
        <v>83</v>
      </c>
      <c r="D28" s="26" t="s">
        <v>48</v>
      </c>
      <c r="E28" s="18">
        <f>ROUND(E29/0.07*0.08,2)</f>
        <v>5884333.71</v>
      </c>
      <c r="F28" s="18">
        <f t="shared" ref="F28:X28" si="21">ROUND(F29/0.07*0.08,2)</f>
        <v>1842061.71</v>
      </c>
      <c r="G28" s="18">
        <f t="shared" si="21"/>
        <v>1492470.86</v>
      </c>
      <c r="H28" s="18">
        <f t="shared" si="21"/>
        <v>2000228.57</v>
      </c>
      <c r="I28" s="18">
        <f t="shared" si="21"/>
        <v>6570363.4299999997</v>
      </c>
      <c r="J28" s="18">
        <f t="shared" si="21"/>
        <v>1134953.1399999999</v>
      </c>
      <c r="K28" s="18">
        <f t="shared" si="21"/>
        <v>2545385.14</v>
      </c>
      <c r="L28" s="18">
        <f t="shared" si="21"/>
        <v>1115808</v>
      </c>
      <c r="M28" s="18">
        <f t="shared" si="21"/>
        <v>2460164.5699999998</v>
      </c>
      <c r="N28" s="18">
        <f t="shared" si="21"/>
        <v>1706043.43</v>
      </c>
      <c r="O28" s="18">
        <f t="shared" si="21"/>
        <v>763433.14</v>
      </c>
      <c r="P28" s="18">
        <f t="shared" si="21"/>
        <v>784854.86</v>
      </c>
      <c r="Q28" s="18">
        <f t="shared" si="21"/>
        <v>522473.14</v>
      </c>
      <c r="R28" s="18">
        <f t="shared" si="21"/>
        <v>729229.71</v>
      </c>
      <c r="S28" s="18">
        <f t="shared" si="21"/>
        <v>334601.14</v>
      </c>
      <c r="T28" s="18">
        <f t="shared" si="21"/>
        <v>316772.57</v>
      </c>
      <c r="U28" s="18">
        <f t="shared" si="21"/>
        <v>1406934.86</v>
      </c>
      <c r="V28" s="18">
        <f t="shared" si="21"/>
        <v>156192</v>
      </c>
      <c r="W28" s="18">
        <f t="shared" si="21"/>
        <v>1398034.29</v>
      </c>
      <c r="X28" s="18">
        <f t="shared" si="21"/>
        <v>148210.29</v>
      </c>
      <c r="Y28" s="18">
        <f t="shared" si="1"/>
        <v>33312548.560000002</v>
      </c>
      <c r="Z28" s="26"/>
    </row>
    <row r="29" spans="1:26" ht="27.95" customHeight="1">
      <c r="A29" s="14" t="s">
        <v>84</v>
      </c>
      <c r="B29" s="24" t="s">
        <v>205</v>
      </c>
      <c r="C29" s="24" t="s">
        <v>86</v>
      </c>
      <c r="D29" s="45" t="s">
        <v>206</v>
      </c>
      <c r="E29" s="17">
        <f>429066*12</f>
        <v>5148792</v>
      </c>
      <c r="F29" s="17">
        <f>134317*12</f>
        <v>1611804</v>
      </c>
      <c r="G29" s="17">
        <v>1305912</v>
      </c>
      <c r="H29" s="17">
        <f>145850*12</f>
        <v>1750200</v>
      </c>
      <c r="I29" s="17">
        <f>479089*12</f>
        <v>5749068</v>
      </c>
      <c r="J29" s="17">
        <v>993084</v>
      </c>
      <c r="K29" s="17">
        <f>185601*12</f>
        <v>2227212</v>
      </c>
      <c r="L29" s="17">
        <f>81361*12</f>
        <v>976332</v>
      </c>
      <c r="M29" s="17">
        <f>179387*12</f>
        <v>2152644</v>
      </c>
      <c r="N29" s="17">
        <f>124399*12</f>
        <v>1492788</v>
      </c>
      <c r="O29" s="17">
        <f>55667*12</f>
        <v>668004</v>
      </c>
      <c r="P29" s="17">
        <f>57229*12</f>
        <v>686748</v>
      </c>
      <c r="Q29" s="17">
        <f>38097*12</f>
        <v>457164</v>
      </c>
      <c r="R29" s="17">
        <f>53173*12</f>
        <v>638076</v>
      </c>
      <c r="S29" s="17">
        <f>24398*12</f>
        <v>292776</v>
      </c>
      <c r="T29" s="17">
        <f>23098*12</f>
        <v>277176</v>
      </c>
      <c r="U29" s="17">
        <f>102589*12</f>
        <v>1231068</v>
      </c>
      <c r="V29" s="17">
        <f>11389*12</f>
        <v>136668</v>
      </c>
      <c r="W29" s="17">
        <f>101940*12</f>
        <v>1223280</v>
      </c>
      <c r="X29" s="17">
        <v>129684</v>
      </c>
      <c r="Y29" s="18">
        <f t="shared" si="1"/>
        <v>29148480</v>
      </c>
      <c r="Z29" s="16"/>
    </row>
    <row r="30" spans="1:26" ht="27.95" customHeight="1">
      <c r="A30" s="14" t="s">
        <v>88</v>
      </c>
      <c r="B30" s="24" t="s">
        <v>207</v>
      </c>
      <c r="C30" s="15" t="s">
        <v>31</v>
      </c>
      <c r="D30" s="26" t="s">
        <v>208</v>
      </c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  <c r="T30" s="17"/>
      <c r="U30" s="17"/>
      <c r="V30" s="17"/>
      <c r="W30" s="17"/>
      <c r="X30" s="17"/>
      <c r="Y30" s="18">
        <f t="shared" si="1"/>
        <v>0</v>
      </c>
      <c r="Z30" s="16"/>
    </row>
    <row r="31" spans="1:26" ht="27.95" customHeight="1">
      <c r="A31" s="14" t="s">
        <v>91</v>
      </c>
      <c r="B31" s="24" t="s">
        <v>92</v>
      </c>
      <c r="C31" s="24"/>
      <c r="D31" s="45" t="s">
        <v>25</v>
      </c>
      <c r="E31" s="18">
        <f>E32+E34+E36</f>
        <v>2782184.2</v>
      </c>
      <c r="F31" s="18">
        <f t="shared" ref="F31:X31" si="22">F32+F34+F36</f>
        <v>955560</v>
      </c>
      <c r="G31" s="18">
        <f t="shared" si="22"/>
        <v>1156740</v>
      </c>
      <c r="H31" s="18">
        <f t="shared" si="22"/>
        <v>16920</v>
      </c>
      <c r="I31" s="18">
        <f t="shared" si="22"/>
        <v>1956360</v>
      </c>
      <c r="J31" s="18">
        <f t="shared" si="22"/>
        <v>586200</v>
      </c>
      <c r="K31" s="18">
        <f t="shared" si="22"/>
        <v>603180</v>
      </c>
      <c r="L31" s="18">
        <f t="shared" si="22"/>
        <v>430260</v>
      </c>
      <c r="M31" s="18">
        <f t="shared" si="22"/>
        <v>35460</v>
      </c>
      <c r="N31" s="18">
        <f t="shared" si="22"/>
        <v>787740</v>
      </c>
      <c r="O31" s="18">
        <f t="shared" si="22"/>
        <v>633120</v>
      </c>
      <c r="P31" s="18">
        <f t="shared" si="22"/>
        <v>29100</v>
      </c>
      <c r="Q31" s="18">
        <f t="shared" si="22"/>
        <v>2160</v>
      </c>
      <c r="R31" s="18">
        <f t="shared" si="22"/>
        <v>444720</v>
      </c>
      <c r="S31" s="18">
        <f t="shared" si="22"/>
        <v>2160</v>
      </c>
      <c r="T31" s="18">
        <f t="shared" si="22"/>
        <v>720</v>
      </c>
      <c r="U31" s="18">
        <f t="shared" si="22"/>
        <v>45180</v>
      </c>
      <c r="V31" s="18">
        <f t="shared" si="22"/>
        <v>1080</v>
      </c>
      <c r="W31" s="18">
        <f t="shared" si="22"/>
        <v>209700</v>
      </c>
      <c r="X31" s="18">
        <f t="shared" si="22"/>
        <v>156720</v>
      </c>
      <c r="Y31" s="18">
        <f t="shared" si="1"/>
        <v>10835264.199999999</v>
      </c>
      <c r="Z31" s="26"/>
    </row>
    <row r="32" spans="1:26" ht="27.95" customHeight="1">
      <c r="A32" s="14" t="s">
        <v>93</v>
      </c>
      <c r="B32" s="24" t="s">
        <v>209</v>
      </c>
      <c r="C32" s="24" t="s">
        <v>95</v>
      </c>
      <c r="D32" s="16" t="s">
        <v>210</v>
      </c>
      <c r="E32" s="50">
        <f>E33</f>
        <v>2719725</v>
      </c>
      <c r="F32" s="50">
        <f t="shared" ref="F32:X32" si="23">F33</f>
        <v>949080</v>
      </c>
      <c r="G32" s="50">
        <f t="shared" si="23"/>
        <v>1147020</v>
      </c>
      <c r="H32" s="50">
        <f t="shared" si="23"/>
        <v>11880</v>
      </c>
      <c r="I32" s="50">
        <f t="shared" si="23"/>
        <v>1937640</v>
      </c>
      <c r="J32" s="50">
        <f t="shared" si="23"/>
        <v>582600</v>
      </c>
      <c r="K32" s="50">
        <f t="shared" si="23"/>
        <v>599220</v>
      </c>
      <c r="L32" s="50">
        <f t="shared" si="23"/>
        <v>428100</v>
      </c>
      <c r="M32" s="50">
        <f t="shared" si="23"/>
        <v>31860</v>
      </c>
      <c r="N32" s="50">
        <f t="shared" si="23"/>
        <v>780900</v>
      </c>
      <c r="O32" s="50">
        <f t="shared" si="23"/>
        <v>630240</v>
      </c>
      <c r="P32" s="50">
        <f t="shared" si="23"/>
        <v>25860</v>
      </c>
      <c r="Q32" s="50">
        <f t="shared" si="23"/>
        <v>0</v>
      </c>
      <c r="R32" s="50">
        <f t="shared" si="23"/>
        <v>438960</v>
      </c>
      <c r="S32" s="50">
        <f t="shared" si="23"/>
        <v>0</v>
      </c>
      <c r="T32" s="50">
        <f t="shared" si="23"/>
        <v>0</v>
      </c>
      <c r="U32" s="50">
        <f t="shared" si="23"/>
        <v>39060</v>
      </c>
      <c r="V32" s="50">
        <f t="shared" si="23"/>
        <v>0</v>
      </c>
      <c r="W32" s="50">
        <f t="shared" si="23"/>
        <v>207900</v>
      </c>
      <c r="X32" s="50">
        <f t="shared" si="23"/>
        <v>156360</v>
      </c>
      <c r="Y32" s="18">
        <f t="shared" si="1"/>
        <v>10686405</v>
      </c>
      <c r="Z32" s="16"/>
    </row>
    <row r="33" spans="1:26" ht="27.95" customHeight="1">
      <c r="A33" s="14" t="s">
        <v>97</v>
      </c>
      <c r="B33" s="24" t="s">
        <v>211</v>
      </c>
      <c r="C33" s="24" t="s">
        <v>95</v>
      </c>
      <c r="D33" s="16" t="s">
        <v>210</v>
      </c>
      <c r="E33" s="25">
        <v>2719725</v>
      </c>
      <c r="F33" s="25">
        <f>79090*12</f>
        <v>949080</v>
      </c>
      <c r="G33" s="25">
        <v>1147020</v>
      </c>
      <c r="H33" s="25">
        <f>990*12</f>
        <v>11880</v>
      </c>
      <c r="I33" s="25">
        <f>161470*12</f>
        <v>1937640</v>
      </c>
      <c r="J33" s="25">
        <v>582600</v>
      </c>
      <c r="K33" s="25">
        <f>49935*12</f>
        <v>599220</v>
      </c>
      <c r="L33" s="25">
        <v>428100</v>
      </c>
      <c r="M33" s="25">
        <f>2655*12</f>
        <v>31860</v>
      </c>
      <c r="N33" s="25">
        <v>780900</v>
      </c>
      <c r="O33" s="25">
        <f>52520*12</f>
        <v>630240</v>
      </c>
      <c r="P33" s="25">
        <f>2155*12</f>
        <v>25860</v>
      </c>
      <c r="Q33" s="25"/>
      <c r="R33" s="25">
        <f>36580*12</f>
        <v>438960</v>
      </c>
      <c r="S33" s="25"/>
      <c r="T33" s="25"/>
      <c r="U33" s="25">
        <v>39060</v>
      </c>
      <c r="V33" s="25"/>
      <c r="W33" s="25">
        <f>17325*12</f>
        <v>207900</v>
      </c>
      <c r="X33" s="25">
        <v>156360</v>
      </c>
      <c r="Y33" s="18">
        <f t="shared" si="1"/>
        <v>10686405</v>
      </c>
      <c r="Z33" s="26"/>
    </row>
    <row r="34" spans="1:26" ht="27.95" customHeight="1">
      <c r="A34" s="14" t="s">
        <v>99</v>
      </c>
      <c r="B34" s="24" t="s">
        <v>100</v>
      </c>
      <c r="C34" s="24"/>
      <c r="D34" s="45" t="s">
        <v>25</v>
      </c>
      <c r="E34" s="18">
        <f>E35</f>
        <v>17640</v>
      </c>
      <c r="F34" s="18">
        <f t="shared" ref="F34:X34" si="24">F35</f>
        <v>6480</v>
      </c>
      <c r="G34" s="18">
        <f t="shared" si="24"/>
        <v>9720</v>
      </c>
      <c r="H34" s="18">
        <f t="shared" si="24"/>
        <v>5040</v>
      </c>
      <c r="I34" s="18">
        <f t="shared" si="24"/>
        <v>18720</v>
      </c>
      <c r="J34" s="18">
        <f t="shared" si="24"/>
        <v>3600</v>
      </c>
      <c r="K34" s="18">
        <f t="shared" si="24"/>
        <v>3960</v>
      </c>
      <c r="L34" s="18">
        <f t="shared" si="24"/>
        <v>2160</v>
      </c>
      <c r="M34" s="18">
        <f t="shared" si="24"/>
        <v>3600</v>
      </c>
      <c r="N34" s="18">
        <f t="shared" si="24"/>
        <v>6840</v>
      </c>
      <c r="O34" s="18">
        <f t="shared" si="24"/>
        <v>2880</v>
      </c>
      <c r="P34" s="18">
        <f t="shared" si="24"/>
        <v>3240</v>
      </c>
      <c r="Q34" s="18">
        <f t="shared" si="24"/>
        <v>2160</v>
      </c>
      <c r="R34" s="18">
        <f t="shared" si="24"/>
        <v>5760</v>
      </c>
      <c r="S34" s="18">
        <f t="shared" si="24"/>
        <v>2160</v>
      </c>
      <c r="T34" s="18">
        <f t="shared" si="24"/>
        <v>720</v>
      </c>
      <c r="U34" s="18">
        <f t="shared" si="24"/>
        <v>6120</v>
      </c>
      <c r="V34" s="18">
        <f t="shared" si="24"/>
        <v>1080</v>
      </c>
      <c r="W34" s="18">
        <f t="shared" si="24"/>
        <v>1800</v>
      </c>
      <c r="X34" s="18">
        <f t="shared" si="24"/>
        <v>360</v>
      </c>
      <c r="Y34" s="18">
        <f t="shared" si="1"/>
        <v>104040</v>
      </c>
      <c r="Z34" s="26"/>
    </row>
    <row r="35" spans="1:26" ht="27.95" customHeight="1">
      <c r="A35" s="14" t="s">
        <v>101</v>
      </c>
      <c r="B35" s="24" t="s">
        <v>102</v>
      </c>
      <c r="C35" s="24" t="s">
        <v>31</v>
      </c>
      <c r="D35" s="45" t="s">
        <v>32</v>
      </c>
      <c r="E35" s="25">
        <f>1470*12</f>
        <v>17640</v>
      </c>
      <c r="F35" s="25">
        <f>540*12</f>
        <v>6480</v>
      </c>
      <c r="G35" s="25">
        <v>9720</v>
      </c>
      <c r="H35" s="25">
        <f>420*12</f>
        <v>5040</v>
      </c>
      <c r="I35" s="25">
        <f>1560*12</f>
        <v>18720</v>
      </c>
      <c r="J35" s="25">
        <v>3600</v>
      </c>
      <c r="K35" s="25">
        <f>330*12</f>
        <v>3960</v>
      </c>
      <c r="L35" s="25">
        <f>180*12</f>
        <v>2160</v>
      </c>
      <c r="M35" s="25">
        <f>300*12</f>
        <v>3600</v>
      </c>
      <c r="N35" s="25">
        <f>570*12</f>
        <v>6840</v>
      </c>
      <c r="O35" s="25">
        <f>240*12</f>
        <v>2880</v>
      </c>
      <c r="P35" s="25">
        <f>270*12</f>
        <v>3240</v>
      </c>
      <c r="Q35" s="25">
        <v>2160</v>
      </c>
      <c r="R35" s="25">
        <f>480*12</f>
        <v>5760</v>
      </c>
      <c r="S35" s="25">
        <f>180*12</f>
        <v>2160</v>
      </c>
      <c r="T35" s="25">
        <f>60*12</f>
        <v>720</v>
      </c>
      <c r="U35" s="25">
        <f>510*12</f>
        <v>6120</v>
      </c>
      <c r="V35" s="25">
        <f>90*12</f>
        <v>1080</v>
      </c>
      <c r="W35" s="25">
        <f>150*12</f>
        <v>1800</v>
      </c>
      <c r="X35" s="25">
        <v>360</v>
      </c>
      <c r="Y35" s="18">
        <f t="shared" si="1"/>
        <v>104040</v>
      </c>
      <c r="Z35" s="26"/>
    </row>
    <row r="36" spans="1:26" ht="27.95" customHeight="1">
      <c r="A36" s="14" t="s">
        <v>103</v>
      </c>
      <c r="B36" s="24" t="s">
        <v>104</v>
      </c>
      <c r="C36" s="24"/>
      <c r="D36" s="45" t="s">
        <v>25</v>
      </c>
      <c r="E36" s="18">
        <f>E37</f>
        <v>44819.199999999997</v>
      </c>
      <c r="F36" s="18">
        <f t="shared" ref="F36:X36" si="25">F37</f>
        <v>0</v>
      </c>
      <c r="G36" s="18">
        <f t="shared" si="25"/>
        <v>0</v>
      </c>
      <c r="H36" s="18">
        <f t="shared" si="25"/>
        <v>0</v>
      </c>
      <c r="I36" s="18">
        <f t="shared" si="25"/>
        <v>0</v>
      </c>
      <c r="J36" s="18">
        <f t="shared" si="25"/>
        <v>0</v>
      </c>
      <c r="K36" s="18">
        <f t="shared" si="25"/>
        <v>0</v>
      </c>
      <c r="L36" s="18">
        <f t="shared" si="25"/>
        <v>0</v>
      </c>
      <c r="M36" s="18">
        <f t="shared" si="25"/>
        <v>0</v>
      </c>
      <c r="N36" s="18">
        <f t="shared" si="25"/>
        <v>0</v>
      </c>
      <c r="O36" s="18">
        <f t="shared" si="25"/>
        <v>0</v>
      </c>
      <c r="P36" s="18">
        <f t="shared" si="25"/>
        <v>0</v>
      </c>
      <c r="Q36" s="18">
        <f t="shared" si="25"/>
        <v>0</v>
      </c>
      <c r="R36" s="18">
        <f t="shared" si="25"/>
        <v>0</v>
      </c>
      <c r="S36" s="18">
        <f t="shared" si="25"/>
        <v>0</v>
      </c>
      <c r="T36" s="18">
        <f t="shared" si="25"/>
        <v>0</v>
      </c>
      <c r="U36" s="18">
        <f t="shared" si="25"/>
        <v>0</v>
      </c>
      <c r="V36" s="18">
        <f t="shared" si="25"/>
        <v>0</v>
      </c>
      <c r="W36" s="18">
        <f t="shared" si="25"/>
        <v>0</v>
      </c>
      <c r="X36" s="18">
        <f t="shared" si="25"/>
        <v>0</v>
      </c>
      <c r="Y36" s="18">
        <f t="shared" si="1"/>
        <v>44819.199999999997</v>
      </c>
      <c r="Z36" s="26"/>
    </row>
    <row r="37" spans="1:26" ht="27.95" customHeight="1">
      <c r="A37" s="14" t="s">
        <v>105</v>
      </c>
      <c r="B37" s="24" t="s">
        <v>212</v>
      </c>
      <c r="C37" s="24" t="s">
        <v>31</v>
      </c>
      <c r="D37" s="16" t="s">
        <v>107</v>
      </c>
      <c r="E37" s="17">
        <v>44819.199999999997</v>
      </c>
      <c r="F37" s="17"/>
      <c r="G37" s="17"/>
      <c r="H37" s="17">
        <v>0</v>
      </c>
      <c r="I37" s="17"/>
      <c r="J37" s="17"/>
      <c r="K37" s="17"/>
      <c r="L37" s="17"/>
      <c r="M37" s="17"/>
      <c r="N37" s="17"/>
      <c r="O37" s="17"/>
      <c r="P37" s="17"/>
      <c r="Q37" s="17"/>
      <c r="R37" s="17"/>
      <c r="S37" s="17"/>
      <c r="T37" s="17"/>
      <c r="U37" s="17"/>
      <c r="V37" s="17"/>
      <c r="W37" s="17"/>
      <c r="X37" s="17"/>
      <c r="Y37" s="18">
        <f t="shared" si="1"/>
        <v>44819.199999999997</v>
      </c>
      <c r="Z37" s="16"/>
    </row>
    <row r="38" spans="1:26" ht="27.95" customHeight="1">
      <c r="A38" s="14" t="s">
        <v>108</v>
      </c>
      <c r="B38" s="24" t="s">
        <v>109</v>
      </c>
      <c r="C38" s="24"/>
      <c r="D38" s="45" t="s">
        <v>25</v>
      </c>
      <c r="E38" s="18">
        <f>E39+E41+E43+E45+E47+E50+E52+E54+E58</f>
        <v>17415708.879999999</v>
      </c>
      <c r="F38" s="18">
        <f t="shared" ref="F38:X38" si="26">F39+F41+F43+F45+F47+F50+F52+F54+F58</f>
        <v>6420093.4299999997</v>
      </c>
      <c r="G38" s="18">
        <f t="shared" si="26"/>
        <v>5388793.9100000001</v>
      </c>
      <c r="H38" s="18">
        <f t="shared" si="26"/>
        <v>7364797.0899999999</v>
      </c>
      <c r="I38" s="18">
        <f t="shared" si="26"/>
        <v>22874847.259999998</v>
      </c>
      <c r="J38" s="18">
        <f t="shared" si="26"/>
        <v>3391473.74</v>
      </c>
      <c r="K38" s="18">
        <f t="shared" si="26"/>
        <v>9466082.5899999999</v>
      </c>
      <c r="L38" s="18">
        <f t="shared" si="26"/>
        <v>3397335.55</v>
      </c>
      <c r="M38" s="18">
        <f t="shared" si="26"/>
        <v>8326874.29</v>
      </c>
      <c r="N38" s="18">
        <f t="shared" si="26"/>
        <v>4543776.91</v>
      </c>
      <c r="O38" s="18">
        <f t="shared" si="26"/>
        <v>2122688.29</v>
      </c>
      <c r="P38" s="18">
        <f t="shared" si="26"/>
        <v>2428291.41</v>
      </c>
      <c r="Q38" s="18">
        <f t="shared" si="26"/>
        <v>1361825.09</v>
      </c>
      <c r="R38" s="18">
        <f t="shared" si="26"/>
        <v>2043043.43</v>
      </c>
      <c r="S38" s="18">
        <f t="shared" si="26"/>
        <v>1244067.0900000001</v>
      </c>
      <c r="T38" s="18">
        <f t="shared" si="26"/>
        <v>1194632.94</v>
      </c>
      <c r="U38" s="18">
        <f t="shared" si="26"/>
        <v>2909843.71</v>
      </c>
      <c r="V38" s="18">
        <f t="shared" si="26"/>
        <v>1093747.6000000001</v>
      </c>
      <c r="W38" s="18">
        <f t="shared" si="26"/>
        <v>6536350.9700000007</v>
      </c>
      <c r="X38" s="18">
        <f t="shared" si="26"/>
        <v>338652.57</v>
      </c>
      <c r="Y38" s="18">
        <f t="shared" si="1"/>
        <v>109862926.75</v>
      </c>
      <c r="Z38" s="26"/>
    </row>
    <row r="39" spans="1:26" ht="27.95" customHeight="1">
      <c r="A39" s="14" t="s">
        <v>110</v>
      </c>
      <c r="B39" s="24" t="s">
        <v>111</v>
      </c>
      <c r="C39" s="24"/>
      <c r="D39" s="45" t="s">
        <v>112</v>
      </c>
      <c r="E39" s="25">
        <v>13397800</v>
      </c>
      <c r="F39" s="25">
        <v>4995650</v>
      </c>
      <c r="G39" s="25">
        <v>4140150</v>
      </c>
      <c r="H39" s="25">
        <v>6138350</v>
      </c>
      <c r="I39" s="25">
        <v>18348480</v>
      </c>
      <c r="J39" s="25">
        <v>2536270</v>
      </c>
      <c r="K39" s="25">
        <v>7756470</v>
      </c>
      <c r="L39" s="25">
        <v>2540220</v>
      </c>
      <c r="M39" s="25">
        <v>6773100</v>
      </c>
      <c r="N39" s="25">
        <v>3203200</v>
      </c>
      <c r="O39" s="25">
        <v>1437140</v>
      </c>
      <c r="P39" s="25">
        <v>1716000</v>
      </c>
      <c r="Q39" s="25">
        <f>346*2860</f>
        <v>989560</v>
      </c>
      <c r="R39" s="25">
        <v>1424260</v>
      </c>
      <c r="S39" s="25">
        <v>907980</v>
      </c>
      <c r="T39" s="25">
        <v>858000</v>
      </c>
      <c r="U39" s="25">
        <v>1915560</v>
      </c>
      <c r="V39" s="25">
        <v>858000</v>
      </c>
      <c r="W39" s="25">
        <v>5075930</v>
      </c>
      <c r="X39" s="25">
        <v>156800</v>
      </c>
      <c r="Y39" s="18">
        <f t="shared" si="1"/>
        <v>85168920</v>
      </c>
      <c r="Z39" s="26"/>
    </row>
    <row r="40" spans="1:26" ht="27.95" customHeight="1">
      <c r="A40" s="14" t="s">
        <v>113</v>
      </c>
      <c r="B40" s="24" t="s">
        <v>213</v>
      </c>
      <c r="C40" s="24" t="s">
        <v>214</v>
      </c>
      <c r="D40" s="27" t="s">
        <v>215</v>
      </c>
      <c r="E40" s="25">
        <v>669890</v>
      </c>
      <c r="F40" s="25">
        <v>249782.5</v>
      </c>
      <c r="G40" s="25">
        <v>207007.5</v>
      </c>
      <c r="H40" s="25">
        <v>306917.5</v>
      </c>
      <c r="I40" s="25">
        <v>917424</v>
      </c>
      <c r="J40" s="25">
        <v>126813.5</v>
      </c>
      <c r="K40" s="25">
        <v>387823.5</v>
      </c>
      <c r="L40" s="25">
        <v>127011</v>
      </c>
      <c r="M40" s="25">
        <v>338655</v>
      </c>
      <c r="N40" s="25">
        <v>147290</v>
      </c>
      <c r="O40" s="25">
        <v>58415</v>
      </c>
      <c r="P40" s="25">
        <v>84513</v>
      </c>
      <c r="Q40" s="25">
        <f>346*2860*0.05</f>
        <v>49478</v>
      </c>
      <c r="R40" s="25">
        <v>58200</v>
      </c>
      <c r="S40" s="25">
        <v>41252</v>
      </c>
      <c r="T40" s="25">
        <v>32747</v>
      </c>
      <c r="U40" s="25">
        <v>95778</v>
      </c>
      <c r="V40" s="25">
        <v>16445</v>
      </c>
      <c r="W40" s="25">
        <v>253796.5</v>
      </c>
      <c r="X40" s="25">
        <v>7840</v>
      </c>
      <c r="Y40" s="18">
        <f t="shared" si="1"/>
        <v>4177079</v>
      </c>
      <c r="Z40" s="26"/>
    </row>
    <row r="41" spans="1:26" ht="27.95" customHeight="1">
      <c r="A41" s="14" t="s">
        <v>117</v>
      </c>
      <c r="B41" s="24" t="s">
        <v>118</v>
      </c>
      <c r="C41" s="24"/>
      <c r="D41" s="45"/>
      <c r="E41" s="18">
        <f>E42</f>
        <v>107600</v>
      </c>
      <c r="F41" s="18">
        <f t="shared" ref="F41:X41" si="27">F42</f>
        <v>36800</v>
      </c>
      <c r="G41" s="18">
        <f t="shared" si="27"/>
        <v>30400</v>
      </c>
      <c r="H41" s="18">
        <f t="shared" si="27"/>
        <v>40000</v>
      </c>
      <c r="I41" s="18">
        <f t="shared" si="27"/>
        <v>142400</v>
      </c>
      <c r="J41" s="18">
        <f t="shared" si="27"/>
        <v>24000</v>
      </c>
      <c r="K41" s="18">
        <f t="shared" si="27"/>
        <v>53600</v>
      </c>
      <c r="L41" s="18">
        <f t="shared" si="27"/>
        <v>22800</v>
      </c>
      <c r="M41" s="18">
        <f t="shared" si="27"/>
        <v>51200</v>
      </c>
      <c r="N41" s="18">
        <f t="shared" si="27"/>
        <v>39200</v>
      </c>
      <c r="O41" s="18">
        <f t="shared" si="27"/>
        <v>17600</v>
      </c>
      <c r="P41" s="18">
        <f t="shared" si="27"/>
        <v>19200</v>
      </c>
      <c r="Q41" s="18">
        <f t="shared" si="27"/>
        <v>11600</v>
      </c>
      <c r="R41" s="18">
        <f t="shared" si="27"/>
        <v>16800</v>
      </c>
      <c r="S41" s="18">
        <f t="shared" si="27"/>
        <v>8800</v>
      </c>
      <c r="T41" s="18">
        <f t="shared" si="27"/>
        <v>7600</v>
      </c>
      <c r="U41" s="18">
        <f t="shared" si="27"/>
        <v>31200</v>
      </c>
      <c r="V41" s="18">
        <f t="shared" si="27"/>
        <v>4000</v>
      </c>
      <c r="W41" s="18">
        <f t="shared" si="27"/>
        <v>33200</v>
      </c>
      <c r="X41" s="18">
        <f t="shared" si="27"/>
        <v>2800</v>
      </c>
      <c r="Y41" s="18">
        <f t="shared" si="1"/>
        <v>700800</v>
      </c>
      <c r="Z41" s="26"/>
    </row>
    <row r="42" spans="1:26" s="44" customFormat="1" ht="27.95" customHeight="1">
      <c r="A42" s="14" t="s">
        <v>119</v>
      </c>
      <c r="B42" s="43" t="s">
        <v>120</v>
      </c>
      <c r="C42" s="43" t="s">
        <v>31</v>
      </c>
      <c r="D42" s="51" t="s">
        <v>121</v>
      </c>
      <c r="E42" s="18">
        <f>E61*400</f>
        <v>107600</v>
      </c>
      <c r="F42" s="18">
        <f t="shared" ref="F42:X42" si="28">F61*400</f>
        <v>36800</v>
      </c>
      <c r="G42" s="18">
        <f t="shared" si="28"/>
        <v>30400</v>
      </c>
      <c r="H42" s="18">
        <f t="shared" si="28"/>
        <v>40000</v>
      </c>
      <c r="I42" s="18">
        <f t="shared" si="28"/>
        <v>142400</v>
      </c>
      <c r="J42" s="18">
        <f t="shared" si="28"/>
        <v>24000</v>
      </c>
      <c r="K42" s="18">
        <f t="shared" si="28"/>
        <v>53600</v>
      </c>
      <c r="L42" s="18">
        <f t="shared" si="28"/>
        <v>22800</v>
      </c>
      <c r="M42" s="18">
        <f t="shared" si="28"/>
        <v>51200</v>
      </c>
      <c r="N42" s="18">
        <f t="shared" si="28"/>
        <v>39200</v>
      </c>
      <c r="O42" s="18">
        <f t="shared" si="28"/>
        <v>17600</v>
      </c>
      <c r="P42" s="18">
        <f t="shared" si="28"/>
        <v>19200</v>
      </c>
      <c r="Q42" s="18">
        <f t="shared" si="28"/>
        <v>11600</v>
      </c>
      <c r="R42" s="18">
        <f t="shared" si="28"/>
        <v>16800</v>
      </c>
      <c r="S42" s="18">
        <f t="shared" si="28"/>
        <v>8800</v>
      </c>
      <c r="T42" s="18">
        <f t="shared" si="28"/>
        <v>7600</v>
      </c>
      <c r="U42" s="18">
        <f t="shared" si="28"/>
        <v>31200</v>
      </c>
      <c r="V42" s="18">
        <f t="shared" si="28"/>
        <v>4000</v>
      </c>
      <c r="W42" s="18">
        <f t="shared" si="28"/>
        <v>33200</v>
      </c>
      <c r="X42" s="18">
        <f t="shared" si="28"/>
        <v>2800</v>
      </c>
      <c r="Y42" s="18">
        <f t="shared" si="1"/>
        <v>700800</v>
      </c>
      <c r="Z42" s="26"/>
    </row>
    <row r="43" spans="1:26" ht="27.95" customHeight="1">
      <c r="A43" s="14" t="s">
        <v>122</v>
      </c>
      <c r="B43" s="24" t="s">
        <v>123</v>
      </c>
      <c r="C43" s="24"/>
      <c r="D43" s="45" t="s">
        <v>25</v>
      </c>
      <c r="E43" s="18">
        <f>E44</f>
        <v>517599.44999999995</v>
      </c>
      <c r="F43" s="18">
        <f t="shared" ref="F43:X43" si="29">F44</f>
        <v>197400</v>
      </c>
      <c r="G43" s="18">
        <f t="shared" si="29"/>
        <v>134278.19999999998</v>
      </c>
      <c r="H43" s="18">
        <f t="shared" si="29"/>
        <v>170335.94999999998</v>
      </c>
      <c r="I43" s="18">
        <f t="shared" si="29"/>
        <v>522704.39999999997</v>
      </c>
      <c r="J43" s="18">
        <f t="shared" si="29"/>
        <v>69477.45</v>
      </c>
      <c r="K43" s="18">
        <f t="shared" si="29"/>
        <v>191346.3</v>
      </c>
      <c r="L43" s="18">
        <f t="shared" si="29"/>
        <v>139283.54999999999</v>
      </c>
      <c r="M43" s="18">
        <f t="shared" si="29"/>
        <v>215373.15</v>
      </c>
      <c r="N43" s="18">
        <f t="shared" si="29"/>
        <v>147436.04999999999</v>
      </c>
      <c r="O43" s="18">
        <f t="shared" si="29"/>
        <v>64290</v>
      </c>
      <c r="P43" s="18">
        <f t="shared" si="29"/>
        <v>200240.1</v>
      </c>
      <c r="Q43" s="18">
        <f t="shared" si="29"/>
        <v>55978.8</v>
      </c>
      <c r="R43" s="18">
        <f t="shared" si="29"/>
        <v>69180</v>
      </c>
      <c r="S43" s="18">
        <f t="shared" si="29"/>
        <v>97500</v>
      </c>
      <c r="T43" s="18">
        <f t="shared" si="29"/>
        <v>104925</v>
      </c>
      <c r="U43" s="18">
        <f t="shared" si="29"/>
        <v>198000</v>
      </c>
      <c r="V43" s="18">
        <f t="shared" si="29"/>
        <v>99000</v>
      </c>
      <c r="W43" s="18">
        <f t="shared" si="29"/>
        <v>484158</v>
      </c>
      <c r="X43" s="18">
        <f t="shared" si="29"/>
        <v>42000</v>
      </c>
      <c r="Y43" s="18">
        <f t="shared" si="1"/>
        <v>3720506.3999999994</v>
      </c>
      <c r="Z43" s="26"/>
    </row>
    <row r="44" spans="1:26" s="44" customFormat="1" ht="27.95" customHeight="1">
      <c r="A44" s="14" t="s">
        <v>124</v>
      </c>
      <c r="B44" s="43" t="s">
        <v>125</v>
      </c>
      <c r="C44" s="43" t="s">
        <v>31</v>
      </c>
      <c r="D44" s="51" t="s">
        <v>126</v>
      </c>
      <c r="E44" s="18">
        <f>E72*15</f>
        <v>517599.44999999995</v>
      </c>
      <c r="F44" s="18">
        <f t="shared" ref="F44:X44" si="30">F72*15</f>
        <v>197400</v>
      </c>
      <c r="G44" s="18">
        <f t="shared" si="30"/>
        <v>134278.19999999998</v>
      </c>
      <c r="H44" s="18">
        <f t="shared" si="30"/>
        <v>170335.94999999998</v>
      </c>
      <c r="I44" s="18">
        <f t="shared" si="30"/>
        <v>522704.39999999997</v>
      </c>
      <c r="J44" s="18">
        <f t="shared" si="30"/>
        <v>69477.45</v>
      </c>
      <c r="K44" s="18">
        <f t="shared" si="30"/>
        <v>191346.3</v>
      </c>
      <c r="L44" s="18">
        <f t="shared" si="30"/>
        <v>139283.54999999999</v>
      </c>
      <c r="M44" s="18">
        <f t="shared" si="30"/>
        <v>215373.15</v>
      </c>
      <c r="N44" s="18">
        <f t="shared" si="30"/>
        <v>147436.04999999999</v>
      </c>
      <c r="O44" s="18">
        <f t="shared" si="30"/>
        <v>64290</v>
      </c>
      <c r="P44" s="18">
        <f t="shared" si="30"/>
        <v>200240.1</v>
      </c>
      <c r="Q44" s="18">
        <f t="shared" si="30"/>
        <v>55978.8</v>
      </c>
      <c r="R44" s="18">
        <f t="shared" si="30"/>
        <v>69180</v>
      </c>
      <c r="S44" s="18">
        <f t="shared" si="30"/>
        <v>97500</v>
      </c>
      <c r="T44" s="18">
        <f t="shared" si="30"/>
        <v>104925</v>
      </c>
      <c r="U44" s="18">
        <f t="shared" si="30"/>
        <v>198000</v>
      </c>
      <c r="V44" s="18">
        <f t="shared" si="30"/>
        <v>99000</v>
      </c>
      <c r="W44" s="18">
        <f t="shared" si="30"/>
        <v>484158</v>
      </c>
      <c r="X44" s="18">
        <f t="shared" si="30"/>
        <v>42000</v>
      </c>
      <c r="Y44" s="18">
        <f t="shared" si="1"/>
        <v>3720506.3999999994</v>
      </c>
      <c r="Z44" s="26"/>
    </row>
    <row r="45" spans="1:26" ht="27.95" customHeight="1">
      <c r="A45" s="14" t="s">
        <v>127</v>
      </c>
      <c r="B45" s="24" t="s">
        <v>128</v>
      </c>
      <c r="C45" s="24"/>
      <c r="D45" s="45" t="s">
        <v>25</v>
      </c>
      <c r="E45" s="18">
        <f>E46</f>
        <v>139576</v>
      </c>
      <c r="F45" s="18">
        <f t="shared" ref="F45:X45" si="31">F46</f>
        <v>69528</v>
      </c>
      <c r="G45" s="18">
        <f t="shared" si="31"/>
        <v>51968</v>
      </c>
      <c r="H45" s="18">
        <f t="shared" si="31"/>
        <v>32584</v>
      </c>
      <c r="I45" s="18">
        <f t="shared" si="31"/>
        <v>98712</v>
      </c>
      <c r="J45" s="18">
        <f t="shared" si="31"/>
        <v>25808</v>
      </c>
      <c r="K45" s="18">
        <f t="shared" si="31"/>
        <v>52960</v>
      </c>
      <c r="L45" s="18">
        <f t="shared" si="31"/>
        <v>28680</v>
      </c>
      <c r="M45" s="18">
        <f t="shared" si="31"/>
        <v>63040</v>
      </c>
      <c r="N45" s="18">
        <f t="shared" si="31"/>
        <v>42640</v>
      </c>
      <c r="O45" s="18">
        <f t="shared" si="31"/>
        <v>18800</v>
      </c>
      <c r="P45" s="18">
        <f t="shared" si="31"/>
        <v>48357.599999999999</v>
      </c>
      <c r="Q45" s="18">
        <f t="shared" si="31"/>
        <v>14288</v>
      </c>
      <c r="R45" s="18">
        <f t="shared" si="31"/>
        <v>13736</v>
      </c>
      <c r="S45" s="18">
        <f t="shared" si="31"/>
        <v>18496.8</v>
      </c>
      <c r="T45" s="18">
        <f t="shared" si="31"/>
        <v>29584.799999999999</v>
      </c>
      <c r="U45" s="18">
        <f t="shared" si="31"/>
        <v>32800</v>
      </c>
      <c r="V45" s="18">
        <f t="shared" si="31"/>
        <v>18499.599999999999</v>
      </c>
      <c r="W45" s="18">
        <f t="shared" si="31"/>
        <v>137634.4</v>
      </c>
      <c r="X45" s="18">
        <f t="shared" si="31"/>
        <v>0</v>
      </c>
      <c r="Y45" s="18">
        <f t="shared" si="1"/>
        <v>937693.20000000007</v>
      </c>
      <c r="Z45" s="26"/>
    </row>
    <row r="46" spans="1:26" s="44" customFormat="1" ht="27.95" customHeight="1">
      <c r="A46" s="14" t="s">
        <v>129</v>
      </c>
      <c r="B46" s="43" t="s">
        <v>130</v>
      </c>
      <c r="C46" s="43" t="s">
        <v>31</v>
      </c>
      <c r="D46" s="51" t="s">
        <v>131</v>
      </c>
      <c r="E46" s="18">
        <f>E73*8</f>
        <v>139576</v>
      </c>
      <c r="F46" s="18">
        <f t="shared" ref="F46:X46" si="32">F73*8</f>
        <v>69528</v>
      </c>
      <c r="G46" s="18">
        <f t="shared" si="32"/>
        <v>51968</v>
      </c>
      <c r="H46" s="18">
        <f t="shared" si="32"/>
        <v>32584</v>
      </c>
      <c r="I46" s="18">
        <f t="shared" si="32"/>
        <v>98712</v>
      </c>
      <c r="J46" s="18">
        <f t="shared" si="32"/>
        <v>25808</v>
      </c>
      <c r="K46" s="18">
        <f t="shared" si="32"/>
        <v>52960</v>
      </c>
      <c r="L46" s="18">
        <f t="shared" si="32"/>
        <v>28680</v>
      </c>
      <c r="M46" s="18">
        <f t="shared" si="32"/>
        <v>63040</v>
      </c>
      <c r="N46" s="18">
        <f t="shared" si="32"/>
        <v>42640</v>
      </c>
      <c r="O46" s="18">
        <f t="shared" si="32"/>
        <v>18800</v>
      </c>
      <c r="P46" s="18">
        <f t="shared" si="32"/>
        <v>48357.599999999999</v>
      </c>
      <c r="Q46" s="18">
        <f t="shared" si="32"/>
        <v>14288</v>
      </c>
      <c r="R46" s="18">
        <f t="shared" si="32"/>
        <v>13736</v>
      </c>
      <c r="S46" s="18">
        <f t="shared" si="32"/>
        <v>18496.8</v>
      </c>
      <c r="T46" s="18">
        <f t="shared" si="32"/>
        <v>29584.799999999999</v>
      </c>
      <c r="U46" s="18">
        <f t="shared" si="32"/>
        <v>32800</v>
      </c>
      <c r="V46" s="18">
        <f t="shared" si="32"/>
        <v>18499.599999999999</v>
      </c>
      <c r="W46" s="18">
        <f t="shared" si="32"/>
        <v>137634.4</v>
      </c>
      <c r="X46" s="18">
        <f t="shared" si="32"/>
        <v>0</v>
      </c>
      <c r="Y46" s="18">
        <f t="shared" si="1"/>
        <v>937693.20000000007</v>
      </c>
      <c r="Z46" s="26"/>
    </row>
    <row r="47" spans="1:26" ht="27.95" customHeight="1">
      <c r="A47" s="14" t="s">
        <v>132</v>
      </c>
      <c r="B47" s="24" t="s">
        <v>216</v>
      </c>
      <c r="C47" s="24"/>
      <c r="D47" s="45" t="s">
        <v>25</v>
      </c>
      <c r="E47" s="18">
        <f>E48+E49</f>
        <v>1684800</v>
      </c>
      <c r="F47" s="18">
        <f t="shared" ref="F47:X47" si="33">F48+F49</f>
        <v>604800</v>
      </c>
      <c r="G47" s="18">
        <f t="shared" si="33"/>
        <v>600480</v>
      </c>
      <c r="H47" s="18">
        <f t="shared" si="33"/>
        <v>436320</v>
      </c>
      <c r="I47" s="18">
        <f t="shared" si="33"/>
        <v>2000160</v>
      </c>
      <c r="J47" s="18">
        <f t="shared" si="33"/>
        <v>406080</v>
      </c>
      <c r="K47" s="18">
        <f t="shared" si="33"/>
        <v>725760</v>
      </c>
      <c r="L47" s="18">
        <f t="shared" si="33"/>
        <v>345600</v>
      </c>
      <c r="M47" s="18">
        <f t="shared" si="33"/>
        <v>565920</v>
      </c>
      <c r="N47" s="18">
        <f t="shared" si="33"/>
        <v>613440</v>
      </c>
      <c r="O47" s="18">
        <f t="shared" si="33"/>
        <v>345600</v>
      </c>
      <c r="P47" s="18">
        <f t="shared" si="33"/>
        <v>211680</v>
      </c>
      <c r="Q47" s="18">
        <f t="shared" si="33"/>
        <v>125280</v>
      </c>
      <c r="R47" s="18">
        <f t="shared" si="33"/>
        <v>293760</v>
      </c>
      <c r="S47" s="18">
        <f t="shared" si="33"/>
        <v>95040</v>
      </c>
      <c r="T47" s="18">
        <f t="shared" si="33"/>
        <v>82080</v>
      </c>
      <c r="U47" s="18">
        <f t="shared" si="33"/>
        <v>345600</v>
      </c>
      <c r="V47" s="18">
        <f t="shared" si="33"/>
        <v>43200</v>
      </c>
      <c r="W47" s="18">
        <f t="shared" si="33"/>
        <v>414720</v>
      </c>
      <c r="X47" s="18">
        <f t="shared" si="33"/>
        <v>64800</v>
      </c>
      <c r="Y47" s="18">
        <f t="shared" si="1"/>
        <v>10005120</v>
      </c>
      <c r="Z47" s="26"/>
    </row>
    <row r="48" spans="1:26" s="44" customFormat="1" ht="27.95" customHeight="1">
      <c r="A48" s="14" t="s">
        <v>134</v>
      </c>
      <c r="B48" s="43" t="s">
        <v>217</v>
      </c>
      <c r="C48" s="43" t="s">
        <v>31</v>
      </c>
      <c r="D48" s="51" t="s">
        <v>136</v>
      </c>
      <c r="E48" s="18">
        <f>E61*4320</f>
        <v>1162080</v>
      </c>
      <c r="F48" s="18">
        <f t="shared" ref="F48:X48" si="34">F61*4320</f>
        <v>397440</v>
      </c>
      <c r="G48" s="18">
        <f t="shared" si="34"/>
        <v>328320</v>
      </c>
      <c r="H48" s="18">
        <f t="shared" si="34"/>
        <v>432000</v>
      </c>
      <c r="I48" s="18">
        <f t="shared" si="34"/>
        <v>1537920</v>
      </c>
      <c r="J48" s="18">
        <f t="shared" si="34"/>
        <v>259200</v>
      </c>
      <c r="K48" s="18">
        <f t="shared" si="34"/>
        <v>578880</v>
      </c>
      <c r="L48" s="18">
        <f t="shared" si="34"/>
        <v>246240</v>
      </c>
      <c r="M48" s="18">
        <f t="shared" si="34"/>
        <v>552960</v>
      </c>
      <c r="N48" s="18">
        <f t="shared" si="34"/>
        <v>423360</v>
      </c>
      <c r="O48" s="18">
        <f t="shared" si="34"/>
        <v>190080</v>
      </c>
      <c r="P48" s="18">
        <f t="shared" si="34"/>
        <v>207360</v>
      </c>
      <c r="Q48" s="18">
        <f t="shared" si="34"/>
        <v>125280</v>
      </c>
      <c r="R48" s="18">
        <f t="shared" si="34"/>
        <v>181440</v>
      </c>
      <c r="S48" s="18">
        <f t="shared" si="34"/>
        <v>95040</v>
      </c>
      <c r="T48" s="18">
        <f t="shared" si="34"/>
        <v>82080</v>
      </c>
      <c r="U48" s="18">
        <f t="shared" si="34"/>
        <v>336960</v>
      </c>
      <c r="V48" s="18">
        <f t="shared" si="34"/>
        <v>43200</v>
      </c>
      <c r="W48" s="18">
        <f t="shared" si="34"/>
        <v>358560</v>
      </c>
      <c r="X48" s="18">
        <f t="shared" si="34"/>
        <v>30240</v>
      </c>
      <c r="Y48" s="18">
        <f t="shared" si="1"/>
        <v>7568640</v>
      </c>
      <c r="Z48" s="26"/>
    </row>
    <row r="49" spans="1:26" s="44" customFormat="1" ht="27.95" customHeight="1">
      <c r="A49" s="14" t="s">
        <v>137</v>
      </c>
      <c r="B49" s="43" t="s">
        <v>218</v>
      </c>
      <c r="C49" s="43" t="s">
        <v>31</v>
      </c>
      <c r="D49" s="51" t="s">
        <v>219</v>
      </c>
      <c r="E49" s="18">
        <f>E71*4320</f>
        <v>522720</v>
      </c>
      <c r="F49" s="18">
        <f t="shared" ref="F49:X49" si="35">F71*4320</f>
        <v>207360</v>
      </c>
      <c r="G49" s="18">
        <f t="shared" si="35"/>
        <v>272160</v>
      </c>
      <c r="H49" s="18">
        <f t="shared" si="35"/>
        <v>4320</v>
      </c>
      <c r="I49" s="18">
        <f t="shared" si="35"/>
        <v>462240</v>
      </c>
      <c r="J49" s="18">
        <f t="shared" si="35"/>
        <v>146880</v>
      </c>
      <c r="K49" s="18">
        <f t="shared" si="35"/>
        <v>146880</v>
      </c>
      <c r="L49" s="18">
        <f t="shared" si="35"/>
        <v>99360</v>
      </c>
      <c r="M49" s="18">
        <f t="shared" si="35"/>
        <v>12960</v>
      </c>
      <c r="N49" s="18">
        <f t="shared" si="35"/>
        <v>190080</v>
      </c>
      <c r="O49" s="18">
        <f t="shared" si="35"/>
        <v>155520</v>
      </c>
      <c r="P49" s="18">
        <f t="shared" si="35"/>
        <v>4320</v>
      </c>
      <c r="Q49" s="18">
        <f t="shared" si="35"/>
        <v>0</v>
      </c>
      <c r="R49" s="18">
        <f t="shared" si="35"/>
        <v>112320</v>
      </c>
      <c r="S49" s="18">
        <f t="shared" si="35"/>
        <v>0</v>
      </c>
      <c r="T49" s="18">
        <f t="shared" si="35"/>
        <v>0</v>
      </c>
      <c r="U49" s="18">
        <f t="shared" si="35"/>
        <v>8640</v>
      </c>
      <c r="V49" s="18">
        <f t="shared" si="35"/>
        <v>0</v>
      </c>
      <c r="W49" s="18">
        <f t="shared" si="35"/>
        <v>56160</v>
      </c>
      <c r="X49" s="18">
        <f t="shared" si="35"/>
        <v>34560</v>
      </c>
      <c r="Y49" s="18">
        <f t="shared" si="1"/>
        <v>2436480</v>
      </c>
      <c r="Z49" s="26"/>
    </row>
    <row r="50" spans="1:26" ht="27.95" customHeight="1">
      <c r="A50" s="14" t="s">
        <v>140</v>
      </c>
      <c r="B50" s="24" t="s">
        <v>220</v>
      </c>
      <c r="C50" s="24"/>
      <c r="D50" s="45" t="s">
        <v>25</v>
      </c>
      <c r="E50" s="18">
        <f>E51</f>
        <v>1471083.43</v>
      </c>
      <c r="F50" s="18">
        <f t="shared" ref="F50:X50" si="36">F51</f>
        <v>460515.43</v>
      </c>
      <c r="G50" s="18">
        <f t="shared" si="36"/>
        <v>373117.71</v>
      </c>
      <c r="H50" s="18">
        <f t="shared" si="36"/>
        <v>500057.14</v>
      </c>
      <c r="I50" s="18">
        <f t="shared" si="36"/>
        <v>1642590.86</v>
      </c>
      <c r="J50" s="18">
        <f t="shared" si="36"/>
        <v>283738.28999999998</v>
      </c>
      <c r="K50" s="18">
        <f t="shared" si="36"/>
        <v>636346.29</v>
      </c>
      <c r="L50" s="18">
        <f t="shared" si="36"/>
        <v>278952</v>
      </c>
      <c r="M50" s="18">
        <f t="shared" si="36"/>
        <v>615041.14</v>
      </c>
      <c r="N50" s="18">
        <f t="shared" si="36"/>
        <v>426510.86</v>
      </c>
      <c r="O50" s="18">
        <f t="shared" si="36"/>
        <v>190858.29</v>
      </c>
      <c r="P50" s="18">
        <f t="shared" si="36"/>
        <v>196213.71</v>
      </c>
      <c r="Q50" s="18">
        <f t="shared" si="36"/>
        <v>130618.29</v>
      </c>
      <c r="R50" s="18">
        <f t="shared" si="36"/>
        <v>182307.43</v>
      </c>
      <c r="S50" s="18">
        <f t="shared" si="36"/>
        <v>83650.289999999994</v>
      </c>
      <c r="T50" s="18">
        <f t="shared" si="36"/>
        <v>79193.14</v>
      </c>
      <c r="U50" s="18">
        <f t="shared" si="36"/>
        <v>351733.71</v>
      </c>
      <c r="V50" s="18">
        <f t="shared" si="36"/>
        <v>39048</v>
      </c>
      <c r="W50" s="18">
        <f t="shared" si="36"/>
        <v>349508.57</v>
      </c>
      <c r="X50" s="18">
        <f t="shared" si="36"/>
        <v>37052.57</v>
      </c>
      <c r="Y50" s="18">
        <f t="shared" si="1"/>
        <v>8328137.1500000004</v>
      </c>
      <c r="Z50" s="26"/>
    </row>
    <row r="51" spans="1:26" s="44" customFormat="1" ht="27.95" customHeight="1">
      <c r="A51" s="14" t="s">
        <v>142</v>
      </c>
      <c r="B51" s="43" t="s">
        <v>143</v>
      </c>
      <c r="C51" s="43" t="s">
        <v>31</v>
      </c>
      <c r="D51" s="26" t="s">
        <v>48</v>
      </c>
      <c r="E51" s="18">
        <f>ROUND(E29/0.07*0.02,2)</f>
        <v>1471083.43</v>
      </c>
      <c r="F51" s="18">
        <f t="shared" ref="F51:X51" si="37">ROUND(F29/0.07*0.02,2)</f>
        <v>460515.43</v>
      </c>
      <c r="G51" s="18">
        <f t="shared" si="37"/>
        <v>373117.71</v>
      </c>
      <c r="H51" s="18">
        <f t="shared" si="37"/>
        <v>500057.14</v>
      </c>
      <c r="I51" s="18">
        <f t="shared" si="37"/>
        <v>1642590.86</v>
      </c>
      <c r="J51" s="18">
        <f t="shared" si="37"/>
        <v>283738.28999999998</v>
      </c>
      <c r="K51" s="18">
        <f t="shared" si="37"/>
        <v>636346.29</v>
      </c>
      <c r="L51" s="18">
        <f t="shared" si="37"/>
        <v>278952</v>
      </c>
      <c r="M51" s="18">
        <f t="shared" si="37"/>
        <v>615041.14</v>
      </c>
      <c r="N51" s="18">
        <f t="shared" si="37"/>
        <v>426510.86</v>
      </c>
      <c r="O51" s="18">
        <f t="shared" si="37"/>
        <v>190858.29</v>
      </c>
      <c r="P51" s="18">
        <f t="shared" si="37"/>
        <v>196213.71</v>
      </c>
      <c r="Q51" s="18">
        <f t="shared" si="37"/>
        <v>130618.29</v>
      </c>
      <c r="R51" s="18">
        <f t="shared" si="37"/>
        <v>182307.43</v>
      </c>
      <c r="S51" s="18">
        <f t="shared" si="37"/>
        <v>83650.289999999994</v>
      </c>
      <c r="T51" s="18">
        <f t="shared" si="37"/>
        <v>79193.14</v>
      </c>
      <c r="U51" s="18">
        <f t="shared" si="37"/>
        <v>351733.71</v>
      </c>
      <c r="V51" s="18">
        <f t="shared" si="37"/>
        <v>39048</v>
      </c>
      <c r="W51" s="18">
        <f t="shared" si="37"/>
        <v>349508.57</v>
      </c>
      <c r="X51" s="18">
        <f t="shared" si="37"/>
        <v>37052.57</v>
      </c>
      <c r="Y51" s="18">
        <f t="shared" si="1"/>
        <v>8328137.1500000004</v>
      </c>
      <c r="Z51" s="26"/>
    </row>
    <row r="52" spans="1:26" ht="27.95" customHeight="1">
      <c r="A52" s="14" t="s">
        <v>144</v>
      </c>
      <c r="B52" s="24" t="s">
        <v>221</v>
      </c>
      <c r="C52" s="24"/>
      <c r="D52" s="45" t="s">
        <v>25</v>
      </c>
      <c r="E52" s="18">
        <f>E53</f>
        <v>32000</v>
      </c>
      <c r="F52" s="18">
        <f t="shared" ref="F52:X52" si="38">F53</f>
        <v>32000</v>
      </c>
      <c r="G52" s="18">
        <f t="shared" si="38"/>
        <v>32000</v>
      </c>
      <c r="H52" s="18">
        <f t="shared" si="38"/>
        <v>32000</v>
      </c>
      <c r="I52" s="18">
        <f t="shared" si="38"/>
        <v>32000</v>
      </c>
      <c r="J52" s="18">
        <f t="shared" si="38"/>
        <v>32000</v>
      </c>
      <c r="K52" s="18">
        <f t="shared" si="38"/>
        <v>0</v>
      </c>
      <c r="L52" s="18">
        <f t="shared" si="38"/>
        <v>32000</v>
      </c>
      <c r="M52" s="18">
        <f t="shared" si="38"/>
        <v>32000</v>
      </c>
      <c r="N52" s="18">
        <f t="shared" si="38"/>
        <v>32000</v>
      </c>
      <c r="O52" s="18">
        <f t="shared" si="38"/>
        <v>0</v>
      </c>
      <c r="P52" s="18">
        <f t="shared" si="38"/>
        <v>0</v>
      </c>
      <c r="Q52" s="18">
        <f t="shared" si="38"/>
        <v>32000</v>
      </c>
      <c r="R52" s="18">
        <f t="shared" si="38"/>
        <v>0</v>
      </c>
      <c r="S52" s="18">
        <f t="shared" si="38"/>
        <v>0</v>
      </c>
      <c r="T52" s="18">
        <f t="shared" si="38"/>
        <v>0</v>
      </c>
      <c r="U52" s="18">
        <f t="shared" si="38"/>
        <v>0</v>
      </c>
      <c r="V52" s="18">
        <f t="shared" si="38"/>
        <v>0</v>
      </c>
      <c r="W52" s="18">
        <f t="shared" si="38"/>
        <v>0</v>
      </c>
      <c r="X52" s="18">
        <f t="shared" si="38"/>
        <v>0</v>
      </c>
      <c r="Y52" s="18">
        <f t="shared" si="1"/>
        <v>320000</v>
      </c>
      <c r="Z52" s="26"/>
    </row>
    <row r="53" spans="1:26" ht="27.95" customHeight="1">
      <c r="A53" s="14" t="s">
        <v>146</v>
      </c>
      <c r="B53" s="24" t="s">
        <v>147</v>
      </c>
      <c r="C53" s="24" t="s">
        <v>31</v>
      </c>
      <c r="D53" s="27" t="s">
        <v>148</v>
      </c>
      <c r="E53" s="25">
        <v>32000</v>
      </c>
      <c r="F53" s="25">
        <v>32000</v>
      </c>
      <c r="G53" s="25">
        <v>32000</v>
      </c>
      <c r="H53" s="25">
        <v>32000</v>
      </c>
      <c r="I53" s="25">
        <v>32000</v>
      </c>
      <c r="J53" s="25">
        <v>32000</v>
      </c>
      <c r="K53" s="25"/>
      <c r="L53" s="25">
        <v>32000</v>
      </c>
      <c r="M53" s="25">
        <v>32000</v>
      </c>
      <c r="N53" s="25">
        <v>32000</v>
      </c>
      <c r="O53" s="25"/>
      <c r="P53" s="25"/>
      <c r="Q53" s="25">
        <v>32000</v>
      </c>
      <c r="R53" s="25"/>
      <c r="S53" s="25"/>
      <c r="T53" s="25"/>
      <c r="U53" s="25"/>
      <c r="V53" s="25"/>
      <c r="W53" s="25"/>
      <c r="X53" s="25"/>
      <c r="Y53" s="18">
        <f t="shared" si="1"/>
        <v>320000</v>
      </c>
      <c r="Z53" s="26"/>
    </row>
    <row r="54" spans="1:26" ht="27.95" customHeight="1">
      <c r="A54" s="14" t="s">
        <v>149</v>
      </c>
      <c r="B54" s="24" t="s">
        <v>222</v>
      </c>
      <c r="C54" s="24"/>
      <c r="D54" s="45" t="s">
        <v>25</v>
      </c>
      <c r="E54" s="18">
        <f>E55+E57</f>
        <v>55250</v>
      </c>
      <c r="F54" s="18">
        <f t="shared" ref="F54:X54" si="39">F55+F57</f>
        <v>23400</v>
      </c>
      <c r="G54" s="18">
        <f t="shared" si="39"/>
        <v>26400</v>
      </c>
      <c r="H54" s="18">
        <f t="shared" si="39"/>
        <v>5150</v>
      </c>
      <c r="I54" s="18">
        <f t="shared" si="39"/>
        <v>67800</v>
      </c>
      <c r="J54" s="18">
        <f t="shared" si="39"/>
        <v>14100</v>
      </c>
      <c r="K54" s="18">
        <f t="shared" si="39"/>
        <v>17600</v>
      </c>
      <c r="L54" s="18">
        <f t="shared" si="39"/>
        <v>9800</v>
      </c>
      <c r="M54" s="18">
        <f t="shared" si="39"/>
        <v>11200</v>
      </c>
      <c r="N54" s="18">
        <f t="shared" si="39"/>
        <v>19350</v>
      </c>
      <c r="O54" s="18">
        <f t="shared" si="39"/>
        <v>16400</v>
      </c>
      <c r="P54" s="18">
        <f t="shared" si="39"/>
        <v>4600</v>
      </c>
      <c r="Q54" s="18">
        <f t="shared" si="39"/>
        <v>2500</v>
      </c>
      <c r="R54" s="18">
        <f t="shared" si="39"/>
        <v>11000</v>
      </c>
      <c r="S54" s="18">
        <f t="shared" si="39"/>
        <v>600</v>
      </c>
      <c r="T54" s="18">
        <f t="shared" si="39"/>
        <v>1250</v>
      </c>
      <c r="U54" s="18">
        <f t="shared" si="39"/>
        <v>2950</v>
      </c>
      <c r="V54" s="18">
        <f t="shared" si="39"/>
        <v>0</v>
      </c>
      <c r="W54" s="18">
        <f t="shared" si="39"/>
        <v>9200</v>
      </c>
      <c r="X54" s="18">
        <f t="shared" si="39"/>
        <v>3200</v>
      </c>
      <c r="Y54" s="18">
        <f t="shared" si="1"/>
        <v>301750</v>
      </c>
      <c r="Z54" s="26"/>
    </row>
    <row r="55" spans="1:26" ht="27.95" customHeight="1">
      <c r="A55" s="14" t="s">
        <v>151</v>
      </c>
      <c r="B55" s="24" t="s">
        <v>223</v>
      </c>
      <c r="C55" s="24" t="s">
        <v>31</v>
      </c>
      <c r="D55" s="45" t="s">
        <v>25</v>
      </c>
      <c r="E55" s="18">
        <f>E56</f>
        <v>48400</v>
      </c>
      <c r="F55" s="18">
        <f t="shared" ref="F55:X55" si="40">F56</f>
        <v>19200</v>
      </c>
      <c r="G55" s="18">
        <f t="shared" si="40"/>
        <v>25200</v>
      </c>
      <c r="H55" s="18">
        <f t="shared" si="40"/>
        <v>400</v>
      </c>
      <c r="I55" s="18">
        <f t="shared" si="40"/>
        <v>42800</v>
      </c>
      <c r="J55" s="18">
        <f t="shared" si="40"/>
        <v>13600</v>
      </c>
      <c r="K55" s="18">
        <f t="shared" si="40"/>
        <v>13600</v>
      </c>
      <c r="L55" s="18">
        <f t="shared" si="40"/>
        <v>9200</v>
      </c>
      <c r="M55" s="18">
        <f t="shared" si="40"/>
        <v>1200</v>
      </c>
      <c r="N55" s="18">
        <f t="shared" si="40"/>
        <v>17600</v>
      </c>
      <c r="O55" s="18">
        <f t="shared" si="40"/>
        <v>14400</v>
      </c>
      <c r="P55" s="18">
        <f t="shared" si="40"/>
        <v>400</v>
      </c>
      <c r="Q55" s="18">
        <f t="shared" si="40"/>
        <v>0</v>
      </c>
      <c r="R55" s="18">
        <f t="shared" si="40"/>
        <v>10400</v>
      </c>
      <c r="S55" s="18">
        <f t="shared" si="40"/>
        <v>0</v>
      </c>
      <c r="T55" s="18">
        <f t="shared" si="40"/>
        <v>0</v>
      </c>
      <c r="U55" s="18">
        <f t="shared" si="40"/>
        <v>800</v>
      </c>
      <c r="V55" s="18">
        <f t="shared" si="40"/>
        <v>0</v>
      </c>
      <c r="W55" s="18">
        <f t="shared" si="40"/>
        <v>5200</v>
      </c>
      <c r="X55" s="18">
        <f t="shared" si="40"/>
        <v>3200</v>
      </c>
      <c r="Y55" s="18">
        <f t="shared" si="1"/>
        <v>225600</v>
      </c>
      <c r="Z55" s="26"/>
    </row>
    <row r="56" spans="1:26" s="44" customFormat="1" ht="27.95" customHeight="1">
      <c r="A56" s="14" t="s">
        <v>153</v>
      </c>
      <c r="B56" s="43" t="s">
        <v>154</v>
      </c>
      <c r="C56" s="43" t="s">
        <v>31</v>
      </c>
      <c r="D56" s="51" t="s">
        <v>224</v>
      </c>
      <c r="E56" s="18">
        <f>E71*400</f>
        <v>48400</v>
      </c>
      <c r="F56" s="18">
        <f t="shared" ref="F56:X56" si="41">F71*400</f>
        <v>19200</v>
      </c>
      <c r="G56" s="18">
        <f t="shared" si="41"/>
        <v>25200</v>
      </c>
      <c r="H56" s="18">
        <f t="shared" si="41"/>
        <v>400</v>
      </c>
      <c r="I56" s="18">
        <f t="shared" si="41"/>
        <v>42800</v>
      </c>
      <c r="J56" s="18">
        <f t="shared" si="41"/>
        <v>13600</v>
      </c>
      <c r="K56" s="18">
        <f t="shared" si="41"/>
        <v>13600</v>
      </c>
      <c r="L56" s="18">
        <f t="shared" si="41"/>
        <v>9200</v>
      </c>
      <c r="M56" s="18">
        <f t="shared" si="41"/>
        <v>1200</v>
      </c>
      <c r="N56" s="18">
        <f t="shared" si="41"/>
        <v>17600</v>
      </c>
      <c r="O56" s="18">
        <f t="shared" si="41"/>
        <v>14400</v>
      </c>
      <c r="P56" s="18">
        <f t="shared" si="41"/>
        <v>400</v>
      </c>
      <c r="Q56" s="18">
        <f t="shared" si="41"/>
        <v>0</v>
      </c>
      <c r="R56" s="18">
        <f t="shared" si="41"/>
        <v>10400</v>
      </c>
      <c r="S56" s="18">
        <f t="shared" si="41"/>
        <v>0</v>
      </c>
      <c r="T56" s="18">
        <f t="shared" si="41"/>
        <v>0</v>
      </c>
      <c r="U56" s="18">
        <f t="shared" si="41"/>
        <v>800</v>
      </c>
      <c r="V56" s="18">
        <f t="shared" si="41"/>
        <v>0</v>
      </c>
      <c r="W56" s="18">
        <f t="shared" si="41"/>
        <v>5200</v>
      </c>
      <c r="X56" s="18">
        <f t="shared" si="41"/>
        <v>3200</v>
      </c>
      <c r="Y56" s="18">
        <f t="shared" si="1"/>
        <v>225600</v>
      </c>
      <c r="Z56" s="26"/>
    </row>
    <row r="57" spans="1:26" ht="27.95" customHeight="1">
      <c r="A57" s="14" t="s">
        <v>156</v>
      </c>
      <c r="B57" s="24" t="s">
        <v>225</v>
      </c>
      <c r="C57" s="24" t="s">
        <v>31</v>
      </c>
      <c r="D57" s="27" t="s">
        <v>158</v>
      </c>
      <c r="E57" s="52">
        <v>6850</v>
      </c>
      <c r="F57" s="52">
        <v>4200</v>
      </c>
      <c r="G57" s="52">
        <v>1200</v>
      </c>
      <c r="H57" s="52">
        <v>4750</v>
      </c>
      <c r="I57" s="52">
        <v>25000</v>
      </c>
      <c r="J57" s="52">
        <v>500</v>
      </c>
      <c r="K57" s="52">
        <v>4000</v>
      </c>
      <c r="L57" s="52">
        <v>600</v>
      </c>
      <c r="M57" s="52">
        <v>10000</v>
      </c>
      <c r="N57" s="52">
        <v>1750</v>
      </c>
      <c r="O57" s="52">
        <v>2000</v>
      </c>
      <c r="P57" s="52">
        <v>4200</v>
      </c>
      <c r="Q57" s="52">
        <v>2500</v>
      </c>
      <c r="R57" s="52">
        <v>600</v>
      </c>
      <c r="S57" s="52">
        <v>600</v>
      </c>
      <c r="T57" s="52">
        <v>1250</v>
      </c>
      <c r="U57" s="52">
        <v>2150</v>
      </c>
      <c r="V57" s="52">
        <v>0</v>
      </c>
      <c r="W57" s="52">
        <v>4000</v>
      </c>
      <c r="X57" s="52"/>
      <c r="Y57" s="18">
        <f t="shared" si="1"/>
        <v>76150</v>
      </c>
      <c r="Z57" s="16"/>
    </row>
    <row r="58" spans="1:26" ht="27.95" customHeight="1">
      <c r="A58" s="14" t="s">
        <v>159</v>
      </c>
      <c r="B58" s="24" t="s">
        <v>226</v>
      </c>
      <c r="C58" s="24"/>
      <c r="D58" s="45" t="s">
        <v>25</v>
      </c>
      <c r="E58" s="18">
        <f>E59</f>
        <v>10000</v>
      </c>
      <c r="F58" s="18">
        <f t="shared" ref="F58:X58" si="42">F59</f>
        <v>0</v>
      </c>
      <c r="G58" s="18">
        <f t="shared" si="42"/>
        <v>0</v>
      </c>
      <c r="H58" s="18">
        <f t="shared" si="42"/>
        <v>10000</v>
      </c>
      <c r="I58" s="18">
        <f t="shared" si="42"/>
        <v>20000</v>
      </c>
      <c r="J58" s="18">
        <f t="shared" si="42"/>
        <v>0</v>
      </c>
      <c r="K58" s="18">
        <f t="shared" si="42"/>
        <v>32000</v>
      </c>
      <c r="L58" s="18">
        <f t="shared" si="42"/>
        <v>0</v>
      </c>
      <c r="M58" s="18">
        <f t="shared" si="42"/>
        <v>0</v>
      </c>
      <c r="N58" s="18">
        <f t="shared" si="42"/>
        <v>20000</v>
      </c>
      <c r="O58" s="18">
        <f t="shared" si="42"/>
        <v>32000</v>
      </c>
      <c r="P58" s="18">
        <f t="shared" si="42"/>
        <v>32000</v>
      </c>
      <c r="Q58" s="18">
        <f t="shared" si="42"/>
        <v>0</v>
      </c>
      <c r="R58" s="18">
        <f t="shared" si="42"/>
        <v>32000</v>
      </c>
      <c r="S58" s="18">
        <f t="shared" si="42"/>
        <v>32000</v>
      </c>
      <c r="T58" s="18">
        <f t="shared" si="42"/>
        <v>32000</v>
      </c>
      <c r="U58" s="18">
        <f t="shared" si="42"/>
        <v>32000</v>
      </c>
      <c r="V58" s="18">
        <f t="shared" si="42"/>
        <v>32000</v>
      </c>
      <c r="W58" s="18">
        <f t="shared" si="42"/>
        <v>32000</v>
      </c>
      <c r="X58" s="18">
        <f t="shared" si="42"/>
        <v>32000</v>
      </c>
      <c r="Y58" s="18">
        <f t="shared" si="1"/>
        <v>380000</v>
      </c>
      <c r="Z58" s="26"/>
    </row>
    <row r="59" spans="1:26" ht="27.95" customHeight="1" thickBot="1">
      <c r="A59" s="14" t="s">
        <v>161</v>
      </c>
      <c r="B59" s="53" t="s">
        <v>162</v>
      </c>
      <c r="C59" s="24" t="s">
        <v>31</v>
      </c>
      <c r="D59" s="54" t="s">
        <v>227</v>
      </c>
      <c r="E59" s="34">
        <v>10000</v>
      </c>
      <c r="F59" s="34"/>
      <c r="G59" s="34"/>
      <c r="H59" s="34">
        <v>10000</v>
      </c>
      <c r="I59" s="34">
        <v>20000</v>
      </c>
      <c r="J59" s="34"/>
      <c r="K59" s="34">
        <v>32000</v>
      </c>
      <c r="L59" s="34"/>
      <c r="M59" s="34"/>
      <c r="N59" s="34">
        <v>20000</v>
      </c>
      <c r="O59" s="34">
        <v>32000</v>
      </c>
      <c r="P59" s="34">
        <v>32000</v>
      </c>
      <c r="Q59" s="34"/>
      <c r="R59" s="34">
        <v>32000</v>
      </c>
      <c r="S59" s="34">
        <v>32000</v>
      </c>
      <c r="T59" s="34">
        <v>32000</v>
      </c>
      <c r="U59" s="34">
        <v>32000</v>
      </c>
      <c r="V59" s="34">
        <v>32000</v>
      </c>
      <c r="W59" s="34">
        <v>32000</v>
      </c>
      <c r="X59" s="34">
        <v>32000</v>
      </c>
      <c r="Y59" s="18">
        <f t="shared" si="1"/>
        <v>380000</v>
      </c>
      <c r="Z59" s="55"/>
    </row>
    <row r="60" spans="1:26" ht="27.95" customHeight="1" thickTop="1">
      <c r="A60" s="14" t="s">
        <v>164</v>
      </c>
      <c r="B60" s="56" t="s">
        <v>165</v>
      </c>
      <c r="C60" s="56"/>
      <c r="D60" s="57"/>
      <c r="E60" s="58"/>
      <c r="F60" s="58"/>
      <c r="G60" s="58"/>
      <c r="H60" s="58"/>
      <c r="I60" s="58"/>
      <c r="J60" s="58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18">
        <f t="shared" si="1"/>
        <v>0</v>
      </c>
      <c r="Z60" s="59"/>
    </row>
    <row r="61" spans="1:26" ht="27.95" customHeight="1">
      <c r="A61" s="14" t="s">
        <v>166</v>
      </c>
      <c r="B61" s="24" t="s">
        <v>167</v>
      </c>
      <c r="C61" s="24"/>
      <c r="D61" s="45" t="s">
        <v>228</v>
      </c>
      <c r="E61" s="18">
        <f>E62+E63+E64+E65</f>
        <v>269</v>
      </c>
      <c r="F61" s="18">
        <f t="shared" ref="F61:X61" si="43">F62+F63+F64+F65</f>
        <v>92</v>
      </c>
      <c r="G61" s="18">
        <f t="shared" si="43"/>
        <v>76</v>
      </c>
      <c r="H61" s="18">
        <f t="shared" si="43"/>
        <v>100</v>
      </c>
      <c r="I61" s="18">
        <f t="shared" si="43"/>
        <v>356</v>
      </c>
      <c r="J61" s="18">
        <f t="shared" si="43"/>
        <v>60</v>
      </c>
      <c r="K61" s="18">
        <f t="shared" si="43"/>
        <v>134</v>
      </c>
      <c r="L61" s="18">
        <f t="shared" si="43"/>
        <v>57</v>
      </c>
      <c r="M61" s="18">
        <f t="shared" si="43"/>
        <v>128</v>
      </c>
      <c r="N61" s="18">
        <f t="shared" si="43"/>
        <v>98</v>
      </c>
      <c r="O61" s="18">
        <f t="shared" si="43"/>
        <v>44</v>
      </c>
      <c r="P61" s="18">
        <f t="shared" si="43"/>
        <v>48</v>
      </c>
      <c r="Q61" s="18">
        <f t="shared" si="43"/>
        <v>29</v>
      </c>
      <c r="R61" s="18">
        <f t="shared" si="43"/>
        <v>42</v>
      </c>
      <c r="S61" s="18">
        <f t="shared" si="43"/>
        <v>22</v>
      </c>
      <c r="T61" s="18">
        <f t="shared" si="43"/>
        <v>19</v>
      </c>
      <c r="U61" s="18">
        <f t="shared" si="43"/>
        <v>78</v>
      </c>
      <c r="V61" s="18">
        <f t="shared" si="43"/>
        <v>10</v>
      </c>
      <c r="W61" s="18">
        <f t="shared" si="43"/>
        <v>83</v>
      </c>
      <c r="X61" s="18">
        <f t="shared" si="43"/>
        <v>7</v>
      </c>
      <c r="Y61" s="18">
        <f t="shared" si="1"/>
        <v>1752</v>
      </c>
      <c r="Z61" s="26"/>
    </row>
    <row r="62" spans="1:26" ht="27.95" customHeight="1">
      <c r="A62" s="14" t="s">
        <v>169</v>
      </c>
      <c r="B62" s="60" t="s">
        <v>170</v>
      </c>
      <c r="C62" s="60"/>
      <c r="D62" s="16"/>
      <c r="E62" s="17">
        <v>269</v>
      </c>
      <c r="F62" s="17">
        <v>92</v>
      </c>
      <c r="G62" s="17">
        <v>76</v>
      </c>
      <c r="H62" s="17">
        <v>100</v>
      </c>
      <c r="I62" s="17"/>
      <c r="J62" s="17"/>
      <c r="K62" s="17"/>
      <c r="L62" s="17"/>
      <c r="M62" s="17"/>
      <c r="N62" s="17"/>
      <c r="O62" s="17"/>
      <c r="P62" s="17"/>
      <c r="Q62" s="17"/>
      <c r="R62" s="17"/>
      <c r="S62" s="17"/>
      <c r="T62" s="17"/>
      <c r="U62" s="17"/>
      <c r="V62" s="17"/>
      <c r="W62" s="17">
        <v>60</v>
      </c>
      <c r="X62" s="17"/>
      <c r="Y62" s="18">
        <f t="shared" si="1"/>
        <v>597</v>
      </c>
      <c r="Z62" s="26"/>
    </row>
    <row r="63" spans="1:26" ht="27.95" customHeight="1">
      <c r="A63" s="14" t="s">
        <v>171</v>
      </c>
      <c r="B63" s="60" t="s">
        <v>172</v>
      </c>
      <c r="C63" s="60"/>
      <c r="D63" s="45"/>
      <c r="E63" s="25"/>
      <c r="F63" s="25"/>
      <c r="G63" s="25"/>
      <c r="H63" s="25"/>
      <c r="I63" s="25">
        <v>356</v>
      </c>
      <c r="J63" s="25">
        <v>60</v>
      </c>
      <c r="K63" s="25">
        <v>134</v>
      </c>
      <c r="L63" s="25">
        <v>57</v>
      </c>
      <c r="M63" s="25">
        <v>128</v>
      </c>
      <c r="N63" s="25"/>
      <c r="O63" s="25"/>
      <c r="P63" s="25"/>
      <c r="Q63" s="25"/>
      <c r="R63" s="25"/>
      <c r="S63" s="25"/>
      <c r="T63" s="25"/>
      <c r="U63" s="25"/>
      <c r="V63" s="25"/>
      <c r="W63" s="25">
        <v>23</v>
      </c>
      <c r="X63" s="25"/>
      <c r="Y63" s="18">
        <f t="shared" si="1"/>
        <v>758</v>
      </c>
      <c r="Z63" s="26"/>
    </row>
    <row r="64" spans="1:26" ht="27.95" customHeight="1">
      <c r="A64" s="14" t="s">
        <v>173</v>
      </c>
      <c r="B64" s="60" t="s">
        <v>174</v>
      </c>
      <c r="C64" s="60"/>
      <c r="D64" s="16"/>
      <c r="E64" s="17"/>
      <c r="F64" s="17"/>
      <c r="G64" s="17"/>
      <c r="H64" s="17"/>
      <c r="I64" s="17"/>
      <c r="J64" s="17"/>
      <c r="K64" s="17"/>
      <c r="L64" s="17"/>
      <c r="M64" s="17"/>
      <c r="N64" s="17">
        <v>98</v>
      </c>
      <c r="O64" s="17">
        <v>44</v>
      </c>
      <c r="P64" s="17">
        <v>48</v>
      </c>
      <c r="Q64" s="17">
        <v>29</v>
      </c>
      <c r="R64" s="17">
        <v>42</v>
      </c>
      <c r="S64" s="17">
        <v>22</v>
      </c>
      <c r="T64" s="17">
        <v>19</v>
      </c>
      <c r="U64" s="17">
        <v>78</v>
      </c>
      <c r="V64" s="17">
        <v>10</v>
      </c>
      <c r="W64" s="17"/>
      <c r="X64" s="17"/>
      <c r="Y64" s="18">
        <f t="shared" si="1"/>
        <v>390</v>
      </c>
      <c r="Z64" s="26"/>
    </row>
    <row r="65" spans="1:26" ht="27.95" customHeight="1">
      <c r="A65" s="14" t="s">
        <v>175</v>
      </c>
      <c r="B65" s="60" t="s">
        <v>176</v>
      </c>
      <c r="C65" s="60"/>
      <c r="D65" s="16"/>
      <c r="E65" s="17"/>
      <c r="F65" s="17"/>
      <c r="G65" s="17"/>
      <c r="H65" s="17"/>
      <c r="I65" s="17"/>
      <c r="J65" s="17"/>
      <c r="K65" s="17"/>
      <c r="L65" s="17"/>
      <c r="M65" s="17"/>
      <c r="N65" s="17"/>
      <c r="O65" s="17"/>
      <c r="P65" s="17"/>
      <c r="Q65" s="17"/>
      <c r="R65" s="17"/>
      <c r="S65" s="17"/>
      <c r="T65" s="17"/>
      <c r="U65" s="17"/>
      <c r="V65" s="17"/>
      <c r="W65" s="17"/>
      <c r="X65" s="17">
        <v>7</v>
      </c>
      <c r="Y65" s="18">
        <f t="shared" si="1"/>
        <v>7</v>
      </c>
      <c r="Z65" s="26"/>
    </row>
    <row r="66" spans="1:26" ht="27.95" customHeight="1">
      <c r="A66" s="14" t="s">
        <v>177</v>
      </c>
      <c r="B66" s="24" t="s">
        <v>178</v>
      </c>
      <c r="C66" s="24"/>
      <c r="D66" s="45" t="s">
        <v>229</v>
      </c>
      <c r="E66" s="18">
        <f>E67+E68+E69+E70</f>
        <v>3448</v>
      </c>
      <c r="F66" s="18">
        <f t="shared" ref="F66:X66" si="44">F67+F68+F69+F70</f>
        <v>1280</v>
      </c>
      <c r="G66" s="18">
        <f t="shared" si="44"/>
        <v>1053</v>
      </c>
      <c r="H66" s="18">
        <f t="shared" si="44"/>
        <v>1580</v>
      </c>
      <c r="I66" s="18">
        <f t="shared" si="44"/>
        <v>5697</v>
      </c>
      <c r="J66" s="18">
        <f t="shared" si="44"/>
        <v>788</v>
      </c>
      <c r="K66" s="18">
        <f t="shared" si="44"/>
        <v>2410</v>
      </c>
      <c r="L66" s="18">
        <f t="shared" si="44"/>
        <v>785</v>
      </c>
      <c r="M66" s="18">
        <f t="shared" si="44"/>
        <v>2110</v>
      </c>
      <c r="N66" s="18">
        <f t="shared" si="44"/>
        <v>1030</v>
      </c>
      <c r="O66" s="18">
        <f t="shared" si="44"/>
        <v>406</v>
      </c>
      <c r="P66" s="18">
        <f t="shared" si="44"/>
        <v>591</v>
      </c>
      <c r="Q66" s="18">
        <f t="shared" si="44"/>
        <v>346</v>
      </c>
      <c r="R66" s="18">
        <f t="shared" si="44"/>
        <v>402</v>
      </c>
      <c r="S66" s="18">
        <f t="shared" si="44"/>
        <v>271</v>
      </c>
      <c r="T66" s="18">
        <f t="shared" si="44"/>
        <v>229</v>
      </c>
      <c r="U66" s="18">
        <f t="shared" si="44"/>
        <v>626</v>
      </c>
      <c r="V66" s="18">
        <f t="shared" si="44"/>
        <v>115</v>
      </c>
      <c r="W66" s="18">
        <f t="shared" si="44"/>
        <v>1403</v>
      </c>
      <c r="X66" s="18">
        <f t="shared" si="44"/>
        <v>0</v>
      </c>
      <c r="Y66" s="18">
        <f t="shared" si="1"/>
        <v>24570</v>
      </c>
      <c r="Z66" s="26"/>
    </row>
    <row r="67" spans="1:26" ht="27.95" customHeight="1">
      <c r="A67" s="14" t="s">
        <v>180</v>
      </c>
      <c r="B67" s="60" t="s">
        <v>170</v>
      </c>
      <c r="C67" s="60"/>
      <c r="D67" s="16"/>
      <c r="E67" s="17">
        <v>3448</v>
      </c>
      <c r="F67" s="17">
        <v>1280</v>
      </c>
      <c r="G67" s="17">
        <v>1053</v>
      </c>
      <c r="H67" s="17">
        <v>1580</v>
      </c>
      <c r="I67" s="17"/>
      <c r="J67" s="17"/>
      <c r="K67" s="17"/>
      <c r="L67" s="17"/>
      <c r="M67" s="17"/>
      <c r="N67" s="17"/>
      <c r="O67" s="17"/>
      <c r="P67" s="17"/>
      <c r="Q67" s="17"/>
      <c r="R67" s="17"/>
      <c r="S67" s="17"/>
      <c r="T67" s="17"/>
      <c r="U67" s="17"/>
      <c r="V67" s="17"/>
      <c r="W67" s="17">
        <v>875</v>
      </c>
      <c r="X67" s="17"/>
      <c r="Y67" s="18">
        <f t="shared" ref="Y67:Y73" si="45">SUM(E67:X67)</f>
        <v>8236</v>
      </c>
      <c r="Z67" s="26"/>
    </row>
    <row r="68" spans="1:26" ht="27.95" customHeight="1">
      <c r="A68" s="14" t="s">
        <v>181</v>
      </c>
      <c r="B68" s="60" t="s">
        <v>172</v>
      </c>
      <c r="C68" s="60"/>
      <c r="D68" s="45"/>
      <c r="E68" s="25"/>
      <c r="F68" s="25"/>
      <c r="G68" s="25"/>
      <c r="H68" s="25"/>
      <c r="I68" s="25">
        <v>5697</v>
      </c>
      <c r="J68" s="25">
        <v>788</v>
      </c>
      <c r="K68" s="25">
        <v>2410</v>
      </c>
      <c r="L68" s="25">
        <v>785</v>
      </c>
      <c r="M68" s="25">
        <v>2110</v>
      </c>
      <c r="N68" s="25"/>
      <c r="O68" s="25"/>
      <c r="P68" s="25"/>
      <c r="Q68" s="25"/>
      <c r="R68" s="25"/>
      <c r="S68" s="25"/>
      <c r="T68" s="25"/>
      <c r="U68" s="25"/>
      <c r="V68" s="25"/>
      <c r="W68" s="25">
        <v>528</v>
      </c>
      <c r="X68" s="25"/>
      <c r="Y68" s="18">
        <f t="shared" si="45"/>
        <v>12318</v>
      </c>
      <c r="Z68" s="26"/>
    </row>
    <row r="69" spans="1:26" ht="27.95" customHeight="1">
      <c r="A69" s="14" t="s">
        <v>182</v>
      </c>
      <c r="B69" s="60" t="s">
        <v>174</v>
      </c>
      <c r="C69" s="60"/>
      <c r="D69" s="16"/>
      <c r="E69" s="17"/>
      <c r="F69" s="17"/>
      <c r="G69" s="17"/>
      <c r="H69" s="17"/>
      <c r="I69" s="17"/>
      <c r="J69" s="17"/>
      <c r="K69" s="17"/>
      <c r="L69" s="17"/>
      <c r="M69" s="17"/>
      <c r="N69" s="17">
        <v>1030</v>
      </c>
      <c r="O69" s="17">
        <v>406</v>
      </c>
      <c r="P69" s="17">
        <v>591</v>
      </c>
      <c r="Q69" s="17">
        <v>346</v>
      </c>
      <c r="R69" s="17">
        <v>402</v>
      </c>
      <c r="S69" s="17">
        <v>271</v>
      </c>
      <c r="T69" s="17">
        <v>229</v>
      </c>
      <c r="U69" s="17">
        <v>626</v>
      </c>
      <c r="V69" s="17">
        <v>115</v>
      </c>
      <c r="W69" s="17"/>
      <c r="X69" s="17"/>
      <c r="Y69" s="18">
        <f t="shared" si="45"/>
        <v>4016</v>
      </c>
      <c r="Z69" s="26"/>
    </row>
    <row r="70" spans="1:26" ht="27.95" customHeight="1">
      <c r="A70" s="14" t="s">
        <v>183</v>
      </c>
      <c r="B70" s="60" t="s">
        <v>176</v>
      </c>
      <c r="C70" s="60"/>
      <c r="D70" s="16"/>
      <c r="E70" s="17"/>
      <c r="F70" s="17"/>
      <c r="G70" s="17"/>
      <c r="H70" s="17"/>
      <c r="I70" s="17"/>
      <c r="J70" s="17"/>
      <c r="K70" s="17"/>
      <c r="L70" s="17"/>
      <c r="M70" s="17"/>
      <c r="N70" s="17"/>
      <c r="O70" s="17"/>
      <c r="P70" s="17"/>
      <c r="Q70" s="17"/>
      <c r="R70" s="17"/>
      <c r="S70" s="17"/>
      <c r="T70" s="17"/>
      <c r="U70" s="17"/>
      <c r="V70" s="17"/>
      <c r="W70" s="17"/>
      <c r="X70" s="17"/>
      <c r="Y70" s="18">
        <f t="shared" si="45"/>
        <v>0</v>
      </c>
      <c r="Z70" s="26"/>
    </row>
    <row r="71" spans="1:26" ht="27.95" customHeight="1">
      <c r="A71" s="14" t="s">
        <v>184</v>
      </c>
      <c r="B71" s="24" t="s">
        <v>230</v>
      </c>
      <c r="C71" s="24"/>
      <c r="D71" s="45"/>
      <c r="E71" s="25">
        <v>121</v>
      </c>
      <c r="F71" s="25">
        <v>48</v>
      </c>
      <c r="G71" s="25">
        <v>63</v>
      </c>
      <c r="H71" s="25">
        <v>1</v>
      </c>
      <c r="I71" s="25">
        <v>107</v>
      </c>
      <c r="J71" s="25">
        <v>34</v>
      </c>
      <c r="K71" s="25">
        <v>34</v>
      </c>
      <c r="L71" s="25">
        <v>23</v>
      </c>
      <c r="M71" s="25">
        <v>3</v>
      </c>
      <c r="N71" s="25">
        <v>44</v>
      </c>
      <c r="O71" s="25">
        <v>36</v>
      </c>
      <c r="P71" s="25">
        <v>1</v>
      </c>
      <c r="Q71" s="25"/>
      <c r="R71" s="25">
        <v>26</v>
      </c>
      <c r="S71" s="25"/>
      <c r="T71" s="25"/>
      <c r="U71" s="25">
        <v>2</v>
      </c>
      <c r="V71" s="25"/>
      <c r="W71" s="25">
        <v>13</v>
      </c>
      <c r="X71" s="25">
        <v>8</v>
      </c>
      <c r="Y71" s="18">
        <f t="shared" si="45"/>
        <v>564</v>
      </c>
      <c r="Z71" s="26"/>
    </row>
    <row r="72" spans="1:26" ht="27.95" customHeight="1">
      <c r="A72" s="14" t="s">
        <v>186</v>
      </c>
      <c r="B72" s="60" t="s">
        <v>231</v>
      </c>
      <c r="C72" s="60"/>
      <c r="D72" s="27"/>
      <c r="E72" s="25">
        <v>34506.629999999997</v>
      </c>
      <c r="F72" s="25">
        <v>13160</v>
      </c>
      <c r="G72" s="25">
        <v>8951.8799999999992</v>
      </c>
      <c r="H72" s="25">
        <v>11355.73</v>
      </c>
      <c r="I72" s="25">
        <v>34846.959999999999</v>
      </c>
      <c r="J72" s="25">
        <v>4631.83</v>
      </c>
      <c r="K72" s="25">
        <v>12756.42</v>
      </c>
      <c r="L72" s="25">
        <v>9285.57</v>
      </c>
      <c r="M72" s="25">
        <v>14358.21</v>
      </c>
      <c r="N72" s="25">
        <v>9829.07</v>
      </c>
      <c r="O72" s="25">
        <v>4286</v>
      </c>
      <c r="P72" s="25">
        <v>13349.34</v>
      </c>
      <c r="Q72" s="25">
        <v>3731.92</v>
      </c>
      <c r="R72" s="25">
        <v>4612</v>
      </c>
      <c r="S72" s="25">
        <v>6500</v>
      </c>
      <c r="T72" s="25">
        <v>6995</v>
      </c>
      <c r="U72" s="25">
        <v>13200</v>
      </c>
      <c r="V72" s="25">
        <v>6600</v>
      </c>
      <c r="W72" s="25">
        <v>32277.200000000001</v>
      </c>
      <c r="X72" s="25">
        <v>2800</v>
      </c>
      <c r="Y72" s="18">
        <f t="shared" si="45"/>
        <v>248033.76</v>
      </c>
      <c r="Z72" s="26"/>
    </row>
    <row r="73" spans="1:26" ht="27.95" customHeight="1">
      <c r="A73" s="14" t="s">
        <v>188</v>
      </c>
      <c r="B73" s="60" t="s">
        <v>232</v>
      </c>
      <c r="C73" s="60"/>
      <c r="D73" s="27"/>
      <c r="E73" s="25">
        <v>17447</v>
      </c>
      <c r="F73" s="25">
        <v>8691</v>
      </c>
      <c r="G73" s="25">
        <v>6496</v>
      </c>
      <c r="H73" s="25">
        <v>4073</v>
      </c>
      <c r="I73" s="25">
        <v>12339</v>
      </c>
      <c r="J73" s="25">
        <v>3226</v>
      </c>
      <c r="K73" s="25">
        <v>6620</v>
      </c>
      <c r="L73" s="25">
        <v>3585</v>
      </c>
      <c r="M73" s="25">
        <v>7880</v>
      </c>
      <c r="N73" s="25">
        <v>5330</v>
      </c>
      <c r="O73" s="25">
        <v>2350</v>
      </c>
      <c r="P73" s="25">
        <v>6044.7</v>
      </c>
      <c r="Q73" s="25">
        <v>1786</v>
      </c>
      <c r="R73" s="25">
        <v>1717</v>
      </c>
      <c r="S73" s="25">
        <v>2312.1</v>
      </c>
      <c r="T73" s="25">
        <v>3698.1</v>
      </c>
      <c r="U73" s="25">
        <v>4100</v>
      </c>
      <c r="V73" s="25">
        <v>2312.4499999999998</v>
      </c>
      <c r="W73" s="25">
        <v>17204.3</v>
      </c>
      <c r="X73" s="25"/>
      <c r="Y73" s="18">
        <f t="shared" si="45"/>
        <v>117211.65000000001</v>
      </c>
      <c r="Z73" s="26"/>
    </row>
    <row r="74" spans="1:26">
      <c r="E74" s="19">
        <f>E4/E61</f>
        <v>398845.21494423796</v>
      </c>
      <c r="F74" s="19">
        <f t="shared" ref="F74:Y74" si="46">F4/F61</f>
        <v>386705.13163043477</v>
      </c>
      <c r="G74" s="19">
        <f t="shared" si="46"/>
        <v>385349.24513157899</v>
      </c>
      <c r="H74" s="19">
        <f t="shared" si="46"/>
        <v>382833.51009999996</v>
      </c>
      <c r="I74" s="19">
        <f t="shared" si="46"/>
        <v>374391.40991573036</v>
      </c>
      <c r="J74" s="19">
        <f t="shared" si="46"/>
        <v>380335.61566666665</v>
      </c>
      <c r="K74" s="19">
        <f t="shared" si="46"/>
        <v>372864.08029850747</v>
      </c>
      <c r="L74" s="19">
        <f t="shared" si="46"/>
        <v>388088.83964912279</v>
      </c>
      <c r="M74" s="19">
        <f t="shared" si="46"/>
        <v>375986.86695312499</v>
      </c>
      <c r="N74" s="19">
        <f t="shared" si="46"/>
        <v>341752.48663265305</v>
      </c>
      <c r="O74" s="19">
        <f t="shared" si="46"/>
        <v>343120.09772727272</v>
      </c>
      <c r="P74" s="19">
        <f t="shared" si="46"/>
        <v>329421.10249999998</v>
      </c>
      <c r="Q74" s="19">
        <f t="shared" si="46"/>
        <v>342020.46827586205</v>
      </c>
      <c r="R74" s="19">
        <f t="shared" si="46"/>
        <v>342193.46404761903</v>
      </c>
      <c r="S74" s="19">
        <f t="shared" si="46"/>
        <v>317309.80363636365</v>
      </c>
      <c r="T74" s="19">
        <f t="shared" si="46"/>
        <v>330438.33789473685</v>
      </c>
      <c r="U74" s="19">
        <f t="shared" si="46"/>
        <v>346122.96769230772</v>
      </c>
      <c r="V74" s="19">
        <f t="shared" si="46"/>
        <v>330188.81400000001</v>
      </c>
      <c r="W74" s="19">
        <f t="shared" si="46"/>
        <v>359249.74650602409</v>
      </c>
      <c r="X74" s="19">
        <f t="shared" si="46"/>
        <v>377994.94142857142</v>
      </c>
      <c r="Y74" s="19">
        <f t="shared" si="46"/>
        <v>371840.78440639266</v>
      </c>
    </row>
  </sheetData>
  <protectedRanges>
    <protectedRange password="E9C1" sqref="D29 C30 A4:D5 B6:D28 A2:Z3 B31:D73 Y4:Z73 A6:A73" name="区域1_1_2"/>
    <protectedRange password="E9C1" sqref="B29:C29 B30" name="区域1_1_1_1"/>
    <protectedRange password="E9C1" sqref="D30" name="区域1_2_1"/>
  </protectedRanges>
  <mergeCells count="1">
    <mergeCell ref="A1:Z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8" scale="70" orientation="landscape" r:id="rId1"/>
  <headerFooter>
    <oddFooter>第 &amp;P 页，共 &amp;N 页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dimension ref="A1:Y76"/>
  <sheetViews>
    <sheetView workbookViewId="0">
      <pane xSplit="4" ySplit="2" topLeftCell="H15" activePane="bottomRight" state="frozen"/>
      <selection pane="topRight" activeCell="E1" sqref="E1"/>
      <selection pane="bottomLeft" activeCell="A3" sqref="A3"/>
      <selection pane="bottomRight" activeCell="X33" activeCellId="4" sqref="X20 X25 X27 X29 X33"/>
    </sheetView>
  </sheetViews>
  <sheetFormatPr defaultColWidth="9" defaultRowHeight="11.25"/>
  <cols>
    <col min="1" max="1" width="4.25" style="61" customWidth="1"/>
    <col min="2" max="2" width="15" style="19" customWidth="1"/>
    <col min="3" max="3" width="5" style="19" customWidth="1"/>
    <col min="4" max="4" width="6.625" style="62" customWidth="1"/>
    <col min="5" max="5" width="11.75" style="19" customWidth="1"/>
    <col min="6" max="6" width="10.5" style="19" customWidth="1"/>
    <col min="7" max="7" width="10.625" style="19" customWidth="1"/>
    <col min="8" max="8" width="10.25" style="19" customWidth="1"/>
    <col min="9" max="9" width="10.875" style="19" customWidth="1"/>
    <col min="10" max="10" width="11" style="19" customWidth="1"/>
    <col min="11" max="11" width="11.5" style="19" customWidth="1"/>
    <col min="12" max="12" width="10.625" style="19" customWidth="1"/>
    <col min="13" max="13" width="11.375" style="19" customWidth="1"/>
    <col min="14" max="14" width="11.75" style="19" customWidth="1"/>
    <col min="15" max="15" width="11.125" style="19" customWidth="1"/>
    <col min="16" max="16" width="10.75" style="19" customWidth="1"/>
    <col min="17" max="17" width="10.875" style="19" customWidth="1"/>
    <col min="18" max="18" width="10" style="19" customWidth="1"/>
    <col min="19" max="19" width="12" style="19" customWidth="1"/>
    <col min="20" max="20" width="11.125" style="19" customWidth="1"/>
    <col min="21" max="21" width="10.875" style="19" customWidth="1"/>
    <col min="22" max="22" width="11.375" style="19" customWidth="1"/>
    <col min="23" max="23" width="12.125" style="19" customWidth="1"/>
    <col min="24" max="24" width="12.25" style="19" customWidth="1"/>
    <col min="25" max="25" width="7.5" style="19" customWidth="1"/>
    <col min="26" max="16384" width="9" style="19"/>
  </cols>
  <sheetData>
    <row r="1" spans="1:25" ht="25.5">
      <c r="A1" s="574" t="s">
        <v>932</v>
      </c>
      <c r="B1" s="575"/>
      <c r="C1" s="575"/>
      <c r="D1" s="575"/>
      <c r="E1" s="575"/>
      <c r="F1" s="575"/>
      <c r="G1" s="575"/>
      <c r="H1" s="575"/>
      <c r="I1" s="575"/>
      <c r="J1" s="575"/>
      <c r="K1" s="575"/>
      <c r="L1" s="575"/>
      <c r="M1" s="575"/>
      <c r="N1" s="575"/>
      <c r="O1" s="575"/>
      <c r="P1" s="575"/>
      <c r="Q1" s="575"/>
      <c r="R1" s="575"/>
      <c r="S1" s="575"/>
      <c r="T1" s="575"/>
      <c r="U1" s="575"/>
      <c r="V1" s="575"/>
      <c r="W1" s="575"/>
      <c r="X1" s="575"/>
      <c r="Y1" s="575"/>
    </row>
    <row r="2" spans="1:25" ht="24.95" customHeight="1">
      <c r="A2" s="46" t="s">
        <v>12</v>
      </c>
      <c r="B2" s="46" t="s">
        <v>13</v>
      </c>
      <c r="C2" s="46" t="s">
        <v>14</v>
      </c>
      <c r="D2" s="47" t="s">
        <v>15</v>
      </c>
      <c r="E2" s="47" t="s">
        <v>933</v>
      </c>
      <c r="F2" s="47" t="s">
        <v>254</v>
      </c>
      <c r="G2" s="47" t="s">
        <v>255</v>
      </c>
      <c r="H2" s="47" t="s">
        <v>256</v>
      </c>
      <c r="I2" s="47" t="s">
        <v>257</v>
      </c>
      <c r="J2" s="47" t="s">
        <v>258</v>
      </c>
      <c r="K2" s="47" t="s">
        <v>259</v>
      </c>
      <c r="L2" s="47" t="s">
        <v>260</v>
      </c>
      <c r="M2" s="47" t="s">
        <v>261</v>
      </c>
      <c r="N2" s="47" t="s">
        <v>262</v>
      </c>
      <c r="O2" s="47" t="s">
        <v>263</v>
      </c>
      <c r="P2" s="47" t="s">
        <v>264</v>
      </c>
      <c r="Q2" s="47" t="s">
        <v>265</v>
      </c>
      <c r="R2" s="47" t="s">
        <v>266</v>
      </c>
      <c r="S2" s="47" t="s">
        <v>267</v>
      </c>
      <c r="T2" s="47" t="s">
        <v>268</v>
      </c>
      <c r="U2" s="47" t="s">
        <v>269</v>
      </c>
      <c r="V2" s="47" t="s">
        <v>270</v>
      </c>
      <c r="W2" s="47" t="s">
        <v>19</v>
      </c>
      <c r="X2" s="47" t="s">
        <v>21</v>
      </c>
      <c r="Y2" s="48" t="s">
        <v>22</v>
      </c>
    </row>
    <row r="3" spans="1:25" ht="24.95" customHeight="1">
      <c r="A3" s="14" t="s">
        <v>23</v>
      </c>
      <c r="B3" s="24" t="s">
        <v>24</v>
      </c>
      <c r="C3" s="24"/>
      <c r="D3" s="45" t="s">
        <v>25</v>
      </c>
      <c r="E3" s="18">
        <f>E4+E31+E38</f>
        <v>39096789.75</v>
      </c>
      <c r="F3" s="18">
        <f t="shared" ref="F3:W3" si="0">F4+F31+F38</f>
        <v>39440633.579999998</v>
      </c>
      <c r="G3" s="18">
        <f t="shared" si="0"/>
        <v>37403635.979999997</v>
      </c>
      <c r="H3" s="18">
        <f t="shared" si="0"/>
        <v>36511286.200000003</v>
      </c>
      <c r="I3" s="18">
        <f t="shared" si="0"/>
        <v>12007733.5</v>
      </c>
      <c r="J3" s="18">
        <f t="shared" si="0"/>
        <v>45501524.579999998</v>
      </c>
      <c r="K3" s="18">
        <f t="shared" si="0"/>
        <v>38331750</v>
      </c>
      <c r="L3" s="18">
        <f t="shared" si="0"/>
        <v>25218233.810000002</v>
      </c>
      <c r="M3" s="18">
        <f t="shared" si="0"/>
        <v>40051503.829999998</v>
      </c>
      <c r="N3" s="18">
        <f t="shared" si="0"/>
        <v>27682273.779999997</v>
      </c>
      <c r="O3" s="18">
        <f t="shared" si="0"/>
        <v>22730417.170000002</v>
      </c>
      <c r="P3" s="18">
        <f t="shared" si="0"/>
        <v>24754859.210000001</v>
      </c>
      <c r="Q3" s="18">
        <f t="shared" si="0"/>
        <v>20541560.48</v>
      </c>
      <c r="R3" s="18">
        <f t="shared" si="0"/>
        <v>7290296.7700000005</v>
      </c>
      <c r="S3" s="18">
        <f t="shared" si="0"/>
        <v>9114621.1600000001</v>
      </c>
      <c r="T3" s="18">
        <f t="shared" si="0"/>
        <v>10115144.01</v>
      </c>
      <c r="U3" s="18">
        <f t="shared" si="0"/>
        <v>15430377.390000001</v>
      </c>
      <c r="V3" s="18">
        <f t="shared" si="0"/>
        <v>14676800.689999998</v>
      </c>
      <c r="W3" s="18">
        <f t="shared" si="0"/>
        <v>2974465.37</v>
      </c>
      <c r="X3" s="63">
        <f t="shared" ref="X3:X66" si="1">SUM(E3:W3)</f>
        <v>468873907.25999993</v>
      </c>
      <c r="Y3" s="26"/>
    </row>
    <row r="4" spans="1:25" ht="24.95" customHeight="1">
      <c r="A4" s="14" t="s">
        <v>26</v>
      </c>
      <c r="B4" s="24" t="s">
        <v>0</v>
      </c>
      <c r="C4" s="24"/>
      <c r="D4" s="45" t="s">
        <v>25</v>
      </c>
      <c r="E4" s="18">
        <f t="shared" ref="E4:W4" si="2">E5+E8+E12+E15+E20+E25+E27+E29+E30</f>
        <v>32281538.75</v>
      </c>
      <c r="F4" s="18">
        <f t="shared" si="2"/>
        <v>32565373.149999999</v>
      </c>
      <c r="G4" s="18">
        <f t="shared" si="2"/>
        <v>31637810.059999999</v>
      </c>
      <c r="H4" s="18">
        <f t="shared" si="2"/>
        <v>30865615.699999999</v>
      </c>
      <c r="I4" s="18">
        <f t="shared" si="2"/>
        <v>9106656</v>
      </c>
      <c r="J4" s="18">
        <f t="shared" si="2"/>
        <v>36443081.619999997</v>
      </c>
      <c r="K4" s="18">
        <f t="shared" si="2"/>
        <v>31049227.439999998</v>
      </c>
      <c r="L4" s="18">
        <f t="shared" si="2"/>
        <v>20904004.120000001</v>
      </c>
      <c r="M4" s="18">
        <f t="shared" si="2"/>
        <v>34117445.659999996</v>
      </c>
      <c r="N4" s="18">
        <f t="shared" si="2"/>
        <v>23258196.059999999</v>
      </c>
      <c r="O4" s="18">
        <f t="shared" si="2"/>
        <v>19644988.190000001</v>
      </c>
      <c r="P4" s="18">
        <f t="shared" si="2"/>
        <v>20808151.370000001</v>
      </c>
      <c r="Q4" s="18">
        <f t="shared" si="2"/>
        <v>17792880.68</v>
      </c>
      <c r="R4" s="18">
        <f t="shared" si="2"/>
        <v>6119187.9100000001</v>
      </c>
      <c r="S4" s="18">
        <f t="shared" si="2"/>
        <v>7638700.8799999999</v>
      </c>
      <c r="T4" s="18">
        <f t="shared" si="2"/>
        <v>7917111.7199999997</v>
      </c>
      <c r="U4" s="18">
        <f t="shared" si="2"/>
        <v>13110178.960000001</v>
      </c>
      <c r="V4" s="18">
        <f t="shared" si="2"/>
        <v>12185524.399999999</v>
      </c>
      <c r="W4" s="18">
        <f t="shared" si="2"/>
        <v>2206902.5100000002</v>
      </c>
      <c r="X4" s="18">
        <f t="shared" si="1"/>
        <v>389652575.18000001</v>
      </c>
      <c r="Y4" s="26"/>
    </row>
    <row r="5" spans="1:25" ht="24.95" customHeight="1">
      <c r="A5" s="14" t="s">
        <v>27</v>
      </c>
      <c r="B5" s="24" t="s">
        <v>28</v>
      </c>
      <c r="C5" s="24"/>
      <c r="D5" s="45" t="s">
        <v>25</v>
      </c>
      <c r="E5" s="18">
        <f t="shared" ref="E5:W5" si="3">E6+E7</f>
        <v>4241616</v>
      </c>
      <c r="F5" s="18">
        <f t="shared" si="3"/>
        <v>4044204</v>
      </c>
      <c r="G5" s="18">
        <f t="shared" si="3"/>
        <v>4636800</v>
      </c>
      <c r="H5" s="18">
        <f t="shared" si="3"/>
        <v>3515954.4</v>
      </c>
      <c r="I5" s="18">
        <f t="shared" si="3"/>
        <v>829672</v>
      </c>
      <c r="J5" s="18">
        <f t="shared" si="3"/>
        <v>4918872</v>
      </c>
      <c r="K5" s="18">
        <f t="shared" si="3"/>
        <v>3712152</v>
      </c>
      <c r="L5" s="18">
        <f t="shared" si="3"/>
        <v>1989468</v>
      </c>
      <c r="M5" s="18">
        <f t="shared" si="3"/>
        <v>3929551</v>
      </c>
      <c r="N5" s="18">
        <f t="shared" si="3"/>
        <v>2425044</v>
      </c>
      <c r="O5" s="18">
        <f t="shared" si="3"/>
        <v>2404128</v>
      </c>
      <c r="P5" s="18">
        <f t="shared" si="3"/>
        <v>2489568</v>
      </c>
      <c r="Q5" s="18">
        <f t="shared" si="3"/>
        <v>2062788</v>
      </c>
      <c r="R5" s="18">
        <f t="shared" si="3"/>
        <v>719208</v>
      </c>
      <c r="S5" s="18">
        <f t="shared" si="3"/>
        <v>918288</v>
      </c>
      <c r="T5" s="18">
        <f t="shared" si="3"/>
        <v>906048</v>
      </c>
      <c r="U5" s="18">
        <f t="shared" si="3"/>
        <v>1483212</v>
      </c>
      <c r="V5" s="18">
        <f t="shared" si="3"/>
        <v>1345891.7999999998</v>
      </c>
      <c r="W5" s="18">
        <f t="shared" si="3"/>
        <v>306252</v>
      </c>
      <c r="X5" s="18">
        <f t="shared" si="1"/>
        <v>46878717.199999996</v>
      </c>
      <c r="Y5" s="26"/>
    </row>
    <row r="6" spans="1:25" ht="24.95" customHeight="1">
      <c r="A6" s="14" t="s">
        <v>29</v>
      </c>
      <c r="B6" s="24" t="s">
        <v>30</v>
      </c>
      <c r="C6" s="24" t="s">
        <v>31</v>
      </c>
      <c r="D6" s="45" t="s">
        <v>32</v>
      </c>
      <c r="E6" s="25">
        <f>191615*12</f>
        <v>2299380</v>
      </c>
      <c r="F6" s="25">
        <f>12*189446</f>
        <v>2273352</v>
      </c>
      <c r="G6" s="25">
        <f>2600*12*84</f>
        <v>2620800</v>
      </c>
      <c r="H6" s="25">
        <v>2251683</v>
      </c>
      <c r="I6" s="25">
        <v>651036</v>
      </c>
      <c r="J6" s="25">
        <v>2609160</v>
      </c>
      <c r="K6" s="25">
        <v>2102460</v>
      </c>
      <c r="L6" s="25">
        <f>12*111967</f>
        <v>1343604</v>
      </c>
      <c r="M6" s="25">
        <v>2521285</v>
      </c>
      <c r="N6" s="25">
        <f>132479*12</f>
        <v>1589748</v>
      </c>
      <c r="O6" s="25">
        <v>1485936</v>
      </c>
      <c r="P6" s="25">
        <f>130922*12</f>
        <v>1571064</v>
      </c>
      <c r="Q6" s="25">
        <v>1343304</v>
      </c>
      <c r="R6" s="25">
        <v>458700</v>
      </c>
      <c r="S6" s="25">
        <f>48279*12</f>
        <v>579348</v>
      </c>
      <c r="T6" s="25">
        <v>601128</v>
      </c>
      <c r="U6" s="25">
        <f>80311*12</f>
        <v>963732</v>
      </c>
      <c r="V6" s="25">
        <v>881663.2</v>
      </c>
      <c r="W6" s="25">
        <v>151812</v>
      </c>
      <c r="X6" s="18">
        <f t="shared" si="1"/>
        <v>28299195.199999999</v>
      </c>
      <c r="Y6" s="49"/>
    </row>
    <row r="7" spans="1:25" ht="24.95" customHeight="1">
      <c r="A7" s="14" t="s">
        <v>33</v>
      </c>
      <c r="B7" s="24" t="s">
        <v>34</v>
      </c>
      <c r="C7" s="24" t="s">
        <v>31</v>
      </c>
      <c r="D7" s="45" t="s">
        <v>32</v>
      </c>
      <c r="E7" s="25">
        <f>161853*12</f>
        <v>1942236</v>
      </c>
      <c r="F7" s="25">
        <f>12*147571</f>
        <v>1770852</v>
      </c>
      <c r="G7" s="25">
        <f>2000*12*84</f>
        <v>2016000</v>
      </c>
      <c r="H7" s="25">
        <v>1264271.3999999999</v>
      </c>
      <c r="I7" s="25">
        <v>178636</v>
      </c>
      <c r="J7" s="25">
        <v>2309712</v>
      </c>
      <c r="K7" s="25">
        <v>1609692</v>
      </c>
      <c r="L7" s="25">
        <f>12*53822</f>
        <v>645864</v>
      </c>
      <c r="M7" s="25">
        <v>1408266</v>
      </c>
      <c r="N7" s="25">
        <f>69608*12</f>
        <v>835296</v>
      </c>
      <c r="O7" s="25">
        <v>918192</v>
      </c>
      <c r="P7" s="25">
        <f>76542*12</f>
        <v>918504</v>
      </c>
      <c r="Q7" s="25">
        <v>719484</v>
      </c>
      <c r="R7" s="25">
        <v>260508</v>
      </c>
      <c r="S7" s="25">
        <f>28245*12</f>
        <v>338940</v>
      </c>
      <c r="T7" s="25">
        <v>304920</v>
      </c>
      <c r="U7" s="25">
        <f>43290*12</f>
        <v>519480</v>
      </c>
      <c r="V7" s="25">
        <v>464228.6</v>
      </c>
      <c r="W7" s="25">
        <v>154440</v>
      </c>
      <c r="X7" s="18">
        <f t="shared" si="1"/>
        <v>18579522</v>
      </c>
      <c r="Y7" s="26"/>
    </row>
    <row r="8" spans="1:25" ht="24.95" customHeight="1">
      <c r="A8" s="14" t="s">
        <v>35</v>
      </c>
      <c r="B8" s="24" t="s">
        <v>36</v>
      </c>
      <c r="C8" s="24"/>
      <c r="D8" s="45" t="s">
        <v>25</v>
      </c>
      <c r="E8" s="18">
        <f t="shared" ref="E8:W8" si="4">E9+E10</f>
        <v>439056</v>
      </c>
      <c r="F8" s="18">
        <f t="shared" si="4"/>
        <v>448836</v>
      </c>
      <c r="G8" s="18">
        <f t="shared" si="4"/>
        <v>445920</v>
      </c>
      <c r="H8" s="18">
        <f t="shared" si="4"/>
        <v>430884</v>
      </c>
      <c r="I8" s="18">
        <f t="shared" si="4"/>
        <v>121920</v>
      </c>
      <c r="J8" s="18">
        <f t="shared" si="4"/>
        <v>533532</v>
      </c>
      <c r="K8" s="18">
        <f t="shared" si="4"/>
        <v>426912</v>
      </c>
      <c r="L8" s="18">
        <f t="shared" si="4"/>
        <v>295812</v>
      </c>
      <c r="M8" s="18">
        <f t="shared" si="4"/>
        <v>522745</v>
      </c>
      <c r="N8" s="18">
        <f t="shared" si="4"/>
        <v>339912</v>
      </c>
      <c r="O8" s="18">
        <f t="shared" si="4"/>
        <v>309264</v>
      </c>
      <c r="P8" s="18">
        <f t="shared" si="4"/>
        <v>320232</v>
      </c>
      <c r="Q8" s="18">
        <f t="shared" si="4"/>
        <v>292633</v>
      </c>
      <c r="R8" s="18">
        <f t="shared" si="4"/>
        <v>95040</v>
      </c>
      <c r="S8" s="18">
        <f t="shared" si="4"/>
        <v>122676</v>
      </c>
      <c r="T8" s="18">
        <f t="shared" si="4"/>
        <v>133620</v>
      </c>
      <c r="U8" s="18">
        <f t="shared" si="4"/>
        <v>207540</v>
      </c>
      <c r="V8" s="18">
        <f t="shared" si="4"/>
        <v>202280</v>
      </c>
      <c r="W8" s="18">
        <f t="shared" si="4"/>
        <v>31956</v>
      </c>
      <c r="X8" s="18">
        <f t="shared" si="1"/>
        <v>5720770</v>
      </c>
      <c r="Y8" s="26"/>
    </row>
    <row r="9" spans="1:25" ht="24.95" customHeight="1">
      <c r="A9" s="14" t="s">
        <v>37</v>
      </c>
      <c r="B9" s="24" t="s">
        <v>38</v>
      </c>
      <c r="C9" s="24" t="s">
        <v>31</v>
      </c>
      <c r="D9" s="45" t="s">
        <v>32</v>
      </c>
      <c r="E9" s="25">
        <f>508*12</f>
        <v>6096</v>
      </c>
      <c r="F9" s="25">
        <f>12*443</f>
        <v>5316</v>
      </c>
      <c r="G9" s="25">
        <f>200*12</f>
        <v>2400</v>
      </c>
      <c r="H9" s="25">
        <v>3204</v>
      </c>
      <c r="I9" s="25">
        <v>480</v>
      </c>
      <c r="J9" s="25">
        <v>16092</v>
      </c>
      <c r="K9" s="25">
        <v>4512</v>
      </c>
      <c r="L9" s="25">
        <f>451*12</f>
        <v>5412</v>
      </c>
      <c r="M9" s="25">
        <v>52825</v>
      </c>
      <c r="N9" s="25">
        <f>166*12</f>
        <v>1992</v>
      </c>
      <c r="O9" s="25">
        <v>3024</v>
      </c>
      <c r="P9" s="25">
        <f>286*12</f>
        <v>3432</v>
      </c>
      <c r="Q9" s="25">
        <v>2233</v>
      </c>
      <c r="R9" s="25"/>
      <c r="S9" s="25">
        <f>103*12</f>
        <v>1236</v>
      </c>
      <c r="T9" s="25">
        <v>6900</v>
      </c>
      <c r="U9" s="25">
        <f>135*12</f>
        <v>1620</v>
      </c>
      <c r="V9" s="25">
        <v>1640</v>
      </c>
      <c r="W9" s="25">
        <v>276</v>
      </c>
      <c r="X9" s="18">
        <f t="shared" si="1"/>
        <v>118690</v>
      </c>
      <c r="Y9" s="26"/>
    </row>
    <row r="10" spans="1:25" ht="24.95" customHeight="1">
      <c r="A10" s="14" t="s">
        <v>39</v>
      </c>
      <c r="B10" s="24" t="s">
        <v>40</v>
      </c>
      <c r="C10" s="24"/>
      <c r="D10" s="45" t="s">
        <v>25</v>
      </c>
      <c r="E10" s="18">
        <f t="shared" ref="E10:W10" si="5">E11</f>
        <v>432960</v>
      </c>
      <c r="F10" s="18">
        <f t="shared" si="5"/>
        <v>443520</v>
      </c>
      <c r="G10" s="18">
        <f t="shared" si="5"/>
        <v>443520</v>
      </c>
      <c r="H10" s="18">
        <f t="shared" si="5"/>
        <v>427680</v>
      </c>
      <c r="I10" s="18">
        <f t="shared" si="5"/>
        <v>121440</v>
      </c>
      <c r="J10" s="18">
        <f t="shared" si="5"/>
        <v>517440</v>
      </c>
      <c r="K10" s="18">
        <f t="shared" si="5"/>
        <v>422400</v>
      </c>
      <c r="L10" s="18">
        <f t="shared" si="5"/>
        <v>290400</v>
      </c>
      <c r="M10" s="18">
        <f t="shared" si="5"/>
        <v>469920</v>
      </c>
      <c r="N10" s="18">
        <f t="shared" si="5"/>
        <v>337920</v>
      </c>
      <c r="O10" s="18">
        <f t="shared" si="5"/>
        <v>306240</v>
      </c>
      <c r="P10" s="18">
        <f t="shared" si="5"/>
        <v>316800</v>
      </c>
      <c r="Q10" s="18">
        <f t="shared" si="5"/>
        <v>290400</v>
      </c>
      <c r="R10" s="18">
        <f t="shared" si="5"/>
        <v>95040</v>
      </c>
      <c r="S10" s="18">
        <f t="shared" si="5"/>
        <v>121440</v>
      </c>
      <c r="T10" s="18">
        <f t="shared" si="5"/>
        <v>126720</v>
      </c>
      <c r="U10" s="18">
        <f t="shared" si="5"/>
        <v>205920</v>
      </c>
      <c r="V10" s="18">
        <f t="shared" si="5"/>
        <v>200640</v>
      </c>
      <c r="W10" s="18">
        <f t="shared" si="5"/>
        <v>31680</v>
      </c>
      <c r="X10" s="18">
        <f t="shared" si="1"/>
        <v>5602080</v>
      </c>
      <c r="Y10" s="26"/>
    </row>
    <row r="11" spans="1:25" s="44" customFormat="1" ht="24.95" customHeight="1">
      <c r="A11" s="14" t="s">
        <v>41</v>
      </c>
      <c r="B11" s="43" t="s">
        <v>42</v>
      </c>
      <c r="C11" s="43" t="s">
        <v>31</v>
      </c>
      <c r="D11" s="26" t="s">
        <v>25</v>
      </c>
      <c r="E11" s="18">
        <f t="shared" ref="E11:W11" si="6">440*12*E61</f>
        <v>432960</v>
      </c>
      <c r="F11" s="18">
        <f t="shared" si="6"/>
        <v>443520</v>
      </c>
      <c r="G11" s="18">
        <f t="shared" si="6"/>
        <v>443520</v>
      </c>
      <c r="H11" s="18">
        <f t="shared" si="6"/>
        <v>427680</v>
      </c>
      <c r="I11" s="18">
        <f t="shared" si="6"/>
        <v>121440</v>
      </c>
      <c r="J11" s="18">
        <f t="shared" si="6"/>
        <v>517440</v>
      </c>
      <c r="K11" s="18">
        <f t="shared" si="6"/>
        <v>422400</v>
      </c>
      <c r="L11" s="18">
        <f t="shared" si="6"/>
        <v>290400</v>
      </c>
      <c r="M11" s="18">
        <f t="shared" si="6"/>
        <v>469920</v>
      </c>
      <c r="N11" s="18">
        <f t="shared" si="6"/>
        <v>337920</v>
      </c>
      <c r="O11" s="18">
        <f t="shared" si="6"/>
        <v>306240</v>
      </c>
      <c r="P11" s="18">
        <f t="shared" si="6"/>
        <v>316800</v>
      </c>
      <c r="Q11" s="18">
        <f t="shared" si="6"/>
        <v>290400</v>
      </c>
      <c r="R11" s="18">
        <f t="shared" si="6"/>
        <v>95040</v>
      </c>
      <c r="S11" s="18">
        <f t="shared" si="6"/>
        <v>121440</v>
      </c>
      <c r="T11" s="18">
        <f t="shared" si="6"/>
        <v>126720</v>
      </c>
      <c r="U11" s="18">
        <f t="shared" si="6"/>
        <v>205920</v>
      </c>
      <c r="V11" s="18">
        <f t="shared" si="6"/>
        <v>200640</v>
      </c>
      <c r="W11" s="18">
        <f t="shared" si="6"/>
        <v>31680</v>
      </c>
      <c r="X11" s="18">
        <f t="shared" si="1"/>
        <v>5602080</v>
      </c>
      <c r="Y11" s="26"/>
    </row>
    <row r="12" spans="1:25" ht="24.95" customHeight="1">
      <c r="A12" s="14" t="s">
        <v>43</v>
      </c>
      <c r="B12" s="24" t="s">
        <v>44</v>
      </c>
      <c r="C12" s="24"/>
      <c r="D12" s="45" t="s">
        <v>45</v>
      </c>
      <c r="E12" s="18">
        <f t="shared" ref="E12:W12" si="7">E13+E14</f>
        <v>161626.75</v>
      </c>
      <c r="F12" s="18">
        <f t="shared" si="7"/>
        <v>162236.01</v>
      </c>
      <c r="G12" s="18">
        <f t="shared" si="7"/>
        <v>137167.20000000001</v>
      </c>
      <c r="H12" s="18">
        <f t="shared" si="7"/>
        <v>153947.29999999999</v>
      </c>
      <c r="I12" s="18">
        <f t="shared" si="7"/>
        <v>52164</v>
      </c>
      <c r="J12" s="18">
        <f t="shared" si="7"/>
        <v>160189.06</v>
      </c>
      <c r="K12" s="18">
        <f t="shared" si="7"/>
        <v>157394.88</v>
      </c>
      <c r="L12" s="18">
        <f t="shared" si="7"/>
        <v>110158.42</v>
      </c>
      <c r="M12" s="18">
        <f t="shared" si="7"/>
        <v>170601.8</v>
      </c>
      <c r="N12" s="18">
        <f t="shared" si="7"/>
        <v>108817.2</v>
      </c>
      <c r="O12" s="18">
        <f t="shared" si="7"/>
        <v>97099.05</v>
      </c>
      <c r="P12" s="18">
        <f t="shared" si="7"/>
        <v>108425.67</v>
      </c>
      <c r="Q12" s="18">
        <f t="shared" si="7"/>
        <v>81859.679999999993</v>
      </c>
      <c r="R12" s="18">
        <f t="shared" si="7"/>
        <v>30965.61</v>
      </c>
      <c r="S12" s="18">
        <f t="shared" si="7"/>
        <v>36579.74</v>
      </c>
      <c r="T12" s="18">
        <f t="shared" si="7"/>
        <v>38052.28</v>
      </c>
      <c r="U12" s="18">
        <f t="shared" si="7"/>
        <v>65858.399999999994</v>
      </c>
      <c r="V12" s="18">
        <f t="shared" si="7"/>
        <v>56086.16</v>
      </c>
      <c r="W12" s="18">
        <f t="shared" si="7"/>
        <v>10880.21</v>
      </c>
      <c r="X12" s="18">
        <f t="shared" si="1"/>
        <v>1900109.42</v>
      </c>
      <c r="Y12" s="26"/>
    </row>
    <row r="13" spans="1:25" s="44" customFormat="1" ht="24.95" customHeight="1">
      <c r="A13" s="14" t="s">
        <v>46</v>
      </c>
      <c r="B13" s="43" t="s">
        <v>47</v>
      </c>
      <c r="C13" s="43" t="s">
        <v>31</v>
      </c>
      <c r="D13" s="26" t="s">
        <v>48</v>
      </c>
      <c r="E13" s="18">
        <f>ROUND(E29/0.07*0.00256,2)</f>
        <v>54730.75</v>
      </c>
      <c r="F13" s="18">
        <f t="shared" ref="F13:W13" si="8">ROUND(F29/0.07*0.00256,2)</f>
        <v>54937.01</v>
      </c>
      <c r="G13" s="18">
        <f t="shared" si="8"/>
        <v>46448.2</v>
      </c>
      <c r="H13" s="18">
        <f t="shared" si="8"/>
        <v>52130.3</v>
      </c>
      <c r="I13" s="18">
        <f t="shared" si="8"/>
        <v>17664</v>
      </c>
      <c r="J13" s="18">
        <f t="shared" si="8"/>
        <v>54244.06</v>
      </c>
      <c r="K13" s="18">
        <f t="shared" si="8"/>
        <v>53297.88</v>
      </c>
      <c r="L13" s="18">
        <f t="shared" si="8"/>
        <v>37302.42</v>
      </c>
      <c r="M13" s="18">
        <f t="shared" si="8"/>
        <v>57769.8</v>
      </c>
      <c r="N13" s="18">
        <f t="shared" si="8"/>
        <v>36848.199999999997</v>
      </c>
      <c r="O13" s="18">
        <f t="shared" si="8"/>
        <v>32880.050000000003</v>
      </c>
      <c r="P13" s="18">
        <f t="shared" si="8"/>
        <v>36715.67</v>
      </c>
      <c r="Q13" s="18">
        <f t="shared" si="8"/>
        <v>27719.68</v>
      </c>
      <c r="R13" s="18">
        <f t="shared" si="8"/>
        <v>10485.61</v>
      </c>
      <c r="S13" s="18">
        <f t="shared" si="8"/>
        <v>12386.74</v>
      </c>
      <c r="T13" s="18">
        <f t="shared" si="8"/>
        <v>12885.28</v>
      </c>
      <c r="U13" s="18">
        <f t="shared" si="8"/>
        <v>22301.4</v>
      </c>
      <c r="V13" s="18">
        <f t="shared" si="8"/>
        <v>18992.16</v>
      </c>
      <c r="W13" s="18">
        <f t="shared" si="8"/>
        <v>3684.21</v>
      </c>
      <c r="X13" s="18">
        <f t="shared" si="1"/>
        <v>643423.42000000004</v>
      </c>
      <c r="Y13" s="26"/>
    </row>
    <row r="14" spans="1:25" s="44" customFormat="1" ht="24.95" customHeight="1">
      <c r="A14" s="14" t="s">
        <v>49</v>
      </c>
      <c r="B14" s="43" t="s">
        <v>50</v>
      </c>
      <c r="C14" s="43" t="s">
        <v>31</v>
      </c>
      <c r="D14" s="26" t="s">
        <v>48</v>
      </c>
      <c r="E14" s="18">
        <f t="shared" ref="E14:W14" si="9">ROUND(E29/0.07*0.005,0)</f>
        <v>106896</v>
      </c>
      <c r="F14" s="18">
        <f t="shared" si="9"/>
        <v>107299</v>
      </c>
      <c r="G14" s="18">
        <f t="shared" si="9"/>
        <v>90719</v>
      </c>
      <c r="H14" s="18">
        <f t="shared" si="9"/>
        <v>101817</v>
      </c>
      <c r="I14" s="18">
        <f t="shared" si="9"/>
        <v>34500</v>
      </c>
      <c r="J14" s="18">
        <f t="shared" si="9"/>
        <v>105945</v>
      </c>
      <c r="K14" s="18">
        <f t="shared" si="9"/>
        <v>104097</v>
      </c>
      <c r="L14" s="18">
        <f t="shared" si="9"/>
        <v>72856</v>
      </c>
      <c r="M14" s="18">
        <f t="shared" si="9"/>
        <v>112832</v>
      </c>
      <c r="N14" s="18">
        <f t="shared" si="9"/>
        <v>71969</v>
      </c>
      <c r="O14" s="18">
        <f t="shared" si="9"/>
        <v>64219</v>
      </c>
      <c r="P14" s="18">
        <f t="shared" si="9"/>
        <v>71710</v>
      </c>
      <c r="Q14" s="18">
        <f t="shared" si="9"/>
        <v>54140</v>
      </c>
      <c r="R14" s="18">
        <f t="shared" si="9"/>
        <v>20480</v>
      </c>
      <c r="S14" s="18">
        <f t="shared" si="9"/>
        <v>24193</v>
      </c>
      <c r="T14" s="18">
        <f t="shared" si="9"/>
        <v>25167</v>
      </c>
      <c r="U14" s="18">
        <f t="shared" si="9"/>
        <v>43557</v>
      </c>
      <c r="V14" s="18">
        <f t="shared" si="9"/>
        <v>37094</v>
      </c>
      <c r="W14" s="18">
        <f t="shared" si="9"/>
        <v>7196</v>
      </c>
      <c r="X14" s="18">
        <f t="shared" si="1"/>
        <v>1256686</v>
      </c>
      <c r="Y14" s="26"/>
    </row>
    <row r="15" spans="1:25" ht="24.95" customHeight="1">
      <c r="A15" s="14" t="s">
        <v>51</v>
      </c>
      <c r="B15" s="24" t="s">
        <v>52</v>
      </c>
      <c r="C15" s="24"/>
      <c r="D15" s="45" t="s">
        <v>25</v>
      </c>
      <c r="E15" s="18">
        <f t="shared" ref="E15:W15" si="10">E16+E17+E18+E19</f>
        <v>17818600</v>
      </c>
      <c r="F15" s="18">
        <f t="shared" si="10"/>
        <v>18253200</v>
      </c>
      <c r="G15" s="18">
        <f t="shared" si="10"/>
        <v>18253200</v>
      </c>
      <c r="H15" s="18">
        <f t="shared" si="10"/>
        <v>17601300</v>
      </c>
      <c r="I15" s="18">
        <f t="shared" si="10"/>
        <v>4997900</v>
      </c>
      <c r="J15" s="18">
        <f t="shared" si="10"/>
        <v>21295400</v>
      </c>
      <c r="K15" s="18">
        <f t="shared" si="10"/>
        <v>17384000</v>
      </c>
      <c r="L15" s="18">
        <f t="shared" si="10"/>
        <v>11951500</v>
      </c>
      <c r="M15" s="18">
        <f t="shared" si="10"/>
        <v>19339700</v>
      </c>
      <c r="N15" s="18">
        <f t="shared" si="10"/>
        <v>13907200</v>
      </c>
      <c r="O15" s="18">
        <f t="shared" si="10"/>
        <v>11054800</v>
      </c>
      <c r="P15" s="18">
        <f t="shared" si="10"/>
        <v>11436000</v>
      </c>
      <c r="Q15" s="18">
        <f t="shared" si="10"/>
        <v>10483000</v>
      </c>
      <c r="R15" s="18">
        <f t="shared" si="10"/>
        <v>3430800</v>
      </c>
      <c r="S15" s="18">
        <f t="shared" si="10"/>
        <v>4383800</v>
      </c>
      <c r="T15" s="18">
        <f t="shared" si="10"/>
        <v>4574400</v>
      </c>
      <c r="U15" s="18">
        <f t="shared" si="10"/>
        <v>7433400</v>
      </c>
      <c r="V15" s="18">
        <f t="shared" si="10"/>
        <v>7242800</v>
      </c>
      <c r="W15" s="18">
        <f t="shared" si="10"/>
        <v>1210200</v>
      </c>
      <c r="X15" s="18">
        <f t="shared" si="1"/>
        <v>222051200</v>
      </c>
      <c r="Y15" s="26"/>
    </row>
    <row r="16" spans="1:25" ht="24.95" customHeight="1">
      <c r="A16" s="14" t="s">
        <v>53</v>
      </c>
      <c r="B16" s="15" t="s">
        <v>54</v>
      </c>
      <c r="C16" s="15" t="s">
        <v>31</v>
      </c>
      <c r="D16" s="16" t="s">
        <v>55</v>
      </c>
      <c r="E16" s="17">
        <v>16294872</v>
      </c>
      <c r="F16" s="17">
        <v>16638608</v>
      </c>
      <c r="G16" s="17">
        <v>16609200</v>
      </c>
      <c r="H16" s="17">
        <v>16046908</v>
      </c>
      <c r="I16" s="17">
        <v>4629900</v>
      </c>
      <c r="J16" s="17">
        <v>19182632</v>
      </c>
      <c r="K16" s="17">
        <v>15827884</v>
      </c>
      <c r="L16" s="17">
        <v>10757572</v>
      </c>
      <c r="M16" s="17">
        <v>17589196</v>
      </c>
      <c r="N16" s="17">
        <v>12616012</v>
      </c>
      <c r="O16" s="17">
        <v>10433972</v>
      </c>
      <c r="P16" s="17">
        <v>10813084</v>
      </c>
      <c r="Q16" s="17">
        <v>9851940</v>
      </c>
      <c r="R16" s="17">
        <v>3085884</v>
      </c>
      <c r="S16" s="17">
        <v>4006228</v>
      </c>
      <c r="T16" s="17">
        <v>4233824</v>
      </c>
      <c r="U16" s="17">
        <v>6965996</v>
      </c>
      <c r="V16" s="17">
        <v>6758736</v>
      </c>
      <c r="W16" s="17">
        <v>1174200</v>
      </c>
      <c r="X16" s="18">
        <f t="shared" si="1"/>
        <v>203516648</v>
      </c>
      <c r="Y16" s="16"/>
    </row>
    <row r="17" spans="1:25" ht="24.95" customHeight="1">
      <c r="A17" s="14" t="s">
        <v>56</v>
      </c>
      <c r="B17" s="15" t="s">
        <v>57</v>
      </c>
      <c r="C17" s="15" t="s">
        <v>31</v>
      </c>
      <c r="D17" s="16" t="s">
        <v>58</v>
      </c>
      <c r="E17" s="17">
        <v>211728</v>
      </c>
      <c r="F17" s="17">
        <v>270592</v>
      </c>
      <c r="G17" s="17">
        <v>300000</v>
      </c>
      <c r="H17" s="17">
        <f>184928+73464</f>
        <v>258392</v>
      </c>
      <c r="I17" s="17"/>
      <c r="J17" s="17">
        <v>544768</v>
      </c>
      <c r="K17" s="17">
        <v>276116</v>
      </c>
      <c r="L17" s="17">
        <v>313928</v>
      </c>
      <c r="M17" s="17">
        <v>326504</v>
      </c>
      <c r="N17" s="17">
        <v>267188</v>
      </c>
      <c r="O17" s="17">
        <v>272828</v>
      </c>
      <c r="P17" s="17">
        <v>262916</v>
      </c>
      <c r="Q17" s="17">
        <v>301060</v>
      </c>
      <c r="R17" s="17">
        <v>236916</v>
      </c>
      <c r="S17" s="17">
        <v>239572</v>
      </c>
      <c r="T17" s="17">
        <v>196576</v>
      </c>
      <c r="U17" s="17">
        <v>233404</v>
      </c>
      <c r="V17" s="17">
        <v>256064</v>
      </c>
      <c r="W17" s="17"/>
      <c r="X17" s="18">
        <f t="shared" si="1"/>
        <v>4768552</v>
      </c>
      <c r="Y17" s="16"/>
    </row>
    <row r="18" spans="1:25" ht="24.95" customHeight="1">
      <c r="A18" s="14" t="s">
        <v>59</v>
      </c>
      <c r="B18" s="15" t="s">
        <v>60</v>
      </c>
      <c r="C18" s="15" t="s">
        <v>31</v>
      </c>
      <c r="D18" s="45" t="s">
        <v>25</v>
      </c>
      <c r="E18" s="50">
        <f t="shared" ref="E18:W18" si="11">E61*500*12</f>
        <v>492000</v>
      </c>
      <c r="F18" s="50">
        <f t="shared" si="11"/>
        <v>504000</v>
      </c>
      <c r="G18" s="50">
        <f t="shared" si="11"/>
        <v>504000</v>
      </c>
      <c r="H18" s="50">
        <f t="shared" si="11"/>
        <v>486000</v>
      </c>
      <c r="I18" s="50">
        <f t="shared" si="11"/>
        <v>138000</v>
      </c>
      <c r="J18" s="50">
        <f t="shared" si="11"/>
        <v>588000</v>
      </c>
      <c r="K18" s="50">
        <f t="shared" si="11"/>
        <v>480000</v>
      </c>
      <c r="L18" s="50">
        <f t="shared" si="11"/>
        <v>330000</v>
      </c>
      <c r="M18" s="50">
        <f t="shared" si="11"/>
        <v>534000</v>
      </c>
      <c r="N18" s="50">
        <f t="shared" si="11"/>
        <v>384000</v>
      </c>
      <c r="O18" s="50">
        <f t="shared" si="11"/>
        <v>348000</v>
      </c>
      <c r="P18" s="50">
        <f t="shared" si="11"/>
        <v>360000</v>
      </c>
      <c r="Q18" s="50">
        <f t="shared" si="11"/>
        <v>330000</v>
      </c>
      <c r="R18" s="50">
        <f t="shared" si="11"/>
        <v>108000</v>
      </c>
      <c r="S18" s="50">
        <f t="shared" si="11"/>
        <v>138000</v>
      </c>
      <c r="T18" s="50">
        <f t="shared" si="11"/>
        <v>144000</v>
      </c>
      <c r="U18" s="50">
        <f t="shared" si="11"/>
        <v>234000</v>
      </c>
      <c r="V18" s="50">
        <f t="shared" si="11"/>
        <v>228000</v>
      </c>
      <c r="W18" s="50">
        <f t="shared" si="11"/>
        <v>36000</v>
      </c>
      <c r="X18" s="18">
        <f t="shared" si="1"/>
        <v>6366000</v>
      </c>
      <c r="Y18" s="16"/>
    </row>
    <row r="19" spans="1:25" ht="24.95" customHeight="1">
      <c r="A19" s="14" t="s">
        <v>61</v>
      </c>
      <c r="B19" s="15" t="s">
        <v>62</v>
      </c>
      <c r="C19" s="15" t="s">
        <v>31</v>
      </c>
      <c r="D19" s="45" t="s">
        <v>32</v>
      </c>
      <c r="E19" s="17">
        <f>10000*E61</f>
        <v>820000</v>
      </c>
      <c r="F19" s="17">
        <f t="shared" ref="F19:N19" si="12">10000*F61</f>
        <v>840000</v>
      </c>
      <c r="G19" s="17">
        <f t="shared" si="12"/>
        <v>840000</v>
      </c>
      <c r="H19" s="17">
        <f t="shared" si="12"/>
        <v>810000</v>
      </c>
      <c r="I19" s="17">
        <f t="shared" si="12"/>
        <v>230000</v>
      </c>
      <c r="J19" s="17">
        <f t="shared" si="12"/>
        <v>980000</v>
      </c>
      <c r="K19" s="17">
        <f t="shared" si="12"/>
        <v>800000</v>
      </c>
      <c r="L19" s="17">
        <f t="shared" si="12"/>
        <v>550000</v>
      </c>
      <c r="M19" s="17">
        <f t="shared" si="12"/>
        <v>890000</v>
      </c>
      <c r="N19" s="17">
        <f t="shared" si="12"/>
        <v>640000</v>
      </c>
      <c r="O19" s="17"/>
      <c r="P19" s="17"/>
      <c r="Q19" s="17"/>
      <c r="R19" s="17">
        <v>0</v>
      </c>
      <c r="S19" s="17"/>
      <c r="T19" s="17"/>
      <c r="U19" s="17"/>
      <c r="V19" s="17"/>
      <c r="W19" s="17"/>
      <c r="X19" s="18">
        <f t="shared" si="1"/>
        <v>7400000</v>
      </c>
      <c r="Y19" s="16"/>
    </row>
    <row r="20" spans="1:25" ht="24.95" customHeight="1">
      <c r="A20" s="14" t="s">
        <v>63</v>
      </c>
      <c r="B20" s="24" t="s">
        <v>64</v>
      </c>
      <c r="C20" s="24"/>
      <c r="D20" s="16" t="s">
        <v>25</v>
      </c>
      <c r="E20" s="50">
        <f t="shared" ref="E20:W20" si="13">E21+E22</f>
        <v>2993088</v>
      </c>
      <c r="F20" s="50">
        <f t="shared" si="13"/>
        <v>3004368</v>
      </c>
      <c r="G20" s="50">
        <f t="shared" si="13"/>
        <v>2540136</v>
      </c>
      <c r="H20" s="50">
        <f t="shared" si="13"/>
        <v>2850876</v>
      </c>
      <c r="I20" s="50">
        <f t="shared" si="13"/>
        <v>966000</v>
      </c>
      <c r="J20" s="50">
        <f t="shared" si="13"/>
        <v>2966471.9899999998</v>
      </c>
      <c r="K20" s="50">
        <f t="shared" si="13"/>
        <v>2914727.99</v>
      </c>
      <c r="L20" s="50">
        <f t="shared" si="13"/>
        <v>2039975.99</v>
      </c>
      <c r="M20" s="50">
        <f t="shared" si="13"/>
        <v>3159286</v>
      </c>
      <c r="N20" s="50">
        <f t="shared" si="13"/>
        <v>2015136</v>
      </c>
      <c r="O20" s="50">
        <f t="shared" si="13"/>
        <v>1798128</v>
      </c>
      <c r="P20" s="50">
        <f t="shared" si="13"/>
        <v>2007887.99</v>
      </c>
      <c r="Q20" s="50">
        <f t="shared" si="13"/>
        <v>1515920</v>
      </c>
      <c r="R20" s="50">
        <f t="shared" si="13"/>
        <v>573432.01</v>
      </c>
      <c r="S20" s="50">
        <f t="shared" si="13"/>
        <v>677400</v>
      </c>
      <c r="T20" s="50">
        <f t="shared" si="13"/>
        <v>704664.01</v>
      </c>
      <c r="U20" s="50">
        <f t="shared" si="13"/>
        <v>1219607.99</v>
      </c>
      <c r="V20" s="50">
        <f t="shared" si="13"/>
        <v>1038634.01</v>
      </c>
      <c r="W20" s="50">
        <f t="shared" si="13"/>
        <v>201480.01</v>
      </c>
      <c r="X20" s="18">
        <f t="shared" si="1"/>
        <v>35187219.989999995</v>
      </c>
      <c r="Y20" s="16"/>
    </row>
    <row r="21" spans="1:25" ht="24.95" customHeight="1">
      <c r="A21" s="14" t="s">
        <v>65</v>
      </c>
      <c r="B21" s="24" t="s">
        <v>66</v>
      </c>
      <c r="C21" s="24" t="s">
        <v>67</v>
      </c>
      <c r="D21" s="16" t="s">
        <v>25</v>
      </c>
      <c r="E21" s="50">
        <f t="shared" ref="E21:W21" si="14">ROUND(E29/0.07*0.1,2)</f>
        <v>2137920</v>
      </c>
      <c r="F21" s="50">
        <f t="shared" si="14"/>
        <v>2145977.14</v>
      </c>
      <c r="G21" s="50">
        <f t="shared" si="14"/>
        <v>1814382.86</v>
      </c>
      <c r="H21" s="50">
        <f t="shared" si="14"/>
        <v>2036340</v>
      </c>
      <c r="I21" s="50">
        <f t="shared" si="14"/>
        <v>690000</v>
      </c>
      <c r="J21" s="50">
        <f t="shared" si="14"/>
        <v>2118908.5699999998</v>
      </c>
      <c r="K21" s="50">
        <f t="shared" si="14"/>
        <v>2081948.57</v>
      </c>
      <c r="L21" s="50">
        <f t="shared" si="14"/>
        <v>1457125.71</v>
      </c>
      <c r="M21" s="50">
        <f t="shared" si="14"/>
        <v>2256632.86</v>
      </c>
      <c r="N21" s="50">
        <f t="shared" si="14"/>
        <v>1439382.86</v>
      </c>
      <c r="O21" s="50">
        <f t="shared" si="14"/>
        <v>1284377.1399999999</v>
      </c>
      <c r="P21" s="50">
        <f t="shared" si="14"/>
        <v>1434205.71</v>
      </c>
      <c r="Q21" s="50">
        <f t="shared" si="14"/>
        <v>1082800</v>
      </c>
      <c r="R21" s="50">
        <f t="shared" si="14"/>
        <v>409594.29</v>
      </c>
      <c r="S21" s="50">
        <f t="shared" si="14"/>
        <v>483857.14</v>
      </c>
      <c r="T21" s="50">
        <f t="shared" si="14"/>
        <v>503331.43</v>
      </c>
      <c r="U21" s="50">
        <f t="shared" si="14"/>
        <v>871148.57</v>
      </c>
      <c r="V21" s="50">
        <f t="shared" si="14"/>
        <v>741881.43</v>
      </c>
      <c r="W21" s="50">
        <f t="shared" si="14"/>
        <v>143914.29</v>
      </c>
      <c r="X21" s="18">
        <f t="shared" si="1"/>
        <v>25133728.57</v>
      </c>
      <c r="Y21" s="16"/>
    </row>
    <row r="22" spans="1:25" ht="24.95" customHeight="1">
      <c r="A22" s="14" t="s">
        <v>68</v>
      </c>
      <c r="B22" s="24" t="s">
        <v>69</v>
      </c>
      <c r="C22" s="24" t="s">
        <v>67</v>
      </c>
      <c r="D22" s="16" t="s">
        <v>48</v>
      </c>
      <c r="E22" s="50">
        <f t="shared" ref="E22:W22" si="15">E23+E24</f>
        <v>855168</v>
      </c>
      <c r="F22" s="50">
        <f t="shared" si="15"/>
        <v>858390.86</v>
      </c>
      <c r="G22" s="50">
        <f t="shared" si="15"/>
        <v>725753.14</v>
      </c>
      <c r="H22" s="50">
        <f t="shared" si="15"/>
        <v>814536</v>
      </c>
      <c r="I22" s="50">
        <f t="shared" si="15"/>
        <v>276000</v>
      </c>
      <c r="J22" s="50">
        <f t="shared" si="15"/>
        <v>847563.42</v>
      </c>
      <c r="K22" s="50">
        <f t="shared" si="15"/>
        <v>832779.42</v>
      </c>
      <c r="L22" s="50">
        <f t="shared" si="15"/>
        <v>582850.28</v>
      </c>
      <c r="M22" s="50">
        <f t="shared" si="15"/>
        <v>902653.14</v>
      </c>
      <c r="N22" s="50">
        <f t="shared" si="15"/>
        <v>575753.14</v>
      </c>
      <c r="O22" s="50">
        <f t="shared" si="15"/>
        <v>513750.86</v>
      </c>
      <c r="P22" s="50">
        <f t="shared" si="15"/>
        <v>573682.28</v>
      </c>
      <c r="Q22" s="50">
        <f t="shared" si="15"/>
        <v>433120</v>
      </c>
      <c r="R22" s="50">
        <f t="shared" si="15"/>
        <v>163837.72</v>
      </c>
      <c r="S22" s="50">
        <f t="shared" si="15"/>
        <v>193542.86</v>
      </c>
      <c r="T22" s="50">
        <f t="shared" si="15"/>
        <v>201332.58</v>
      </c>
      <c r="U22" s="50">
        <f t="shared" si="15"/>
        <v>348459.42</v>
      </c>
      <c r="V22" s="50">
        <f t="shared" si="15"/>
        <v>296752.58</v>
      </c>
      <c r="W22" s="50">
        <f t="shared" si="15"/>
        <v>57565.72</v>
      </c>
      <c r="X22" s="18">
        <f t="shared" si="1"/>
        <v>10053491.42</v>
      </c>
      <c r="Y22" s="16"/>
    </row>
    <row r="23" spans="1:25" ht="24.95" customHeight="1">
      <c r="A23" s="14" t="s">
        <v>70</v>
      </c>
      <c r="B23" s="24" t="s">
        <v>71</v>
      </c>
      <c r="C23" s="24" t="s">
        <v>67</v>
      </c>
      <c r="D23" s="16" t="s">
        <v>48</v>
      </c>
      <c r="E23" s="50">
        <f t="shared" ref="E23:W23" si="16">ROUND(E29/0.07*0.02,2)</f>
        <v>427584</v>
      </c>
      <c r="F23" s="50">
        <f t="shared" si="16"/>
        <v>429195.43</v>
      </c>
      <c r="G23" s="50">
        <f t="shared" si="16"/>
        <v>362876.57</v>
      </c>
      <c r="H23" s="50">
        <f t="shared" si="16"/>
        <v>407268</v>
      </c>
      <c r="I23" s="50">
        <f t="shared" si="16"/>
        <v>138000</v>
      </c>
      <c r="J23" s="50">
        <f t="shared" si="16"/>
        <v>423781.71</v>
      </c>
      <c r="K23" s="50">
        <f t="shared" si="16"/>
        <v>416389.71</v>
      </c>
      <c r="L23" s="50">
        <f t="shared" si="16"/>
        <v>291425.14</v>
      </c>
      <c r="M23" s="50">
        <f t="shared" si="16"/>
        <v>451326.57</v>
      </c>
      <c r="N23" s="50">
        <f t="shared" si="16"/>
        <v>287876.57</v>
      </c>
      <c r="O23" s="50">
        <f t="shared" si="16"/>
        <v>256875.43</v>
      </c>
      <c r="P23" s="50">
        <f t="shared" si="16"/>
        <v>286841.14</v>
      </c>
      <c r="Q23" s="50">
        <f t="shared" si="16"/>
        <v>216560</v>
      </c>
      <c r="R23" s="50">
        <f t="shared" si="16"/>
        <v>81918.86</v>
      </c>
      <c r="S23" s="50">
        <f t="shared" si="16"/>
        <v>96771.43</v>
      </c>
      <c r="T23" s="50">
        <f t="shared" si="16"/>
        <v>100666.29</v>
      </c>
      <c r="U23" s="50">
        <f t="shared" si="16"/>
        <v>174229.71</v>
      </c>
      <c r="V23" s="50">
        <f t="shared" si="16"/>
        <v>148376.29</v>
      </c>
      <c r="W23" s="50">
        <f t="shared" si="16"/>
        <v>28782.86</v>
      </c>
      <c r="X23" s="18">
        <f t="shared" si="1"/>
        <v>5026745.71</v>
      </c>
      <c r="Y23" s="16"/>
    </row>
    <row r="24" spans="1:25" ht="24.95" customHeight="1">
      <c r="A24" s="14" t="s">
        <v>72</v>
      </c>
      <c r="B24" s="24" t="s">
        <v>73</v>
      </c>
      <c r="C24" s="24" t="s">
        <v>67</v>
      </c>
      <c r="D24" s="16" t="s">
        <v>48</v>
      </c>
      <c r="E24" s="50">
        <f t="shared" ref="E24:W24" si="17">ROUND(E29/0.07*0.02,2)</f>
        <v>427584</v>
      </c>
      <c r="F24" s="50">
        <f t="shared" si="17"/>
        <v>429195.43</v>
      </c>
      <c r="G24" s="50">
        <f t="shared" si="17"/>
        <v>362876.57</v>
      </c>
      <c r="H24" s="50">
        <f t="shared" si="17"/>
        <v>407268</v>
      </c>
      <c r="I24" s="50">
        <f t="shared" si="17"/>
        <v>138000</v>
      </c>
      <c r="J24" s="50">
        <f t="shared" si="17"/>
        <v>423781.71</v>
      </c>
      <c r="K24" s="50">
        <f t="shared" si="17"/>
        <v>416389.71</v>
      </c>
      <c r="L24" s="50">
        <f t="shared" si="17"/>
        <v>291425.14</v>
      </c>
      <c r="M24" s="50">
        <f t="shared" si="17"/>
        <v>451326.57</v>
      </c>
      <c r="N24" s="50">
        <f t="shared" si="17"/>
        <v>287876.57</v>
      </c>
      <c r="O24" s="50">
        <f t="shared" si="17"/>
        <v>256875.43</v>
      </c>
      <c r="P24" s="50">
        <f t="shared" si="17"/>
        <v>286841.14</v>
      </c>
      <c r="Q24" s="50">
        <f t="shared" si="17"/>
        <v>216560</v>
      </c>
      <c r="R24" s="50">
        <f t="shared" si="17"/>
        <v>81918.86</v>
      </c>
      <c r="S24" s="50">
        <f t="shared" si="17"/>
        <v>96771.43</v>
      </c>
      <c r="T24" s="50">
        <f t="shared" si="17"/>
        <v>100666.29</v>
      </c>
      <c r="U24" s="50">
        <f t="shared" si="17"/>
        <v>174229.71</v>
      </c>
      <c r="V24" s="50">
        <f t="shared" si="17"/>
        <v>148376.29</v>
      </c>
      <c r="W24" s="50">
        <f t="shared" si="17"/>
        <v>28782.86</v>
      </c>
      <c r="X24" s="18">
        <f t="shared" si="1"/>
        <v>5026745.71</v>
      </c>
      <c r="Y24" s="16"/>
    </row>
    <row r="25" spans="1:25" ht="24.95" customHeight="1">
      <c r="A25" s="14" t="s">
        <v>74</v>
      </c>
      <c r="B25" s="24" t="s">
        <v>75</v>
      </c>
      <c r="C25" s="24"/>
      <c r="D25" s="45" t="s">
        <v>25</v>
      </c>
      <c r="E25" s="18">
        <f>E26</f>
        <v>3420672</v>
      </c>
      <c r="F25" s="18">
        <f t="shared" ref="F25:W25" si="18">F26</f>
        <v>3433563.43</v>
      </c>
      <c r="G25" s="18">
        <f t="shared" si="18"/>
        <v>2903012.57</v>
      </c>
      <c r="H25" s="18">
        <f t="shared" si="18"/>
        <v>3258144</v>
      </c>
      <c r="I25" s="18">
        <f t="shared" si="18"/>
        <v>1104000</v>
      </c>
      <c r="J25" s="18">
        <f t="shared" si="18"/>
        <v>3390253.71</v>
      </c>
      <c r="K25" s="18">
        <f t="shared" si="18"/>
        <v>3331117.71</v>
      </c>
      <c r="L25" s="18">
        <f t="shared" si="18"/>
        <v>2331401.14</v>
      </c>
      <c r="M25" s="18">
        <f t="shared" si="18"/>
        <v>3610612.57</v>
      </c>
      <c r="N25" s="18">
        <f t="shared" si="18"/>
        <v>2303012.5699999998</v>
      </c>
      <c r="O25" s="18">
        <f t="shared" si="18"/>
        <v>2055003.43</v>
      </c>
      <c r="P25" s="18">
        <f t="shared" si="18"/>
        <v>2294729.14</v>
      </c>
      <c r="Q25" s="18">
        <f t="shared" si="18"/>
        <v>1732480</v>
      </c>
      <c r="R25" s="18">
        <f t="shared" si="18"/>
        <v>655350.86</v>
      </c>
      <c r="S25" s="18">
        <f t="shared" si="18"/>
        <v>774171.43</v>
      </c>
      <c r="T25" s="18">
        <f t="shared" si="18"/>
        <v>805330.29</v>
      </c>
      <c r="U25" s="18">
        <f t="shared" si="18"/>
        <v>1393837.71</v>
      </c>
      <c r="V25" s="18">
        <f t="shared" si="18"/>
        <v>1187010.29</v>
      </c>
      <c r="W25" s="18">
        <f t="shared" si="18"/>
        <v>230262.86</v>
      </c>
      <c r="X25" s="18">
        <f t="shared" si="1"/>
        <v>40213965.710000001</v>
      </c>
      <c r="Y25" s="26"/>
    </row>
    <row r="26" spans="1:25" s="44" customFormat="1" ht="24.95" customHeight="1">
      <c r="A26" s="14" t="s">
        <v>76</v>
      </c>
      <c r="B26" s="43" t="s">
        <v>77</v>
      </c>
      <c r="C26" s="43" t="s">
        <v>78</v>
      </c>
      <c r="D26" s="26" t="s">
        <v>48</v>
      </c>
      <c r="E26" s="18">
        <f t="shared" ref="E26:W26" si="19">ROUND(E29/0.07*0.16,2)</f>
        <v>3420672</v>
      </c>
      <c r="F26" s="18">
        <f t="shared" si="19"/>
        <v>3433563.43</v>
      </c>
      <c r="G26" s="18">
        <f t="shared" si="19"/>
        <v>2903012.57</v>
      </c>
      <c r="H26" s="18">
        <f t="shared" si="19"/>
        <v>3258144</v>
      </c>
      <c r="I26" s="18">
        <f t="shared" si="19"/>
        <v>1104000</v>
      </c>
      <c r="J26" s="18">
        <f t="shared" si="19"/>
        <v>3390253.71</v>
      </c>
      <c r="K26" s="18">
        <f t="shared" si="19"/>
        <v>3331117.71</v>
      </c>
      <c r="L26" s="18">
        <f t="shared" si="19"/>
        <v>2331401.14</v>
      </c>
      <c r="M26" s="18">
        <f t="shared" si="19"/>
        <v>3610612.57</v>
      </c>
      <c r="N26" s="18">
        <f t="shared" si="19"/>
        <v>2303012.5699999998</v>
      </c>
      <c r="O26" s="18">
        <f t="shared" si="19"/>
        <v>2055003.43</v>
      </c>
      <c r="P26" s="18">
        <f t="shared" si="19"/>
        <v>2294729.14</v>
      </c>
      <c r="Q26" s="18">
        <f t="shared" si="19"/>
        <v>1732480</v>
      </c>
      <c r="R26" s="18">
        <f t="shared" si="19"/>
        <v>655350.86</v>
      </c>
      <c r="S26" s="18">
        <f t="shared" si="19"/>
        <v>774171.43</v>
      </c>
      <c r="T26" s="18">
        <f t="shared" si="19"/>
        <v>805330.29</v>
      </c>
      <c r="U26" s="18">
        <f t="shared" si="19"/>
        <v>1393837.71</v>
      </c>
      <c r="V26" s="18">
        <f t="shared" si="19"/>
        <v>1187010.29</v>
      </c>
      <c r="W26" s="18">
        <f t="shared" si="19"/>
        <v>230262.86</v>
      </c>
      <c r="X26" s="18">
        <f t="shared" si="1"/>
        <v>40213965.710000001</v>
      </c>
      <c r="Y26" s="26"/>
    </row>
    <row r="27" spans="1:25" ht="24.95" customHeight="1">
      <c r="A27" s="14" t="s">
        <v>79</v>
      </c>
      <c r="B27" s="24" t="s">
        <v>80</v>
      </c>
      <c r="C27" s="24"/>
      <c r="D27" s="45" t="s">
        <v>25</v>
      </c>
      <c r="E27" s="18">
        <f>E28</f>
        <v>1710336</v>
      </c>
      <c r="F27" s="18">
        <f t="shared" ref="F27:W27" si="20">F28</f>
        <v>1716781.71</v>
      </c>
      <c r="G27" s="18">
        <f t="shared" si="20"/>
        <v>1451506.29</v>
      </c>
      <c r="H27" s="18">
        <f t="shared" si="20"/>
        <v>1629072</v>
      </c>
      <c r="I27" s="18">
        <f t="shared" si="20"/>
        <v>552000</v>
      </c>
      <c r="J27" s="18">
        <f t="shared" si="20"/>
        <v>1695126.86</v>
      </c>
      <c r="K27" s="18">
        <f t="shared" si="20"/>
        <v>1665558.86</v>
      </c>
      <c r="L27" s="18">
        <f t="shared" si="20"/>
        <v>1165700.57</v>
      </c>
      <c r="M27" s="18">
        <f t="shared" si="20"/>
        <v>1805306.29</v>
      </c>
      <c r="N27" s="18">
        <f t="shared" si="20"/>
        <v>1151506.29</v>
      </c>
      <c r="O27" s="18">
        <f t="shared" si="20"/>
        <v>1027501.71</v>
      </c>
      <c r="P27" s="18">
        <f t="shared" si="20"/>
        <v>1147364.57</v>
      </c>
      <c r="Q27" s="18">
        <f t="shared" si="20"/>
        <v>866240</v>
      </c>
      <c r="R27" s="18">
        <f t="shared" si="20"/>
        <v>327675.43</v>
      </c>
      <c r="S27" s="18">
        <f t="shared" si="20"/>
        <v>387085.71</v>
      </c>
      <c r="T27" s="18">
        <f t="shared" si="20"/>
        <v>402665.14</v>
      </c>
      <c r="U27" s="18">
        <f t="shared" si="20"/>
        <v>696918.86</v>
      </c>
      <c r="V27" s="18">
        <f t="shared" si="20"/>
        <v>593505.14</v>
      </c>
      <c r="W27" s="18">
        <f t="shared" si="20"/>
        <v>115131.43</v>
      </c>
      <c r="X27" s="18">
        <f t="shared" si="1"/>
        <v>20106982.859999999</v>
      </c>
      <c r="Y27" s="26"/>
    </row>
    <row r="28" spans="1:25" s="44" customFormat="1" ht="24.95" customHeight="1">
      <c r="A28" s="14" t="s">
        <v>81</v>
      </c>
      <c r="B28" s="43" t="s">
        <v>82</v>
      </c>
      <c r="C28" s="43" t="s">
        <v>83</v>
      </c>
      <c r="D28" s="26" t="s">
        <v>48</v>
      </c>
      <c r="E28" s="18">
        <f t="shared" ref="E28:W28" si="21">ROUND(E29/0.07*0.08,2)</f>
        <v>1710336</v>
      </c>
      <c r="F28" s="18">
        <f t="shared" si="21"/>
        <v>1716781.71</v>
      </c>
      <c r="G28" s="18">
        <f t="shared" si="21"/>
        <v>1451506.29</v>
      </c>
      <c r="H28" s="18">
        <f t="shared" si="21"/>
        <v>1629072</v>
      </c>
      <c r="I28" s="18">
        <f t="shared" si="21"/>
        <v>552000</v>
      </c>
      <c r="J28" s="18">
        <f t="shared" si="21"/>
        <v>1695126.86</v>
      </c>
      <c r="K28" s="18">
        <f t="shared" si="21"/>
        <v>1665558.86</v>
      </c>
      <c r="L28" s="18">
        <f t="shared" si="21"/>
        <v>1165700.57</v>
      </c>
      <c r="M28" s="18">
        <f t="shared" si="21"/>
        <v>1805306.29</v>
      </c>
      <c r="N28" s="18">
        <f t="shared" si="21"/>
        <v>1151506.29</v>
      </c>
      <c r="O28" s="18">
        <f t="shared" si="21"/>
        <v>1027501.71</v>
      </c>
      <c r="P28" s="18">
        <f t="shared" si="21"/>
        <v>1147364.57</v>
      </c>
      <c r="Q28" s="18">
        <f t="shared" si="21"/>
        <v>866240</v>
      </c>
      <c r="R28" s="18">
        <f t="shared" si="21"/>
        <v>327675.43</v>
      </c>
      <c r="S28" s="18">
        <f t="shared" si="21"/>
        <v>387085.71</v>
      </c>
      <c r="T28" s="18">
        <f t="shared" si="21"/>
        <v>402665.14</v>
      </c>
      <c r="U28" s="18">
        <f t="shared" si="21"/>
        <v>696918.86</v>
      </c>
      <c r="V28" s="18">
        <f t="shared" si="21"/>
        <v>593505.14</v>
      </c>
      <c r="W28" s="18">
        <f t="shared" si="21"/>
        <v>115131.43</v>
      </c>
      <c r="X28" s="18">
        <f t="shared" si="1"/>
        <v>20106982.859999999</v>
      </c>
      <c r="Y28" s="26"/>
    </row>
    <row r="29" spans="1:25" ht="24.95" customHeight="1">
      <c r="A29" s="14" t="s">
        <v>84</v>
      </c>
      <c r="B29" s="24" t="s">
        <v>85</v>
      </c>
      <c r="C29" s="24" t="s">
        <v>86</v>
      </c>
      <c r="D29" s="45" t="s">
        <v>87</v>
      </c>
      <c r="E29" s="17">
        <v>1496544</v>
      </c>
      <c r="F29" s="17">
        <f>125182*12</f>
        <v>1502184</v>
      </c>
      <c r="G29" s="17">
        <f>105839*12</f>
        <v>1270068</v>
      </c>
      <c r="H29" s="17">
        <v>1425438</v>
      </c>
      <c r="I29" s="17">
        <v>483000</v>
      </c>
      <c r="J29" s="17">
        <v>1483236</v>
      </c>
      <c r="K29" s="17">
        <v>1457364</v>
      </c>
      <c r="L29" s="17">
        <f>84999*12</f>
        <v>1019988</v>
      </c>
      <c r="M29" s="17">
        <v>1579643</v>
      </c>
      <c r="N29" s="17">
        <f>83964*12</f>
        <v>1007568</v>
      </c>
      <c r="O29" s="17">
        <v>899064</v>
      </c>
      <c r="P29" s="17">
        <v>1003944</v>
      </c>
      <c r="Q29" s="17">
        <v>757960</v>
      </c>
      <c r="R29" s="17">
        <v>286716</v>
      </c>
      <c r="S29" s="17">
        <f>28225*12</f>
        <v>338700</v>
      </c>
      <c r="T29" s="17">
        <v>352332</v>
      </c>
      <c r="U29" s="17">
        <f>50817*12</f>
        <v>609804</v>
      </c>
      <c r="V29" s="17">
        <v>519317</v>
      </c>
      <c r="W29" s="17">
        <v>100740</v>
      </c>
      <c r="X29" s="18">
        <f t="shared" si="1"/>
        <v>17593610</v>
      </c>
      <c r="Y29" s="16"/>
    </row>
    <row r="30" spans="1:25" ht="24.95" customHeight="1">
      <c r="A30" s="14" t="s">
        <v>88</v>
      </c>
      <c r="B30" s="24" t="s">
        <v>89</v>
      </c>
      <c r="C30" s="15" t="s">
        <v>31</v>
      </c>
      <c r="D30" s="26" t="s">
        <v>90</v>
      </c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  <c r="T30" s="17"/>
      <c r="U30" s="17"/>
      <c r="V30" s="17"/>
      <c r="W30" s="17"/>
      <c r="X30" s="18">
        <f t="shared" si="1"/>
        <v>0</v>
      </c>
      <c r="Y30" s="16"/>
    </row>
    <row r="31" spans="1:25" ht="24.95" customHeight="1">
      <c r="A31" s="14" t="s">
        <v>91</v>
      </c>
      <c r="B31" s="24" t="s">
        <v>92</v>
      </c>
      <c r="C31" s="24"/>
      <c r="D31" s="45" t="s">
        <v>25</v>
      </c>
      <c r="E31" s="18">
        <f t="shared" ref="E31:W31" si="22">E32+E34+E36</f>
        <v>1316580</v>
      </c>
      <c r="F31" s="18">
        <f t="shared" si="22"/>
        <v>1201080</v>
      </c>
      <c r="G31" s="18">
        <f t="shared" si="22"/>
        <v>18000</v>
      </c>
      <c r="H31" s="18">
        <f t="shared" si="22"/>
        <v>8250</v>
      </c>
      <c r="I31" s="18">
        <f t="shared" si="22"/>
        <v>0</v>
      </c>
      <c r="J31" s="18">
        <f t="shared" si="22"/>
        <v>1919880</v>
      </c>
      <c r="K31" s="18">
        <f t="shared" si="22"/>
        <v>1836600</v>
      </c>
      <c r="L31" s="18">
        <f t="shared" si="22"/>
        <v>720</v>
      </c>
      <c r="M31" s="18">
        <f t="shared" si="22"/>
        <v>5460</v>
      </c>
      <c r="N31" s="18">
        <f t="shared" si="22"/>
        <v>720</v>
      </c>
      <c r="O31" s="18">
        <f t="shared" si="22"/>
        <v>402180</v>
      </c>
      <c r="P31" s="18">
        <f t="shared" si="22"/>
        <v>419040</v>
      </c>
      <c r="Q31" s="18">
        <f t="shared" si="22"/>
        <v>16980</v>
      </c>
      <c r="R31" s="18">
        <f t="shared" si="22"/>
        <v>630</v>
      </c>
      <c r="S31" s="18">
        <f t="shared" si="22"/>
        <v>1440</v>
      </c>
      <c r="T31" s="18">
        <f t="shared" si="22"/>
        <v>720</v>
      </c>
      <c r="U31" s="18">
        <f t="shared" si="22"/>
        <v>1080</v>
      </c>
      <c r="V31" s="18">
        <f t="shared" si="22"/>
        <v>2040</v>
      </c>
      <c r="W31" s="18">
        <f t="shared" si="22"/>
        <v>359340</v>
      </c>
      <c r="X31" s="18">
        <f t="shared" si="1"/>
        <v>7510740</v>
      </c>
      <c r="Y31" s="26"/>
    </row>
    <row r="32" spans="1:25" ht="24.95" customHeight="1">
      <c r="A32" s="14" t="s">
        <v>93</v>
      </c>
      <c r="B32" s="24" t="s">
        <v>94</v>
      </c>
      <c r="C32" s="24" t="s">
        <v>95</v>
      </c>
      <c r="D32" s="16" t="s">
        <v>96</v>
      </c>
      <c r="E32" s="50">
        <f t="shared" ref="E32:W32" si="23">E33</f>
        <v>1313700</v>
      </c>
      <c r="F32" s="50">
        <f t="shared" si="23"/>
        <v>1200000</v>
      </c>
      <c r="G32" s="50">
        <f t="shared" si="23"/>
        <v>0</v>
      </c>
      <c r="H32" s="50">
        <f t="shared" si="23"/>
        <v>7890</v>
      </c>
      <c r="I32" s="50">
        <f t="shared" si="23"/>
        <v>0</v>
      </c>
      <c r="J32" s="50">
        <f t="shared" si="23"/>
        <v>1919520</v>
      </c>
      <c r="K32" s="50">
        <f t="shared" si="23"/>
        <v>1835880</v>
      </c>
      <c r="L32" s="50">
        <f t="shared" si="23"/>
        <v>0</v>
      </c>
      <c r="M32" s="50">
        <f t="shared" si="23"/>
        <v>0</v>
      </c>
      <c r="N32" s="50">
        <f t="shared" si="23"/>
        <v>0</v>
      </c>
      <c r="O32" s="50">
        <f t="shared" si="23"/>
        <v>396420</v>
      </c>
      <c r="P32" s="50">
        <f t="shared" si="23"/>
        <v>415080</v>
      </c>
      <c r="Q32" s="50">
        <f t="shared" si="23"/>
        <v>13020</v>
      </c>
      <c r="R32" s="50">
        <f t="shared" si="23"/>
        <v>0</v>
      </c>
      <c r="S32" s="50">
        <f t="shared" si="23"/>
        <v>0</v>
      </c>
      <c r="T32" s="50">
        <f t="shared" si="23"/>
        <v>0</v>
      </c>
      <c r="U32" s="50">
        <f t="shared" si="23"/>
        <v>0</v>
      </c>
      <c r="V32" s="50">
        <f t="shared" si="23"/>
        <v>0</v>
      </c>
      <c r="W32" s="50">
        <f t="shared" si="23"/>
        <v>358980</v>
      </c>
      <c r="X32" s="18">
        <f t="shared" si="1"/>
        <v>7460490</v>
      </c>
      <c r="Y32" s="16"/>
    </row>
    <row r="33" spans="1:25" ht="24.95" customHeight="1">
      <c r="A33" s="14" t="s">
        <v>97</v>
      </c>
      <c r="B33" s="24" t="s">
        <v>98</v>
      </c>
      <c r="C33" s="24" t="s">
        <v>95</v>
      </c>
      <c r="D33" s="16" t="s">
        <v>96</v>
      </c>
      <c r="E33" s="25">
        <f>109475*12</f>
        <v>1313700</v>
      </c>
      <c r="F33" s="25">
        <f>1200000</f>
        <v>1200000</v>
      </c>
      <c r="G33" s="25"/>
      <c r="H33" s="25">
        <f>1315*6</f>
        <v>7890</v>
      </c>
      <c r="I33" s="25"/>
      <c r="J33" s="25">
        <v>1919520</v>
      </c>
      <c r="K33" s="25">
        <v>1835880</v>
      </c>
      <c r="L33" s="25"/>
      <c r="M33" s="25"/>
      <c r="N33" s="25"/>
      <c r="O33" s="25">
        <v>396420</v>
      </c>
      <c r="P33" s="25">
        <f>34590*12</f>
        <v>415080</v>
      </c>
      <c r="Q33" s="25">
        <f>1085*12</f>
        <v>13020</v>
      </c>
      <c r="R33" s="25"/>
      <c r="S33" s="25"/>
      <c r="T33" s="25"/>
      <c r="U33" s="25"/>
      <c r="V33" s="25"/>
      <c r="W33" s="25">
        <v>358980</v>
      </c>
      <c r="X33" s="18">
        <f t="shared" si="1"/>
        <v>7460490</v>
      </c>
      <c r="Y33" s="26"/>
    </row>
    <row r="34" spans="1:25" ht="24.95" customHeight="1">
      <c r="A34" s="14" t="s">
        <v>99</v>
      </c>
      <c r="B34" s="24" t="s">
        <v>100</v>
      </c>
      <c r="C34" s="24"/>
      <c r="D34" s="45" t="s">
        <v>25</v>
      </c>
      <c r="E34" s="18">
        <f t="shared" ref="E34:W34" si="24">E35</f>
        <v>2880</v>
      </c>
      <c r="F34" s="18">
        <f t="shared" si="24"/>
        <v>1080</v>
      </c>
      <c r="G34" s="18">
        <f t="shared" si="24"/>
        <v>18000</v>
      </c>
      <c r="H34" s="18">
        <f t="shared" si="24"/>
        <v>360</v>
      </c>
      <c r="I34" s="18">
        <f t="shared" si="24"/>
        <v>0</v>
      </c>
      <c r="J34" s="18">
        <f t="shared" si="24"/>
        <v>360</v>
      </c>
      <c r="K34" s="18">
        <f t="shared" si="24"/>
        <v>720</v>
      </c>
      <c r="L34" s="18">
        <f t="shared" si="24"/>
        <v>720</v>
      </c>
      <c r="M34" s="18">
        <f t="shared" si="24"/>
        <v>5460</v>
      </c>
      <c r="N34" s="18">
        <f t="shared" si="24"/>
        <v>720</v>
      </c>
      <c r="O34" s="18">
        <f t="shared" si="24"/>
        <v>5760</v>
      </c>
      <c r="P34" s="18">
        <f t="shared" si="24"/>
        <v>3960</v>
      </c>
      <c r="Q34" s="18">
        <f t="shared" si="24"/>
        <v>3960</v>
      </c>
      <c r="R34" s="18">
        <f t="shared" si="24"/>
        <v>630</v>
      </c>
      <c r="S34" s="18">
        <f t="shared" si="24"/>
        <v>1440</v>
      </c>
      <c r="T34" s="18">
        <f t="shared" si="24"/>
        <v>720</v>
      </c>
      <c r="U34" s="18">
        <f t="shared" si="24"/>
        <v>1080</v>
      </c>
      <c r="V34" s="18">
        <f t="shared" si="24"/>
        <v>2040</v>
      </c>
      <c r="W34" s="18">
        <f t="shared" si="24"/>
        <v>360</v>
      </c>
      <c r="X34" s="18">
        <f t="shared" si="1"/>
        <v>50250</v>
      </c>
      <c r="Y34" s="26"/>
    </row>
    <row r="35" spans="1:25" ht="24.95" customHeight="1">
      <c r="A35" s="14" t="s">
        <v>101</v>
      </c>
      <c r="B35" s="24" t="s">
        <v>102</v>
      </c>
      <c r="C35" s="24" t="s">
        <v>31</v>
      </c>
      <c r="D35" s="45" t="s">
        <v>32</v>
      </c>
      <c r="E35" s="25">
        <f>240*12</f>
        <v>2880</v>
      </c>
      <c r="F35" s="25">
        <f>30*12*3</f>
        <v>1080</v>
      </c>
      <c r="G35" s="25">
        <f>30*12*50</f>
        <v>18000</v>
      </c>
      <c r="H35" s="25">
        <v>360</v>
      </c>
      <c r="I35" s="25"/>
      <c r="J35" s="25">
        <v>360</v>
      </c>
      <c r="K35" s="25">
        <v>720</v>
      </c>
      <c r="L35" s="25">
        <f>60*12</f>
        <v>720</v>
      </c>
      <c r="M35" s="25">
        <v>5460</v>
      </c>
      <c r="N35" s="25">
        <v>720</v>
      </c>
      <c r="O35" s="25">
        <v>5760</v>
      </c>
      <c r="P35" s="25">
        <f>330*12</f>
        <v>3960</v>
      </c>
      <c r="Q35" s="25">
        <v>3960</v>
      </c>
      <c r="R35" s="25">
        <v>630</v>
      </c>
      <c r="S35" s="25">
        <f>120*12</f>
        <v>1440</v>
      </c>
      <c r="T35" s="25">
        <v>720</v>
      </c>
      <c r="U35" s="25">
        <v>1080</v>
      </c>
      <c r="V35" s="25">
        <v>2040</v>
      </c>
      <c r="W35" s="25">
        <v>360</v>
      </c>
      <c r="X35" s="18">
        <f t="shared" si="1"/>
        <v>50250</v>
      </c>
      <c r="Y35" s="26"/>
    </row>
    <row r="36" spans="1:25" ht="24.95" customHeight="1">
      <c r="A36" s="14" t="s">
        <v>103</v>
      </c>
      <c r="B36" s="24" t="s">
        <v>104</v>
      </c>
      <c r="C36" s="24"/>
      <c r="D36" s="45" t="s">
        <v>25</v>
      </c>
      <c r="E36" s="18">
        <f t="shared" ref="E36:W36" si="25">E37</f>
        <v>0</v>
      </c>
      <c r="F36" s="18">
        <f t="shared" si="25"/>
        <v>0</v>
      </c>
      <c r="G36" s="18">
        <f t="shared" si="25"/>
        <v>0</v>
      </c>
      <c r="H36" s="18">
        <f t="shared" si="25"/>
        <v>0</v>
      </c>
      <c r="I36" s="18">
        <f t="shared" si="25"/>
        <v>0</v>
      </c>
      <c r="J36" s="18">
        <f t="shared" si="25"/>
        <v>0</v>
      </c>
      <c r="K36" s="18">
        <f t="shared" si="25"/>
        <v>0</v>
      </c>
      <c r="L36" s="18">
        <f t="shared" si="25"/>
        <v>0</v>
      </c>
      <c r="M36" s="18">
        <f t="shared" si="25"/>
        <v>0</v>
      </c>
      <c r="N36" s="18">
        <f t="shared" si="25"/>
        <v>0</v>
      </c>
      <c r="O36" s="18">
        <f t="shared" si="25"/>
        <v>0</v>
      </c>
      <c r="P36" s="18">
        <f t="shared" si="25"/>
        <v>0</v>
      </c>
      <c r="Q36" s="18">
        <f t="shared" si="25"/>
        <v>0</v>
      </c>
      <c r="R36" s="18">
        <f t="shared" si="25"/>
        <v>0</v>
      </c>
      <c r="S36" s="18">
        <f t="shared" si="25"/>
        <v>0</v>
      </c>
      <c r="T36" s="18">
        <f t="shared" si="25"/>
        <v>0</v>
      </c>
      <c r="U36" s="18">
        <f t="shared" si="25"/>
        <v>0</v>
      </c>
      <c r="V36" s="18">
        <f t="shared" si="25"/>
        <v>0</v>
      </c>
      <c r="W36" s="18">
        <f t="shared" si="25"/>
        <v>0</v>
      </c>
      <c r="X36" s="18">
        <f t="shared" si="1"/>
        <v>0</v>
      </c>
      <c r="Y36" s="26"/>
    </row>
    <row r="37" spans="1:25" ht="24.95" customHeight="1">
      <c r="A37" s="14" t="s">
        <v>105</v>
      </c>
      <c r="B37" s="24" t="s">
        <v>106</v>
      </c>
      <c r="C37" s="24" t="s">
        <v>31</v>
      </c>
      <c r="D37" s="16" t="s">
        <v>107</v>
      </c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17"/>
      <c r="P37" s="17"/>
      <c r="Q37" s="17"/>
      <c r="R37" s="17"/>
      <c r="S37" s="17"/>
      <c r="T37" s="17"/>
      <c r="U37" s="17"/>
      <c r="V37" s="17"/>
      <c r="W37" s="17"/>
      <c r="X37" s="18">
        <f t="shared" si="1"/>
        <v>0</v>
      </c>
      <c r="Y37" s="16"/>
    </row>
    <row r="38" spans="1:25" ht="24.95" customHeight="1">
      <c r="A38" s="14" t="s">
        <v>108</v>
      </c>
      <c r="B38" s="24" t="s">
        <v>109</v>
      </c>
      <c r="C38" s="24"/>
      <c r="D38" s="45" t="s">
        <v>25</v>
      </c>
      <c r="E38" s="18">
        <f t="shared" ref="E38:W38" si="26">E39+E41+E43+E45+E47+E50+E52+E54+E58</f>
        <v>5498671</v>
      </c>
      <c r="F38" s="18">
        <f t="shared" si="26"/>
        <v>5674180.4299999997</v>
      </c>
      <c r="G38" s="18">
        <f t="shared" si="26"/>
        <v>5747825.9199999999</v>
      </c>
      <c r="H38" s="18">
        <f t="shared" si="26"/>
        <v>5637420.5</v>
      </c>
      <c r="I38" s="18">
        <f t="shared" si="26"/>
        <v>2901077.5</v>
      </c>
      <c r="J38" s="18">
        <f t="shared" si="26"/>
        <v>7138562.96</v>
      </c>
      <c r="K38" s="18">
        <f t="shared" si="26"/>
        <v>5445922.5599999996</v>
      </c>
      <c r="L38" s="18">
        <f t="shared" si="26"/>
        <v>4313509.6899999995</v>
      </c>
      <c r="M38" s="18">
        <f t="shared" si="26"/>
        <v>5928598.1699999999</v>
      </c>
      <c r="N38" s="18">
        <f t="shared" si="26"/>
        <v>4423357.72</v>
      </c>
      <c r="O38" s="18">
        <f t="shared" si="26"/>
        <v>2683248.98</v>
      </c>
      <c r="P38" s="18">
        <f t="shared" si="26"/>
        <v>3527667.8400000003</v>
      </c>
      <c r="Q38" s="18">
        <f t="shared" si="26"/>
        <v>2731699.8</v>
      </c>
      <c r="R38" s="18">
        <f t="shared" si="26"/>
        <v>1170478.8600000001</v>
      </c>
      <c r="S38" s="18">
        <f t="shared" si="26"/>
        <v>1474480.28</v>
      </c>
      <c r="T38" s="18">
        <f t="shared" si="26"/>
        <v>2197312.29</v>
      </c>
      <c r="U38" s="18">
        <f t="shared" si="26"/>
        <v>2319118.4299999997</v>
      </c>
      <c r="V38" s="18">
        <f t="shared" si="26"/>
        <v>2489236.29</v>
      </c>
      <c r="W38" s="18">
        <f t="shared" si="26"/>
        <v>408222.86</v>
      </c>
      <c r="X38" s="18">
        <f t="shared" si="1"/>
        <v>71710592.080000013</v>
      </c>
      <c r="Y38" s="26"/>
    </row>
    <row r="39" spans="1:25" ht="24.95" customHeight="1">
      <c r="A39" s="14" t="s">
        <v>110</v>
      </c>
      <c r="B39" s="24" t="s">
        <v>111</v>
      </c>
      <c r="C39" s="24"/>
      <c r="D39" s="45" t="s">
        <v>112</v>
      </c>
      <c r="E39" s="25">
        <v>3953150</v>
      </c>
      <c r="F39" s="25">
        <v>4245700</v>
      </c>
      <c r="G39" s="25">
        <v>4080510</v>
      </c>
      <c r="H39" s="25">
        <v>4532850</v>
      </c>
      <c r="I39" s="25">
        <v>2316150</v>
      </c>
      <c r="J39" s="25">
        <v>5214890</v>
      </c>
      <c r="K39" s="25">
        <v>3810020</v>
      </c>
      <c r="L39" s="25">
        <v>3390250</v>
      </c>
      <c r="M39" s="25">
        <v>4562520</v>
      </c>
      <c r="N39" s="25">
        <v>3552110</v>
      </c>
      <c r="O39" s="25">
        <v>1841840</v>
      </c>
      <c r="P39" s="25">
        <v>2578280</v>
      </c>
      <c r="Q39" s="25">
        <f>+'[1]2024年初幼儿园生均'!$I$11+'[1]2024年初幼儿园生均'!$I$12</f>
        <v>2022020</v>
      </c>
      <c r="R39" s="25">
        <v>858000</v>
      </c>
      <c r="S39" s="25">
        <v>1125380</v>
      </c>
      <c r="T39" s="25">
        <v>1730280</v>
      </c>
      <c r="U39" s="25">
        <f>300*2860*2</f>
        <v>1716000</v>
      </c>
      <c r="V39" s="25">
        <v>1881840</v>
      </c>
      <c r="W39" s="25">
        <v>134400</v>
      </c>
      <c r="X39" s="18">
        <f t="shared" si="1"/>
        <v>53546190</v>
      </c>
      <c r="Y39" s="26"/>
    </row>
    <row r="40" spans="1:25" ht="24.95" customHeight="1">
      <c r="A40" s="14" t="s">
        <v>113</v>
      </c>
      <c r="B40" s="24" t="s">
        <v>114</v>
      </c>
      <c r="C40" s="24" t="s">
        <v>115</v>
      </c>
      <c r="D40" s="27" t="s">
        <v>116</v>
      </c>
      <c r="E40" s="25">
        <v>197657.5</v>
      </c>
      <c r="F40" s="25">
        <v>212285</v>
      </c>
      <c r="G40" s="25">
        <v>204025.5</v>
      </c>
      <c r="H40" s="25">
        <v>226642.5</v>
      </c>
      <c r="I40" s="25">
        <v>79232.5</v>
      </c>
      <c r="J40" s="25">
        <v>260744.5</v>
      </c>
      <c r="K40" s="25">
        <v>190501</v>
      </c>
      <c r="L40" s="25">
        <v>169512.5</v>
      </c>
      <c r="M40" s="25">
        <v>228126</v>
      </c>
      <c r="N40" s="25">
        <v>177605.5</v>
      </c>
      <c r="O40" s="25">
        <v>92092</v>
      </c>
      <c r="P40" s="25">
        <v>128914</v>
      </c>
      <c r="Q40" s="25">
        <f>+'[1]2024年初幼儿园生均'!$J$11+'[1]2024年初幼儿园生均'!$J$12</f>
        <v>101101</v>
      </c>
      <c r="R40" s="25">
        <v>41899</v>
      </c>
      <c r="S40" s="25">
        <v>56269</v>
      </c>
      <c r="T40" s="25">
        <v>62919</v>
      </c>
      <c r="U40" s="25">
        <v>64779</v>
      </c>
      <c r="V40" s="25">
        <v>86942</v>
      </c>
      <c r="W40" s="25">
        <v>6720</v>
      </c>
      <c r="X40" s="18">
        <f t="shared" si="1"/>
        <v>2587967.5</v>
      </c>
      <c r="Y40" s="26"/>
    </row>
    <row r="41" spans="1:25" ht="24.95" customHeight="1">
      <c r="A41" s="14" t="s">
        <v>117</v>
      </c>
      <c r="B41" s="24" t="s">
        <v>118</v>
      </c>
      <c r="C41" s="24"/>
      <c r="D41" s="45"/>
      <c r="E41" s="18">
        <f t="shared" ref="E41:W41" si="27">E42</f>
        <v>32800</v>
      </c>
      <c r="F41" s="18">
        <f t="shared" si="27"/>
        <v>33600</v>
      </c>
      <c r="G41" s="18">
        <f t="shared" si="27"/>
        <v>33600</v>
      </c>
      <c r="H41" s="18">
        <f t="shared" si="27"/>
        <v>32400</v>
      </c>
      <c r="I41" s="18">
        <f t="shared" si="27"/>
        <v>9200</v>
      </c>
      <c r="J41" s="18">
        <f t="shared" si="27"/>
        <v>39200</v>
      </c>
      <c r="K41" s="18">
        <f t="shared" si="27"/>
        <v>32000</v>
      </c>
      <c r="L41" s="18">
        <f t="shared" si="27"/>
        <v>22000</v>
      </c>
      <c r="M41" s="18">
        <f t="shared" si="27"/>
        <v>35600</v>
      </c>
      <c r="N41" s="18">
        <f t="shared" si="27"/>
        <v>25600</v>
      </c>
      <c r="O41" s="18">
        <f t="shared" si="27"/>
        <v>23200</v>
      </c>
      <c r="P41" s="18">
        <f t="shared" si="27"/>
        <v>24000</v>
      </c>
      <c r="Q41" s="18">
        <f t="shared" si="27"/>
        <v>22000</v>
      </c>
      <c r="R41" s="18">
        <f t="shared" si="27"/>
        <v>7200</v>
      </c>
      <c r="S41" s="18">
        <f t="shared" si="27"/>
        <v>9200</v>
      </c>
      <c r="T41" s="18">
        <f t="shared" si="27"/>
        <v>9600</v>
      </c>
      <c r="U41" s="18">
        <f t="shared" si="27"/>
        <v>15600</v>
      </c>
      <c r="V41" s="18">
        <f t="shared" si="27"/>
        <v>15200</v>
      </c>
      <c r="W41" s="18">
        <f t="shared" si="27"/>
        <v>2400</v>
      </c>
      <c r="X41" s="18">
        <f t="shared" si="1"/>
        <v>424400</v>
      </c>
      <c r="Y41" s="26"/>
    </row>
    <row r="42" spans="1:25" s="44" customFormat="1" ht="24.95" customHeight="1">
      <c r="A42" s="14" t="s">
        <v>119</v>
      </c>
      <c r="B42" s="43" t="s">
        <v>120</v>
      </c>
      <c r="C42" s="43" t="s">
        <v>31</v>
      </c>
      <c r="D42" s="51" t="s">
        <v>121</v>
      </c>
      <c r="E42" s="18">
        <f t="shared" ref="E42:W42" si="28">E61*400</f>
        <v>32800</v>
      </c>
      <c r="F42" s="18">
        <f t="shared" si="28"/>
        <v>33600</v>
      </c>
      <c r="G42" s="18">
        <f t="shared" si="28"/>
        <v>33600</v>
      </c>
      <c r="H42" s="18">
        <f t="shared" si="28"/>
        <v>32400</v>
      </c>
      <c r="I42" s="18">
        <f t="shared" si="28"/>
        <v>9200</v>
      </c>
      <c r="J42" s="18">
        <f t="shared" si="28"/>
        <v>39200</v>
      </c>
      <c r="K42" s="18">
        <f t="shared" si="28"/>
        <v>32000</v>
      </c>
      <c r="L42" s="18">
        <f t="shared" si="28"/>
        <v>22000</v>
      </c>
      <c r="M42" s="18">
        <f t="shared" si="28"/>
        <v>35600</v>
      </c>
      <c r="N42" s="18">
        <f t="shared" si="28"/>
        <v>25600</v>
      </c>
      <c r="O42" s="18">
        <f t="shared" si="28"/>
        <v>23200</v>
      </c>
      <c r="P42" s="18">
        <f t="shared" si="28"/>
        <v>24000</v>
      </c>
      <c r="Q42" s="18">
        <f t="shared" si="28"/>
        <v>22000</v>
      </c>
      <c r="R42" s="18">
        <f t="shared" si="28"/>
        <v>7200</v>
      </c>
      <c r="S42" s="18">
        <f t="shared" si="28"/>
        <v>9200</v>
      </c>
      <c r="T42" s="18">
        <f t="shared" si="28"/>
        <v>9600</v>
      </c>
      <c r="U42" s="18">
        <f t="shared" si="28"/>
        <v>15600</v>
      </c>
      <c r="V42" s="18">
        <f t="shared" si="28"/>
        <v>15200</v>
      </c>
      <c r="W42" s="18">
        <f t="shared" si="28"/>
        <v>2400</v>
      </c>
      <c r="X42" s="18">
        <f t="shared" si="1"/>
        <v>424400</v>
      </c>
      <c r="Y42" s="26"/>
    </row>
    <row r="43" spans="1:25" ht="24.95" customHeight="1">
      <c r="A43" s="14" t="s">
        <v>122</v>
      </c>
      <c r="B43" s="24" t="s">
        <v>123</v>
      </c>
      <c r="C43" s="24"/>
      <c r="D43" s="45" t="s">
        <v>25</v>
      </c>
      <c r="E43" s="18">
        <f t="shared" ref="E43:W43" si="29">E44</f>
        <v>255945</v>
      </c>
      <c r="F43" s="18">
        <f t="shared" si="29"/>
        <v>178845</v>
      </c>
      <c r="G43" s="18">
        <f t="shared" si="29"/>
        <v>715855.35000000009</v>
      </c>
      <c r="H43" s="18">
        <f t="shared" si="29"/>
        <v>191830.5</v>
      </c>
      <c r="I43" s="18">
        <f t="shared" si="29"/>
        <v>237987.90000000002</v>
      </c>
      <c r="J43" s="18">
        <f t="shared" si="29"/>
        <v>353195.25</v>
      </c>
      <c r="K43" s="18">
        <f t="shared" si="29"/>
        <v>247352.84999999998</v>
      </c>
      <c r="L43" s="18">
        <f t="shared" si="29"/>
        <v>249734.55000000002</v>
      </c>
      <c r="M43" s="18">
        <f t="shared" si="29"/>
        <v>328071.59999999998</v>
      </c>
      <c r="N43" s="18">
        <f t="shared" si="29"/>
        <v>178714.35</v>
      </c>
      <c r="O43" s="18">
        <f t="shared" si="29"/>
        <v>114821.55</v>
      </c>
      <c r="P43" s="18">
        <f t="shared" si="29"/>
        <v>181706.7</v>
      </c>
      <c r="Q43" s="18">
        <f t="shared" si="29"/>
        <v>156571.80000000002</v>
      </c>
      <c r="R43" s="18">
        <f t="shared" si="29"/>
        <v>91200</v>
      </c>
      <c r="S43" s="18">
        <f t="shared" si="29"/>
        <v>86216.85</v>
      </c>
      <c r="T43" s="18">
        <f t="shared" si="29"/>
        <v>179094</v>
      </c>
      <c r="U43" s="18">
        <f t="shared" si="29"/>
        <v>169290</v>
      </c>
      <c r="V43" s="18">
        <f t="shared" si="29"/>
        <v>202800</v>
      </c>
      <c r="W43" s="18">
        <f t="shared" si="29"/>
        <v>84720</v>
      </c>
      <c r="X43" s="18">
        <f t="shared" si="1"/>
        <v>4203953.25</v>
      </c>
      <c r="Y43" s="26"/>
    </row>
    <row r="44" spans="1:25" s="44" customFormat="1" ht="24.95" customHeight="1">
      <c r="A44" s="14" t="s">
        <v>124</v>
      </c>
      <c r="B44" s="43" t="s">
        <v>125</v>
      </c>
      <c r="C44" s="43" t="s">
        <v>31</v>
      </c>
      <c r="D44" s="51" t="s">
        <v>126</v>
      </c>
      <c r="E44" s="18">
        <f t="shared" ref="E44:W44" si="30">E72*15</f>
        <v>255945</v>
      </c>
      <c r="F44" s="18">
        <f t="shared" si="30"/>
        <v>178845</v>
      </c>
      <c r="G44" s="18">
        <f t="shared" si="30"/>
        <v>715855.35000000009</v>
      </c>
      <c r="H44" s="18">
        <f t="shared" si="30"/>
        <v>191830.5</v>
      </c>
      <c r="I44" s="18">
        <f t="shared" si="30"/>
        <v>237987.90000000002</v>
      </c>
      <c r="J44" s="18">
        <f t="shared" si="30"/>
        <v>353195.25</v>
      </c>
      <c r="K44" s="18">
        <f t="shared" si="30"/>
        <v>247352.84999999998</v>
      </c>
      <c r="L44" s="18">
        <f t="shared" si="30"/>
        <v>249734.55000000002</v>
      </c>
      <c r="M44" s="18">
        <f t="shared" si="30"/>
        <v>328071.59999999998</v>
      </c>
      <c r="N44" s="18">
        <f t="shared" si="30"/>
        <v>178714.35</v>
      </c>
      <c r="O44" s="18">
        <f t="shared" si="30"/>
        <v>114821.55</v>
      </c>
      <c r="P44" s="18">
        <f t="shared" si="30"/>
        <v>181706.7</v>
      </c>
      <c r="Q44" s="18">
        <f t="shared" si="30"/>
        <v>156571.80000000002</v>
      </c>
      <c r="R44" s="18">
        <f t="shared" si="30"/>
        <v>91200</v>
      </c>
      <c r="S44" s="18">
        <f t="shared" si="30"/>
        <v>86216.85</v>
      </c>
      <c r="T44" s="18">
        <f t="shared" si="30"/>
        <v>179094</v>
      </c>
      <c r="U44" s="18">
        <f t="shared" si="30"/>
        <v>169290</v>
      </c>
      <c r="V44" s="18">
        <f t="shared" si="30"/>
        <v>202800</v>
      </c>
      <c r="W44" s="18">
        <f t="shared" si="30"/>
        <v>84720</v>
      </c>
      <c r="X44" s="18">
        <f t="shared" si="1"/>
        <v>4203953.25</v>
      </c>
      <c r="Y44" s="26"/>
    </row>
    <row r="45" spans="1:25" ht="24.95" customHeight="1">
      <c r="A45" s="14" t="s">
        <v>127</v>
      </c>
      <c r="B45" s="24" t="s">
        <v>128</v>
      </c>
      <c r="C45" s="24"/>
      <c r="D45" s="45" t="s">
        <v>25</v>
      </c>
      <c r="E45" s="18">
        <f t="shared" ref="E45:W45" si="31">E46</f>
        <v>126632</v>
      </c>
      <c r="F45" s="18">
        <f t="shared" si="31"/>
        <v>82880</v>
      </c>
      <c r="G45" s="18">
        <f t="shared" si="31"/>
        <v>130104</v>
      </c>
      <c r="H45" s="18">
        <f t="shared" si="31"/>
        <v>81432</v>
      </c>
      <c r="I45" s="18">
        <f t="shared" si="31"/>
        <v>68379.600000000006</v>
      </c>
      <c r="J45" s="18">
        <f t="shared" si="31"/>
        <v>157696</v>
      </c>
      <c r="K45" s="18">
        <f t="shared" si="31"/>
        <v>89280</v>
      </c>
      <c r="L45" s="18">
        <f t="shared" si="31"/>
        <v>89000</v>
      </c>
      <c r="M45" s="18">
        <f t="shared" si="31"/>
        <v>125600</v>
      </c>
      <c r="N45" s="18">
        <f t="shared" si="31"/>
        <v>67576.800000000003</v>
      </c>
      <c r="O45" s="18">
        <f t="shared" si="31"/>
        <v>41072</v>
      </c>
      <c r="P45" s="18">
        <f t="shared" si="31"/>
        <v>34640</v>
      </c>
      <c r="Q45" s="18">
        <f t="shared" si="31"/>
        <v>34128</v>
      </c>
      <c r="R45" s="18">
        <f t="shared" si="31"/>
        <v>20000</v>
      </c>
      <c r="S45" s="18">
        <f t="shared" si="31"/>
        <v>20152</v>
      </c>
      <c r="T45" s="18">
        <f t="shared" si="31"/>
        <v>39992</v>
      </c>
      <c r="U45" s="18">
        <f t="shared" si="31"/>
        <v>37018.720000000001</v>
      </c>
      <c r="V45" s="18">
        <f t="shared" si="31"/>
        <v>40360</v>
      </c>
      <c r="W45" s="18">
        <f t="shared" si="31"/>
        <v>18560</v>
      </c>
      <c r="X45" s="18">
        <f t="shared" si="1"/>
        <v>1304503.1199999999</v>
      </c>
      <c r="Y45" s="26"/>
    </row>
    <row r="46" spans="1:25" s="44" customFormat="1" ht="24.95" customHeight="1">
      <c r="A46" s="14" t="s">
        <v>129</v>
      </c>
      <c r="B46" s="43" t="s">
        <v>130</v>
      </c>
      <c r="C46" s="43" t="s">
        <v>31</v>
      </c>
      <c r="D46" s="51" t="s">
        <v>131</v>
      </c>
      <c r="E46" s="18">
        <f t="shared" ref="E46:W46" si="32">E73*8</f>
        <v>126632</v>
      </c>
      <c r="F46" s="18">
        <f t="shared" si="32"/>
        <v>82880</v>
      </c>
      <c r="G46" s="18">
        <f t="shared" si="32"/>
        <v>130104</v>
      </c>
      <c r="H46" s="18">
        <f t="shared" si="32"/>
        <v>81432</v>
      </c>
      <c r="I46" s="18">
        <f t="shared" si="32"/>
        <v>68379.600000000006</v>
      </c>
      <c r="J46" s="18">
        <f t="shared" si="32"/>
        <v>157696</v>
      </c>
      <c r="K46" s="18">
        <f t="shared" si="32"/>
        <v>89280</v>
      </c>
      <c r="L46" s="18">
        <f t="shared" si="32"/>
        <v>89000</v>
      </c>
      <c r="M46" s="18">
        <f t="shared" si="32"/>
        <v>125600</v>
      </c>
      <c r="N46" s="18">
        <f t="shared" si="32"/>
        <v>67576.800000000003</v>
      </c>
      <c r="O46" s="18">
        <f t="shared" si="32"/>
        <v>41072</v>
      </c>
      <c r="P46" s="18">
        <f t="shared" si="32"/>
        <v>34640</v>
      </c>
      <c r="Q46" s="18">
        <f t="shared" si="32"/>
        <v>34128</v>
      </c>
      <c r="R46" s="18">
        <f t="shared" si="32"/>
        <v>20000</v>
      </c>
      <c r="S46" s="18">
        <f t="shared" si="32"/>
        <v>20152</v>
      </c>
      <c r="T46" s="18">
        <f t="shared" si="32"/>
        <v>39992</v>
      </c>
      <c r="U46" s="18">
        <f t="shared" si="32"/>
        <v>37018.720000000001</v>
      </c>
      <c r="V46" s="18">
        <f t="shared" si="32"/>
        <v>40360</v>
      </c>
      <c r="W46" s="18">
        <f t="shared" si="32"/>
        <v>18560</v>
      </c>
      <c r="X46" s="18">
        <f t="shared" si="1"/>
        <v>1304503.1199999999</v>
      </c>
      <c r="Y46" s="26"/>
    </row>
    <row r="47" spans="1:25" ht="24.95" customHeight="1">
      <c r="A47" s="14" t="s">
        <v>132</v>
      </c>
      <c r="B47" s="24" t="s">
        <v>133</v>
      </c>
      <c r="C47" s="24"/>
      <c r="D47" s="45" t="s">
        <v>25</v>
      </c>
      <c r="E47" s="18">
        <f t="shared" ref="E47:W47" si="33">E48+E49</f>
        <v>639360</v>
      </c>
      <c r="F47" s="18">
        <f t="shared" si="33"/>
        <v>639360</v>
      </c>
      <c r="G47" s="18">
        <f t="shared" si="33"/>
        <v>362880</v>
      </c>
      <c r="H47" s="18">
        <f t="shared" si="33"/>
        <v>354240</v>
      </c>
      <c r="I47" s="18">
        <f t="shared" si="33"/>
        <v>99360</v>
      </c>
      <c r="J47" s="18">
        <f t="shared" si="33"/>
        <v>864000</v>
      </c>
      <c r="K47" s="18">
        <f t="shared" si="33"/>
        <v>773280</v>
      </c>
      <c r="L47" s="18">
        <f t="shared" si="33"/>
        <v>237600</v>
      </c>
      <c r="M47" s="18">
        <f t="shared" si="33"/>
        <v>384480</v>
      </c>
      <c r="N47" s="18">
        <f t="shared" si="33"/>
        <v>276480</v>
      </c>
      <c r="O47" s="18">
        <f t="shared" si="33"/>
        <v>354240</v>
      </c>
      <c r="P47" s="18">
        <f t="shared" si="33"/>
        <v>367200</v>
      </c>
      <c r="Q47" s="18">
        <f t="shared" si="33"/>
        <v>241920</v>
      </c>
      <c r="R47" s="18">
        <f t="shared" si="33"/>
        <v>77760</v>
      </c>
      <c r="S47" s="18">
        <f t="shared" si="33"/>
        <v>99360</v>
      </c>
      <c r="T47" s="18">
        <f t="shared" si="33"/>
        <v>103680</v>
      </c>
      <c r="U47" s="18">
        <f t="shared" si="33"/>
        <v>168480</v>
      </c>
      <c r="V47" s="18">
        <f t="shared" si="33"/>
        <v>164160</v>
      </c>
      <c r="W47" s="18">
        <f t="shared" si="33"/>
        <v>99360</v>
      </c>
      <c r="X47" s="18">
        <f t="shared" si="1"/>
        <v>6307200</v>
      </c>
      <c r="Y47" s="26"/>
    </row>
    <row r="48" spans="1:25" s="44" customFormat="1" ht="24.95" customHeight="1">
      <c r="A48" s="14" t="s">
        <v>134</v>
      </c>
      <c r="B48" s="43" t="s">
        <v>135</v>
      </c>
      <c r="C48" s="43" t="s">
        <v>31</v>
      </c>
      <c r="D48" s="51" t="s">
        <v>136</v>
      </c>
      <c r="E48" s="18">
        <f t="shared" ref="E48:W48" si="34">E61*4320</f>
        <v>354240</v>
      </c>
      <c r="F48" s="18">
        <f t="shared" si="34"/>
        <v>362880</v>
      </c>
      <c r="G48" s="18">
        <f t="shared" si="34"/>
        <v>362880</v>
      </c>
      <c r="H48" s="18">
        <f t="shared" si="34"/>
        <v>349920</v>
      </c>
      <c r="I48" s="18">
        <f t="shared" si="34"/>
        <v>99360</v>
      </c>
      <c r="J48" s="18">
        <f t="shared" si="34"/>
        <v>423360</v>
      </c>
      <c r="K48" s="18">
        <f t="shared" si="34"/>
        <v>345600</v>
      </c>
      <c r="L48" s="18">
        <f t="shared" si="34"/>
        <v>237600</v>
      </c>
      <c r="M48" s="18">
        <f t="shared" si="34"/>
        <v>384480</v>
      </c>
      <c r="N48" s="18">
        <f t="shared" si="34"/>
        <v>276480</v>
      </c>
      <c r="O48" s="18">
        <f t="shared" si="34"/>
        <v>250560</v>
      </c>
      <c r="P48" s="18">
        <f t="shared" si="34"/>
        <v>259200</v>
      </c>
      <c r="Q48" s="18">
        <f t="shared" si="34"/>
        <v>237600</v>
      </c>
      <c r="R48" s="18">
        <f t="shared" si="34"/>
        <v>77760</v>
      </c>
      <c r="S48" s="18">
        <f t="shared" si="34"/>
        <v>99360</v>
      </c>
      <c r="T48" s="18">
        <f t="shared" si="34"/>
        <v>103680</v>
      </c>
      <c r="U48" s="18">
        <f t="shared" si="34"/>
        <v>168480</v>
      </c>
      <c r="V48" s="18">
        <f t="shared" si="34"/>
        <v>164160</v>
      </c>
      <c r="W48" s="18">
        <f t="shared" si="34"/>
        <v>25920</v>
      </c>
      <c r="X48" s="18">
        <f t="shared" si="1"/>
        <v>4583520</v>
      </c>
      <c r="Y48" s="26"/>
    </row>
    <row r="49" spans="1:25" s="44" customFormat="1" ht="24.95" customHeight="1">
      <c r="A49" s="14" t="s">
        <v>137</v>
      </c>
      <c r="B49" s="43" t="s">
        <v>138</v>
      </c>
      <c r="C49" s="43" t="s">
        <v>31</v>
      </c>
      <c r="D49" s="51" t="s">
        <v>139</v>
      </c>
      <c r="E49" s="18">
        <f t="shared" ref="E49:W49" si="35">E71*4320</f>
        <v>285120</v>
      </c>
      <c r="F49" s="18">
        <f t="shared" si="35"/>
        <v>276480</v>
      </c>
      <c r="G49" s="18">
        <f t="shared" si="35"/>
        <v>0</v>
      </c>
      <c r="H49" s="18">
        <f t="shared" si="35"/>
        <v>4320</v>
      </c>
      <c r="I49" s="18">
        <f t="shared" si="35"/>
        <v>0</v>
      </c>
      <c r="J49" s="18">
        <f t="shared" si="35"/>
        <v>440640</v>
      </c>
      <c r="K49" s="18">
        <f t="shared" si="35"/>
        <v>427680</v>
      </c>
      <c r="L49" s="18">
        <f t="shared" si="35"/>
        <v>0</v>
      </c>
      <c r="M49" s="18">
        <f t="shared" si="35"/>
        <v>0</v>
      </c>
      <c r="N49" s="18">
        <f t="shared" si="35"/>
        <v>0</v>
      </c>
      <c r="O49" s="18">
        <f t="shared" si="35"/>
        <v>103680</v>
      </c>
      <c r="P49" s="18">
        <f t="shared" si="35"/>
        <v>108000</v>
      </c>
      <c r="Q49" s="18">
        <f t="shared" si="35"/>
        <v>4320</v>
      </c>
      <c r="R49" s="18">
        <f t="shared" si="35"/>
        <v>0</v>
      </c>
      <c r="S49" s="18">
        <f t="shared" si="35"/>
        <v>0</v>
      </c>
      <c r="T49" s="18">
        <f t="shared" si="35"/>
        <v>0</v>
      </c>
      <c r="U49" s="18">
        <f t="shared" si="35"/>
        <v>0</v>
      </c>
      <c r="V49" s="18">
        <f t="shared" si="35"/>
        <v>0</v>
      </c>
      <c r="W49" s="18">
        <f t="shared" si="35"/>
        <v>73440</v>
      </c>
      <c r="X49" s="18">
        <f t="shared" si="1"/>
        <v>1723680</v>
      </c>
      <c r="Y49" s="26"/>
    </row>
    <row r="50" spans="1:25" ht="24.95" customHeight="1">
      <c r="A50" s="14" t="s">
        <v>140</v>
      </c>
      <c r="B50" s="24" t="s">
        <v>141</v>
      </c>
      <c r="C50" s="24"/>
      <c r="D50" s="45" t="s">
        <v>25</v>
      </c>
      <c r="E50" s="18">
        <f t="shared" ref="E50:W50" si="36">E51</f>
        <v>427584</v>
      </c>
      <c r="F50" s="18">
        <f t="shared" si="36"/>
        <v>429195.43</v>
      </c>
      <c r="G50" s="18">
        <f t="shared" si="36"/>
        <v>362876.57</v>
      </c>
      <c r="H50" s="18">
        <f t="shared" si="36"/>
        <v>407268</v>
      </c>
      <c r="I50" s="18">
        <f t="shared" si="36"/>
        <v>138000</v>
      </c>
      <c r="J50" s="18">
        <f t="shared" si="36"/>
        <v>423781.71</v>
      </c>
      <c r="K50" s="18">
        <f t="shared" si="36"/>
        <v>416389.71</v>
      </c>
      <c r="L50" s="18">
        <f t="shared" si="36"/>
        <v>291425.14</v>
      </c>
      <c r="M50" s="18">
        <f t="shared" si="36"/>
        <v>451326.57</v>
      </c>
      <c r="N50" s="18">
        <f t="shared" si="36"/>
        <v>287876.57</v>
      </c>
      <c r="O50" s="18">
        <f t="shared" si="36"/>
        <v>256875.43</v>
      </c>
      <c r="P50" s="18">
        <f t="shared" si="36"/>
        <v>286841.14</v>
      </c>
      <c r="Q50" s="18">
        <f t="shared" si="36"/>
        <v>216560</v>
      </c>
      <c r="R50" s="18">
        <f t="shared" si="36"/>
        <v>81918.86</v>
      </c>
      <c r="S50" s="18">
        <f t="shared" si="36"/>
        <v>96771.43</v>
      </c>
      <c r="T50" s="18">
        <f t="shared" si="36"/>
        <v>100666.29</v>
      </c>
      <c r="U50" s="18">
        <f t="shared" si="36"/>
        <v>174229.71</v>
      </c>
      <c r="V50" s="18">
        <f t="shared" si="36"/>
        <v>148376.29</v>
      </c>
      <c r="W50" s="18">
        <f t="shared" si="36"/>
        <v>28782.86</v>
      </c>
      <c r="X50" s="18">
        <f t="shared" si="1"/>
        <v>5026745.71</v>
      </c>
      <c r="Y50" s="26"/>
    </row>
    <row r="51" spans="1:25" s="44" customFormat="1" ht="24.95" customHeight="1">
      <c r="A51" s="14" t="s">
        <v>142</v>
      </c>
      <c r="B51" s="43" t="s">
        <v>143</v>
      </c>
      <c r="C51" s="43" t="s">
        <v>31</v>
      </c>
      <c r="D51" s="26" t="s">
        <v>48</v>
      </c>
      <c r="E51" s="18">
        <f t="shared" ref="E51:W51" si="37">ROUND(E29/0.07*0.02,2)</f>
        <v>427584</v>
      </c>
      <c r="F51" s="18">
        <f t="shared" si="37"/>
        <v>429195.43</v>
      </c>
      <c r="G51" s="18">
        <f t="shared" si="37"/>
        <v>362876.57</v>
      </c>
      <c r="H51" s="18">
        <f t="shared" si="37"/>
        <v>407268</v>
      </c>
      <c r="I51" s="18">
        <f t="shared" si="37"/>
        <v>138000</v>
      </c>
      <c r="J51" s="18">
        <f t="shared" si="37"/>
        <v>423781.71</v>
      </c>
      <c r="K51" s="18">
        <f t="shared" si="37"/>
        <v>416389.71</v>
      </c>
      <c r="L51" s="18">
        <f t="shared" si="37"/>
        <v>291425.14</v>
      </c>
      <c r="M51" s="18">
        <f t="shared" si="37"/>
        <v>451326.57</v>
      </c>
      <c r="N51" s="18">
        <f t="shared" si="37"/>
        <v>287876.57</v>
      </c>
      <c r="O51" s="18">
        <f t="shared" si="37"/>
        <v>256875.43</v>
      </c>
      <c r="P51" s="18">
        <f t="shared" si="37"/>
        <v>286841.14</v>
      </c>
      <c r="Q51" s="18">
        <f t="shared" si="37"/>
        <v>216560</v>
      </c>
      <c r="R51" s="18">
        <f t="shared" si="37"/>
        <v>81918.86</v>
      </c>
      <c r="S51" s="18">
        <f t="shared" si="37"/>
        <v>96771.43</v>
      </c>
      <c r="T51" s="18">
        <f t="shared" si="37"/>
        <v>100666.29</v>
      </c>
      <c r="U51" s="18">
        <f t="shared" si="37"/>
        <v>174229.71</v>
      </c>
      <c r="V51" s="18">
        <f t="shared" si="37"/>
        <v>148376.29</v>
      </c>
      <c r="W51" s="18">
        <f t="shared" si="37"/>
        <v>28782.86</v>
      </c>
      <c r="X51" s="18">
        <f t="shared" si="1"/>
        <v>5026745.71</v>
      </c>
      <c r="Y51" s="26"/>
    </row>
    <row r="52" spans="1:25" ht="24.95" customHeight="1">
      <c r="A52" s="14" t="s">
        <v>144</v>
      </c>
      <c r="B52" s="24" t="s">
        <v>145</v>
      </c>
      <c r="C52" s="24"/>
      <c r="D52" s="45" t="s">
        <v>25</v>
      </c>
      <c r="E52" s="18">
        <f t="shared" ref="E52:W52" si="38">E53</f>
        <v>32000</v>
      </c>
      <c r="F52" s="18">
        <f t="shared" si="38"/>
        <v>32000</v>
      </c>
      <c r="G52" s="18">
        <f t="shared" si="38"/>
        <v>0</v>
      </c>
      <c r="H52" s="18">
        <f t="shared" si="38"/>
        <v>0</v>
      </c>
      <c r="I52" s="18">
        <f t="shared" si="38"/>
        <v>0</v>
      </c>
      <c r="J52" s="18">
        <f t="shared" si="38"/>
        <v>32000</v>
      </c>
      <c r="K52" s="18">
        <f t="shared" si="38"/>
        <v>32000</v>
      </c>
      <c r="L52" s="18">
        <f t="shared" si="38"/>
        <v>0</v>
      </c>
      <c r="M52" s="18">
        <f t="shared" si="38"/>
        <v>0</v>
      </c>
      <c r="N52" s="18">
        <f t="shared" si="38"/>
        <v>0</v>
      </c>
      <c r="O52" s="18">
        <f t="shared" si="38"/>
        <v>32000</v>
      </c>
      <c r="P52" s="18">
        <f t="shared" si="38"/>
        <v>32000</v>
      </c>
      <c r="Q52" s="18">
        <f t="shared" si="38"/>
        <v>0</v>
      </c>
      <c r="R52" s="18">
        <f t="shared" si="38"/>
        <v>0</v>
      </c>
      <c r="S52" s="18">
        <f t="shared" si="38"/>
        <v>0</v>
      </c>
      <c r="T52" s="18">
        <f t="shared" si="38"/>
        <v>0</v>
      </c>
      <c r="U52" s="18">
        <f t="shared" si="38"/>
        <v>0</v>
      </c>
      <c r="V52" s="18">
        <f t="shared" si="38"/>
        <v>0</v>
      </c>
      <c r="W52" s="18">
        <f t="shared" si="38"/>
        <v>32000</v>
      </c>
      <c r="X52" s="18">
        <f t="shared" si="1"/>
        <v>224000</v>
      </c>
      <c r="Y52" s="26"/>
    </row>
    <row r="53" spans="1:25" ht="24.95" customHeight="1">
      <c r="A53" s="14" t="s">
        <v>146</v>
      </c>
      <c r="B53" s="24" t="s">
        <v>147</v>
      </c>
      <c r="C53" s="24" t="s">
        <v>31</v>
      </c>
      <c r="D53" s="27" t="s">
        <v>148</v>
      </c>
      <c r="E53" s="25">
        <v>32000</v>
      </c>
      <c r="F53" s="25">
        <v>32000</v>
      </c>
      <c r="G53" s="25"/>
      <c r="H53" s="25"/>
      <c r="I53" s="25"/>
      <c r="J53" s="25">
        <v>32000</v>
      </c>
      <c r="K53" s="25">
        <v>32000</v>
      </c>
      <c r="L53" s="25"/>
      <c r="M53" s="25"/>
      <c r="N53" s="25"/>
      <c r="O53" s="25">
        <v>32000</v>
      </c>
      <c r="P53" s="25">
        <v>32000</v>
      </c>
      <c r="Q53" s="25"/>
      <c r="R53" s="25"/>
      <c r="S53" s="25"/>
      <c r="T53" s="25"/>
      <c r="U53" s="25"/>
      <c r="V53" s="25"/>
      <c r="W53" s="25">
        <v>32000</v>
      </c>
      <c r="X53" s="18">
        <f t="shared" si="1"/>
        <v>224000</v>
      </c>
      <c r="Y53" s="26"/>
    </row>
    <row r="54" spans="1:25" ht="24.95" customHeight="1">
      <c r="A54" s="14" t="s">
        <v>149</v>
      </c>
      <c r="B54" s="24" t="s">
        <v>150</v>
      </c>
      <c r="C54" s="24"/>
      <c r="D54" s="45" t="s">
        <v>25</v>
      </c>
      <c r="E54" s="18">
        <f t="shared" ref="E54:W54" si="39">E55+E57</f>
        <v>31200</v>
      </c>
      <c r="F54" s="18">
        <f t="shared" si="39"/>
        <v>32600</v>
      </c>
      <c r="G54" s="18">
        <f t="shared" si="39"/>
        <v>30000</v>
      </c>
      <c r="H54" s="18">
        <f t="shared" si="39"/>
        <v>5400</v>
      </c>
      <c r="I54" s="18">
        <f t="shared" si="39"/>
        <v>0</v>
      </c>
      <c r="J54" s="18">
        <f t="shared" si="39"/>
        <v>43800</v>
      </c>
      <c r="K54" s="18">
        <f t="shared" si="39"/>
        <v>45600</v>
      </c>
      <c r="L54" s="18">
        <f t="shared" si="39"/>
        <v>1500</v>
      </c>
      <c r="M54" s="18">
        <f t="shared" si="39"/>
        <v>9000</v>
      </c>
      <c r="N54" s="18">
        <f t="shared" si="39"/>
        <v>3000</v>
      </c>
      <c r="O54" s="18">
        <f t="shared" si="39"/>
        <v>14200</v>
      </c>
      <c r="P54" s="18">
        <f t="shared" si="39"/>
        <v>18000</v>
      </c>
      <c r="Q54" s="18">
        <f t="shared" si="39"/>
        <v>6500</v>
      </c>
      <c r="R54" s="18">
        <f t="shared" si="39"/>
        <v>2400</v>
      </c>
      <c r="S54" s="18">
        <f t="shared" si="39"/>
        <v>5400</v>
      </c>
      <c r="T54" s="18">
        <f t="shared" si="39"/>
        <v>2000</v>
      </c>
      <c r="U54" s="18">
        <f t="shared" si="39"/>
        <v>6500</v>
      </c>
      <c r="V54" s="18">
        <f t="shared" si="39"/>
        <v>4500</v>
      </c>
      <c r="W54" s="18">
        <f t="shared" si="39"/>
        <v>8000</v>
      </c>
      <c r="X54" s="18">
        <f t="shared" si="1"/>
        <v>269600</v>
      </c>
      <c r="Y54" s="26"/>
    </row>
    <row r="55" spans="1:25" ht="24.95" customHeight="1">
      <c r="A55" s="14" t="s">
        <v>151</v>
      </c>
      <c r="B55" s="24" t="s">
        <v>152</v>
      </c>
      <c r="C55" s="24" t="s">
        <v>31</v>
      </c>
      <c r="D55" s="45" t="s">
        <v>25</v>
      </c>
      <c r="E55" s="18">
        <f t="shared" ref="E55:W55" si="40">E56</f>
        <v>26400</v>
      </c>
      <c r="F55" s="18">
        <f t="shared" si="40"/>
        <v>25600</v>
      </c>
      <c r="G55" s="18">
        <f t="shared" si="40"/>
        <v>0</v>
      </c>
      <c r="H55" s="18">
        <f t="shared" si="40"/>
        <v>400</v>
      </c>
      <c r="I55" s="18">
        <f t="shared" si="40"/>
        <v>0</v>
      </c>
      <c r="J55" s="18">
        <f t="shared" si="40"/>
        <v>40800</v>
      </c>
      <c r="K55" s="18">
        <f t="shared" si="40"/>
        <v>39600</v>
      </c>
      <c r="L55" s="18">
        <f t="shared" si="40"/>
        <v>0</v>
      </c>
      <c r="M55" s="18">
        <f t="shared" si="40"/>
        <v>0</v>
      </c>
      <c r="N55" s="18">
        <f t="shared" si="40"/>
        <v>0</v>
      </c>
      <c r="O55" s="18">
        <f t="shared" si="40"/>
        <v>9600</v>
      </c>
      <c r="P55" s="18">
        <f t="shared" si="40"/>
        <v>10000</v>
      </c>
      <c r="Q55" s="18">
        <f t="shared" si="40"/>
        <v>400</v>
      </c>
      <c r="R55" s="18">
        <f t="shared" si="40"/>
        <v>0</v>
      </c>
      <c r="S55" s="18">
        <f t="shared" si="40"/>
        <v>0</v>
      </c>
      <c r="T55" s="18">
        <f t="shared" si="40"/>
        <v>0</v>
      </c>
      <c r="U55" s="18">
        <f t="shared" si="40"/>
        <v>0</v>
      </c>
      <c r="V55" s="18">
        <f t="shared" si="40"/>
        <v>0</v>
      </c>
      <c r="W55" s="18">
        <f t="shared" si="40"/>
        <v>6800</v>
      </c>
      <c r="X55" s="18">
        <f t="shared" si="1"/>
        <v>159600</v>
      </c>
      <c r="Y55" s="26"/>
    </row>
    <row r="56" spans="1:25" s="44" customFormat="1" ht="24.95" customHeight="1">
      <c r="A56" s="14" t="s">
        <v>153</v>
      </c>
      <c r="B56" s="43" t="s">
        <v>154</v>
      </c>
      <c r="C56" s="43" t="s">
        <v>31</v>
      </c>
      <c r="D56" s="51" t="s">
        <v>155</v>
      </c>
      <c r="E56" s="18">
        <f t="shared" ref="E56:W56" si="41">E71*400</f>
        <v>26400</v>
      </c>
      <c r="F56" s="18">
        <f t="shared" si="41"/>
        <v>25600</v>
      </c>
      <c r="G56" s="18">
        <f t="shared" si="41"/>
        <v>0</v>
      </c>
      <c r="H56" s="18">
        <f t="shared" si="41"/>
        <v>400</v>
      </c>
      <c r="I56" s="18">
        <f t="shared" si="41"/>
        <v>0</v>
      </c>
      <c r="J56" s="18">
        <f t="shared" si="41"/>
        <v>40800</v>
      </c>
      <c r="K56" s="18">
        <f t="shared" si="41"/>
        <v>39600</v>
      </c>
      <c r="L56" s="18">
        <f t="shared" si="41"/>
        <v>0</v>
      </c>
      <c r="M56" s="18">
        <f t="shared" si="41"/>
        <v>0</v>
      </c>
      <c r="N56" s="18">
        <f t="shared" si="41"/>
        <v>0</v>
      </c>
      <c r="O56" s="18">
        <f t="shared" si="41"/>
        <v>9600</v>
      </c>
      <c r="P56" s="18">
        <f t="shared" si="41"/>
        <v>10000</v>
      </c>
      <c r="Q56" s="18">
        <f t="shared" si="41"/>
        <v>400</v>
      </c>
      <c r="R56" s="18">
        <f t="shared" si="41"/>
        <v>0</v>
      </c>
      <c r="S56" s="18">
        <f t="shared" si="41"/>
        <v>0</v>
      </c>
      <c r="T56" s="18">
        <f t="shared" si="41"/>
        <v>0</v>
      </c>
      <c r="U56" s="18">
        <f t="shared" si="41"/>
        <v>0</v>
      </c>
      <c r="V56" s="18">
        <f t="shared" si="41"/>
        <v>0</v>
      </c>
      <c r="W56" s="18">
        <f t="shared" si="41"/>
        <v>6800</v>
      </c>
      <c r="X56" s="18">
        <f t="shared" si="1"/>
        <v>159600</v>
      </c>
      <c r="Y56" s="26"/>
    </row>
    <row r="57" spans="1:25" ht="24.95" customHeight="1">
      <c r="A57" s="14" t="s">
        <v>156</v>
      </c>
      <c r="B57" s="24" t="s">
        <v>157</v>
      </c>
      <c r="C57" s="24" t="s">
        <v>31</v>
      </c>
      <c r="D57" s="27" t="s">
        <v>158</v>
      </c>
      <c r="E57" s="52">
        <v>4800</v>
      </c>
      <c r="F57" s="52">
        <v>7000</v>
      </c>
      <c r="G57" s="52">
        <f>50*12*50</f>
        <v>30000</v>
      </c>
      <c r="H57" s="52">
        <v>5000</v>
      </c>
      <c r="I57" s="52"/>
      <c r="J57" s="52">
        <v>3000</v>
      </c>
      <c r="K57" s="52">
        <v>6000</v>
      </c>
      <c r="L57" s="52">
        <f>10*50*3</f>
        <v>1500</v>
      </c>
      <c r="M57" s="52">
        <v>9000</v>
      </c>
      <c r="N57" s="52">
        <f>5*50*12</f>
        <v>3000</v>
      </c>
      <c r="O57" s="52">
        <v>4600</v>
      </c>
      <c r="P57" s="52">
        <v>8000</v>
      </c>
      <c r="Q57" s="52">
        <v>6100</v>
      </c>
      <c r="R57" s="52">
        <v>2400</v>
      </c>
      <c r="S57" s="52">
        <v>5400</v>
      </c>
      <c r="T57" s="52">
        <v>2000</v>
      </c>
      <c r="U57" s="52">
        <f>13*50*10</f>
        <v>6500</v>
      </c>
      <c r="V57" s="52">
        <v>4500</v>
      </c>
      <c r="W57" s="52">
        <v>1200</v>
      </c>
      <c r="X57" s="18">
        <f t="shared" si="1"/>
        <v>110000</v>
      </c>
      <c r="Y57" s="16"/>
    </row>
    <row r="58" spans="1:25" ht="24.95" customHeight="1">
      <c r="A58" s="14" t="s">
        <v>159</v>
      </c>
      <c r="B58" s="24" t="s">
        <v>160</v>
      </c>
      <c r="C58" s="24"/>
      <c r="D58" s="45" t="s">
        <v>25</v>
      </c>
      <c r="E58" s="18">
        <f t="shared" ref="E58:W58" si="42">E59</f>
        <v>0</v>
      </c>
      <c r="F58" s="18">
        <f t="shared" si="42"/>
        <v>0</v>
      </c>
      <c r="G58" s="18">
        <f t="shared" si="42"/>
        <v>32000</v>
      </c>
      <c r="H58" s="18">
        <f t="shared" si="42"/>
        <v>32000</v>
      </c>
      <c r="I58" s="18">
        <f t="shared" si="42"/>
        <v>32000</v>
      </c>
      <c r="J58" s="18">
        <f t="shared" si="42"/>
        <v>10000</v>
      </c>
      <c r="K58" s="18">
        <f t="shared" si="42"/>
        <v>0</v>
      </c>
      <c r="L58" s="18">
        <f t="shared" si="42"/>
        <v>32000</v>
      </c>
      <c r="M58" s="18">
        <f t="shared" si="42"/>
        <v>32000</v>
      </c>
      <c r="N58" s="18">
        <f t="shared" si="42"/>
        <v>32000</v>
      </c>
      <c r="O58" s="18">
        <f t="shared" si="42"/>
        <v>5000</v>
      </c>
      <c r="P58" s="18">
        <f t="shared" si="42"/>
        <v>5000</v>
      </c>
      <c r="Q58" s="18">
        <f t="shared" si="42"/>
        <v>32000</v>
      </c>
      <c r="R58" s="18">
        <f t="shared" si="42"/>
        <v>32000</v>
      </c>
      <c r="S58" s="18">
        <f t="shared" si="42"/>
        <v>32000</v>
      </c>
      <c r="T58" s="18">
        <f t="shared" si="42"/>
        <v>32000</v>
      </c>
      <c r="U58" s="18">
        <f t="shared" si="42"/>
        <v>32000</v>
      </c>
      <c r="V58" s="18">
        <f t="shared" si="42"/>
        <v>32000</v>
      </c>
      <c r="W58" s="18">
        <f t="shared" si="42"/>
        <v>0</v>
      </c>
      <c r="X58" s="18">
        <f t="shared" si="1"/>
        <v>404000</v>
      </c>
      <c r="Y58" s="26"/>
    </row>
    <row r="59" spans="1:25" ht="24.95" customHeight="1" thickBot="1">
      <c r="A59" s="14" t="s">
        <v>161</v>
      </c>
      <c r="B59" s="53" t="s">
        <v>162</v>
      </c>
      <c r="C59" s="24" t="s">
        <v>31</v>
      </c>
      <c r="D59" s="54" t="s">
        <v>163</v>
      </c>
      <c r="E59" s="34"/>
      <c r="F59" s="34"/>
      <c r="G59" s="34">
        <v>32000</v>
      </c>
      <c r="H59" s="34">
        <v>32000</v>
      </c>
      <c r="I59" s="34">
        <v>32000</v>
      </c>
      <c r="J59" s="34">
        <v>10000</v>
      </c>
      <c r="K59" s="34"/>
      <c r="L59" s="34">
        <v>32000</v>
      </c>
      <c r="M59" s="34">
        <v>32000</v>
      </c>
      <c r="N59" s="34">
        <v>32000</v>
      </c>
      <c r="O59" s="34">
        <v>5000</v>
      </c>
      <c r="P59" s="34">
        <v>5000</v>
      </c>
      <c r="Q59" s="34">
        <v>32000</v>
      </c>
      <c r="R59" s="34">
        <v>32000</v>
      </c>
      <c r="S59" s="34">
        <v>32000</v>
      </c>
      <c r="T59" s="34">
        <v>32000</v>
      </c>
      <c r="U59" s="34">
        <v>32000</v>
      </c>
      <c r="V59" s="34">
        <v>32000</v>
      </c>
      <c r="W59" s="34"/>
      <c r="X59" s="18">
        <f t="shared" si="1"/>
        <v>404000</v>
      </c>
      <c r="Y59" s="55"/>
    </row>
    <row r="60" spans="1:25" ht="24.95" customHeight="1" thickTop="1">
      <c r="A60" s="14" t="s">
        <v>164</v>
      </c>
      <c r="B60" s="56" t="s">
        <v>165</v>
      </c>
      <c r="C60" s="56"/>
      <c r="D60" s="57"/>
      <c r="E60" s="58"/>
      <c r="F60" s="58"/>
      <c r="G60" s="58"/>
      <c r="H60" s="58"/>
      <c r="I60" s="58"/>
      <c r="J60" s="58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18">
        <f t="shared" si="1"/>
        <v>0</v>
      </c>
      <c r="Y60" s="59"/>
    </row>
    <row r="61" spans="1:25" ht="24.95" customHeight="1">
      <c r="A61" s="14" t="s">
        <v>166</v>
      </c>
      <c r="B61" s="24" t="s">
        <v>167</v>
      </c>
      <c r="C61" s="24"/>
      <c r="D61" s="45" t="s">
        <v>168</v>
      </c>
      <c r="E61" s="18">
        <f t="shared" ref="E61:W61" si="43">E62+E63+E64+E65</f>
        <v>82</v>
      </c>
      <c r="F61" s="18">
        <f t="shared" si="43"/>
        <v>84</v>
      </c>
      <c r="G61" s="18">
        <f t="shared" si="43"/>
        <v>84</v>
      </c>
      <c r="H61" s="18">
        <f t="shared" si="43"/>
        <v>81</v>
      </c>
      <c r="I61" s="18">
        <f t="shared" si="43"/>
        <v>23</v>
      </c>
      <c r="J61" s="18">
        <f t="shared" si="43"/>
        <v>98</v>
      </c>
      <c r="K61" s="18">
        <f t="shared" si="43"/>
        <v>80</v>
      </c>
      <c r="L61" s="18">
        <f t="shared" si="43"/>
        <v>55</v>
      </c>
      <c r="M61" s="18">
        <f t="shared" si="43"/>
        <v>89</v>
      </c>
      <c r="N61" s="18">
        <f t="shared" si="43"/>
        <v>64</v>
      </c>
      <c r="O61" s="18">
        <f t="shared" si="43"/>
        <v>58</v>
      </c>
      <c r="P61" s="18">
        <f t="shared" si="43"/>
        <v>60</v>
      </c>
      <c r="Q61" s="18">
        <f t="shared" si="43"/>
        <v>55</v>
      </c>
      <c r="R61" s="18">
        <f t="shared" si="43"/>
        <v>18</v>
      </c>
      <c r="S61" s="18">
        <f t="shared" si="43"/>
        <v>23</v>
      </c>
      <c r="T61" s="18">
        <f t="shared" si="43"/>
        <v>24</v>
      </c>
      <c r="U61" s="18">
        <f t="shared" si="43"/>
        <v>39</v>
      </c>
      <c r="V61" s="18">
        <f t="shared" si="43"/>
        <v>38</v>
      </c>
      <c r="W61" s="18">
        <f t="shared" si="43"/>
        <v>6</v>
      </c>
      <c r="X61" s="18">
        <f t="shared" si="1"/>
        <v>1061</v>
      </c>
      <c r="Y61" s="26"/>
    </row>
    <row r="62" spans="1:25" ht="24.95" customHeight="1">
      <c r="A62" s="14" t="s">
        <v>169</v>
      </c>
      <c r="B62" s="60" t="s">
        <v>170</v>
      </c>
      <c r="C62" s="60"/>
      <c r="D62" s="16"/>
      <c r="E62" s="17">
        <v>82</v>
      </c>
      <c r="F62" s="17">
        <v>84</v>
      </c>
      <c r="G62" s="17">
        <v>45</v>
      </c>
      <c r="H62" s="17">
        <v>81</v>
      </c>
      <c r="I62" s="17">
        <v>23</v>
      </c>
      <c r="J62" s="17"/>
      <c r="K62" s="17"/>
      <c r="L62" s="17"/>
      <c r="M62" s="17"/>
      <c r="N62" s="17"/>
      <c r="O62" s="17"/>
      <c r="P62" s="17"/>
      <c r="Q62" s="17"/>
      <c r="R62" s="17"/>
      <c r="S62" s="17"/>
      <c r="T62" s="17"/>
      <c r="U62" s="17"/>
      <c r="V62" s="17"/>
      <c r="W62" s="17"/>
      <c r="X62" s="18">
        <f t="shared" si="1"/>
        <v>315</v>
      </c>
      <c r="Y62" s="26"/>
    </row>
    <row r="63" spans="1:25" ht="24.95" customHeight="1">
      <c r="A63" s="14" t="s">
        <v>171</v>
      </c>
      <c r="B63" s="60" t="s">
        <v>172</v>
      </c>
      <c r="C63" s="60"/>
      <c r="D63" s="45"/>
      <c r="E63" s="25"/>
      <c r="F63" s="25"/>
      <c r="G63" s="25">
        <v>39</v>
      </c>
      <c r="H63" s="25"/>
      <c r="I63" s="25"/>
      <c r="J63" s="25">
        <v>98</v>
      </c>
      <c r="K63" s="25">
        <v>80</v>
      </c>
      <c r="L63" s="25">
        <v>55</v>
      </c>
      <c r="M63" s="25">
        <v>89</v>
      </c>
      <c r="N63" s="25">
        <v>64</v>
      </c>
      <c r="O63" s="25"/>
      <c r="P63" s="25"/>
      <c r="Q63" s="25"/>
      <c r="R63" s="25"/>
      <c r="S63" s="25"/>
      <c r="T63" s="25"/>
      <c r="U63" s="25"/>
      <c r="V63" s="25"/>
      <c r="W63" s="25"/>
      <c r="X63" s="18">
        <f t="shared" si="1"/>
        <v>425</v>
      </c>
      <c r="Y63" s="26"/>
    </row>
    <row r="64" spans="1:25" ht="24.95" customHeight="1">
      <c r="A64" s="14" t="s">
        <v>173</v>
      </c>
      <c r="B64" s="60" t="s">
        <v>174</v>
      </c>
      <c r="C64" s="60"/>
      <c r="D64" s="16"/>
      <c r="E64" s="17"/>
      <c r="F64" s="17"/>
      <c r="G64" s="17"/>
      <c r="H64" s="17"/>
      <c r="I64" s="17"/>
      <c r="J64" s="17"/>
      <c r="K64" s="17"/>
      <c r="L64" s="17"/>
      <c r="M64" s="17"/>
      <c r="N64" s="17"/>
      <c r="O64" s="17">
        <v>58</v>
      </c>
      <c r="P64" s="17">
        <v>60</v>
      </c>
      <c r="Q64" s="17">
        <v>55</v>
      </c>
      <c r="R64" s="17">
        <v>18</v>
      </c>
      <c r="S64" s="17">
        <v>23</v>
      </c>
      <c r="T64" s="17">
        <v>24</v>
      </c>
      <c r="U64" s="17">
        <v>39</v>
      </c>
      <c r="V64" s="17">
        <v>38</v>
      </c>
      <c r="W64" s="17"/>
      <c r="X64" s="18">
        <f t="shared" si="1"/>
        <v>315</v>
      </c>
      <c r="Y64" s="26"/>
    </row>
    <row r="65" spans="1:25" ht="24.95" customHeight="1">
      <c r="A65" s="14" t="s">
        <v>175</v>
      </c>
      <c r="B65" s="60" t="s">
        <v>176</v>
      </c>
      <c r="C65" s="60"/>
      <c r="D65" s="16"/>
      <c r="E65" s="17"/>
      <c r="F65" s="17"/>
      <c r="G65" s="17"/>
      <c r="H65" s="17"/>
      <c r="I65" s="17"/>
      <c r="J65" s="17"/>
      <c r="K65" s="17"/>
      <c r="L65" s="17"/>
      <c r="M65" s="17"/>
      <c r="N65" s="17"/>
      <c r="O65" s="17"/>
      <c r="P65" s="17"/>
      <c r="Q65" s="17"/>
      <c r="R65" s="17"/>
      <c r="S65" s="17"/>
      <c r="T65" s="17"/>
      <c r="U65" s="17"/>
      <c r="V65" s="17"/>
      <c r="W65" s="17">
        <v>6</v>
      </c>
      <c r="X65" s="18">
        <f t="shared" si="1"/>
        <v>6</v>
      </c>
      <c r="Y65" s="26"/>
    </row>
    <row r="66" spans="1:25" ht="24.95" customHeight="1">
      <c r="A66" s="14" t="s">
        <v>177</v>
      </c>
      <c r="B66" s="24" t="s">
        <v>178</v>
      </c>
      <c r="C66" s="24"/>
      <c r="D66" s="45" t="s">
        <v>179</v>
      </c>
      <c r="E66" s="18">
        <f t="shared" ref="E66:W66" si="44">E67+E68+E69+E70</f>
        <v>1022</v>
      </c>
      <c r="F66" s="18">
        <f t="shared" si="44"/>
        <v>1090</v>
      </c>
      <c r="G66" s="18">
        <f t="shared" si="44"/>
        <v>1161</v>
      </c>
      <c r="H66" s="18">
        <f t="shared" si="44"/>
        <v>1155</v>
      </c>
      <c r="I66" s="18">
        <f t="shared" si="44"/>
        <v>410</v>
      </c>
      <c r="J66" s="18">
        <f t="shared" si="44"/>
        <v>1614</v>
      </c>
      <c r="K66" s="18">
        <f t="shared" si="44"/>
        <v>1170</v>
      </c>
      <c r="L66" s="18">
        <f t="shared" si="44"/>
        <v>1035</v>
      </c>
      <c r="M66" s="18">
        <f t="shared" si="44"/>
        <v>1415</v>
      </c>
      <c r="N66" s="18">
        <f t="shared" si="44"/>
        <v>1096</v>
      </c>
      <c r="O66" s="18">
        <f t="shared" si="44"/>
        <v>644</v>
      </c>
      <c r="P66" s="18">
        <f t="shared" si="44"/>
        <v>899</v>
      </c>
      <c r="Q66" s="18">
        <f t="shared" si="44"/>
        <v>707</v>
      </c>
      <c r="R66" s="18">
        <f t="shared" si="44"/>
        <v>293</v>
      </c>
      <c r="S66" s="18">
        <f t="shared" si="44"/>
        <v>386</v>
      </c>
      <c r="T66" s="18">
        <f t="shared" si="44"/>
        <v>435</v>
      </c>
      <c r="U66" s="18">
        <f t="shared" si="44"/>
        <v>453</v>
      </c>
      <c r="V66" s="18">
        <f t="shared" si="44"/>
        <v>598</v>
      </c>
      <c r="W66" s="18">
        <f t="shared" si="44"/>
        <v>0</v>
      </c>
      <c r="X66" s="18">
        <f t="shared" si="1"/>
        <v>15583</v>
      </c>
      <c r="Y66" s="26"/>
    </row>
    <row r="67" spans="1:25" ht="24.95" customHeight="1">
      <c r="A67" s="14" t="s">
        <v>180</v>
      </c>
      <c r="B67" s="60" t="s">
        <v>170</v>
      </c>
      <c r="C67" s="60"/>
      <c r="D67" s="16"/>
      <c r="E67" s="17">
        <v>1022</v>
      </c>
      <c r="F67" s="17">
        <v>1090</v>
      </c>
      <c r="G67" s="17">
        <v>495</v>
      </c>
      <c r="H67" s="17">
        <v>1155</v>
      </c>
      <c r="I67" s="17">
        <v>410</v>
      </c>
      <c r="J67" s="17"/>
      <c r="K67" s="17"/>
      <c r="L67" s="17"/>
      <c r="M67" s="17"/>
      <c r="N67" s="17"/>
      <c r="O67" s="17"/>
      <c r="P67" s="17"/>
      <c r="Q67" s="17"/>
      <c r="R67" s="17"/>
      <c r="S67" s="17"/>
      <c r="T67" s="17"/>
      <c r="U67" s="17"/>
      <c r="V67" s="17"/>
      <c r="W67" s="17"/>
      <c r="X67" s="18">
        <f t="shared" ref="X67:X73" si="45">SUM(E67:W67)</f>
        <v>4172</v>
      </c>
      <c r="Y67" s="26"/>
    </row>
    <row r="68" spans="1:25" ht="24.95" customHeight="1">
      <c r="A68" s="14" t="s">
        <v>181</v>
      </c>
      <c r="B68" s="60" t="s">
        <v>172</v>
      </c>
      <c r="C68" s="60"/>
      <c r="D68" s="45"/>
      <c r="E68" s="25"/>
      <c r="F68" s="25"/>
      <c r="G68" s="25">
        <v>666</v>
      </c>
      <c r="H68" s="25"/>
      <c r="I68" s="25"/>
      <c r="J68" s="25">
        <v>1614</v>
      </c>
      <c r="K68" s="25">
        <v>1170</v>
      </c>
      <c r="L68" s="25">
        <v>1035</v>
      </c>
      <c r="M68" s="25">
        <v>1415</v>
      </c>
      <c r="N68" s="25">
        <v>1096</v>
      </c>
      <c r="O68" s="25"/>
      <c r="P68" s="25"/>
      <c r="Q68" s="25"/>
      <c r="R68" s="25"/>
      <c r="S68" s="25"/>
      <c r="T68" s="25"/>
      <c r="U68" s="25"/>
      <c r="V68" s="25"/>
      <c r="W68" s="25"/>
      <c r="X68" s="18">
        <f t="shared" si="45"/>
        <v>6996</v>
      </c>
      <c r="Y68" s="26"/>
    </row>
    <row r="69" spans="1:25" ht="24.95" customHeight="1">
      <c r="A69" s="14" t="s">
        <v>182</v>
      </c>
      <c r="B69" s="60" t="s">
        <v>174</v>
      </c>
      <c r="C69" s="60"/>
      <c r="D69" s="16"/>
      <c r="E69" s="17"/>
      <c r="F69" s="17"/>
      <c r="G69" s="17"/>
      <c r="H69" s="17"/>
      <c r="I69" s="17"/>
      <c r="J69" s="17"/>
      <c r="K69" s="17"/>
      <c r="L69" s="17"/>
      <c r="M69" s="17"/>
      <c r="N69" s="17"/>
      <c r="O69" s="17">
        <v>644</v>
      </c>
      <c r="P69" s="17">
        <v>899</v>
      </c>
      <c r="Q69" s="17">
        <v>707</v>
      </c>
      <c r="R69" s="17">
        <v>293</v>
      </c>
      <c r="S69" s="17">
        <v>386</v>
      </c>
      <c r="T69" s="17">
        <v>435</v>
      </c>
      <c r="U69" s="17">
        <v>453</v>
      </c>
      <c r="V69" s="17">
        <v>598</v>
      </c>
      <c r="W69" s="17"/>
      <c r="X69" s="18">
        <f t="shared" si="45"/>
        <v>4415</v>
      </c>
      <c r="Y69" s="26"/>
    </row>
    <row r="70" spans="1:25" ht="24.95" customHeight="1">
      <c r="A70" s="14" t="s">
        <v>183</v>
      </c>
      <c r="B70" s="60" t="s">
        <v>176</v>
      </c>
      <c r="C70" s="60"/>
      <c r="D70" s="16"/>
      <c r="E70" s="17"/>
      <c r="F70" s="17"/>
      <c r="G70" s="17"/>
      <c r="H70" s="17"/>
      <c r="I70" s="17"/>
      <c r="J70" s="17"/>
      <c r="K70" s="17"/>
      <c r="L70" s="17"/>
      <c r="M70" s="17"/>
      <c r="N70" s="17"/>
      <c r="O70" s="17"/>
      <c r="P70" s="17"/>
      <c r="Q70" s="17"/>
      <c r="R70" s="17"/>
      <c r="S70" s="17"/>
      <c r="T70" s="17"/>
      <c r="U70" s="17"/>
      <c r="V70" s="17"/>
      <c r="W70" s="17"/>
      <c r="X70" s="18">
        <f t="shared" si="45"/>
        <v>0</v>
      </c>
      <c r="Y70" s="26"/>
    </row>
    <row r="71" spans="1:25" ht="24.95" customHeight="1">
      <c r="A71" s="14" t="s">
        <v>184</v>
      </c>
      <c r="B71" s="24" t="s">
        <v>185</v>
      </c>
      <c r="C71" s="24"/>
      <c r="D71" s="45"/>
      <c r="E71" s="25">
        <v>66</v>
      </c>
      <c r="F71" s="25">
        <v>64</v>
      </c>
      <c r="G71" s="25"/>
      <c r="H71" s="25">
        <v>1</v>
      </c>
      <c r="I71" s="25"/>
      <c r="J71" s="25">
        <v>102</v>
      </c>
      <c r="K71" s="25">
        <v>99</v>
      </c>
      <c r="L71" s="25"/>
      <c r="M71" s="25"/>
      <c r="N71" s="25"/>
      <c r="O71" s="25">
        <v>24</v>
      </c>
      <c r="P71" s="25">
        <v>25</v>
      </c>
      <c r="Q71" s="25">
        <v>1</v>
      </c>
      <c r="R71" s="25"/>
      <c r="S71" s="25"/>
      <c r="T71" s="25"/>
      <c r="U71" s="25"/>
      <c r="V71" s="25"/>
      <c r="W71" s="25">
        <v>17</v>
      </c>
      <c r="X71" s="18">
        <f t="shared" si="45"/>
        <v>399</v>
      </c>
      <c r="Y71" s="26"/>
    </row>
    <row r="72" spans="1:25" ht="24.95" customHeight="1">
      <c r="A72" s="14" t="s">
        <v>186</v>
      </c>
      <c r="B72" s="60" t="s">
        <v>187</v>
      </c>
      <c r="C72" s="60"/>
      <c r="D72" s="27"/>
      <c r="E72" s="25">
        <v>17063</v>
      </c>
      <c r="F72" s="25">
        <v>11923</v>
      </c>
      <c r="G72" s="25">
        <v>47723.69</v>
      </c>
      <c r="H72" s="25">
        <v>12788.7</v>
      </c>
      <c r="I72" s="25">
        <v>15865.86</v>
      </c>
      <c r="J72" s="25">
        <v>23546.35</v>
      </c>
      <c r="K72" s="25">
        <v>16490.189999999999</v>
      </c>
      <c r="L72" s="25">
        <v>16648.97</v>
      </c>
      <c r="M72" s="25">
        <v>21871.439999999999</v>
      </c>
      <c r="N72" s="25">
        <v>11914.29</v>
      </c>
      <c r="O72" s="25">
        <v>7654.77</v>
      </c>
      <c r="P72" s="25">
        <v>12113.78</v>
      </c>
      <c r="Q72" s="25">
        <v>10438.120000000001</v>
      </c>
      <c r="R72" s="25">
        <v>6080</v>
      </c>
      <c r="S72" s="25">
        <v>5747.79</v>
      </c>
      <c r="T72" s="25">
        <v>11939.6</v>
      </c>
      <c r="U72" s="25">
        <v>11286</v>
      </c>
      <c r="V72" s="25">
        <v>13520</v>
      </c>
      <c r="W72" s="25">
        <v>5648</v>
      </c>
      <c r="X72" s="18">
        <f t="shared" si="45"/>
        <v>280263.55000000005</v>
      </c>
      <c r="Y72" s="26"/>
    </row>
    <row r="73" spans="1:25" ht="24.95" customHeight="1">
      <c r="A73" s="14" t="s">
        <v>188</v>
      </c>
      <c r="B73" s="60" t="s">
        <v>189</v>
      </c>
      <c r="C73" s="60"/>
      <c r="D73" s="27"/>
      <c r="E73" s="25">
        <v>15829</v>
      </c>
      <c r="F73" s="25">
        <v>10360</v>
      </c>
      <c r="G73" s="25">
        <v>16263</v>
      </c>
      <c r="H73" s="25">
        <v>10179</v>
      </c>
      <c r="I73" s="25">
        <v>8547.4500000000007</v>
      </c>
      <c r="J73" s="25">
        <v>19712</v>
      </c>
      <c r="K73" s="25">
        <v>11160</v>
      </c>
      <c r="L73" s="25">
        <v>11125</v>
      </c>
      <c r="M73" s="25">
        <v>15700</v>
      </c>
      <c r="N73" s="25">
        <v>8447.1</v>
      </c>
      <c r="O73" s="25">
        <v>5134</v>
      </c>
      <c r="P73" s="25">
        <v>4330</v>
      </c>
      <c r="Q73" s="25">
        <v>4266</v>
      </c>
      <c r="R73" s="25">
        <v>2500</v>
      </c>
      <c r="S73" s="25">
        <v>2519</v>
      </c>
      <c r="T73" s="25">
        <v>4999</v>
      </c>
      <c r="U73" s="25">
        <v>4627.34</v>
      </c>
      <c r="V73" s="25">
        <v>5045</v>
      </c>
      <c r="W73" s="25">
        <v>2320</v>
      </c>
      <c r="X73" s="18">
        <f t="shared" si="45"/>
        <v>163062.88999999998</v>
      </c>
      <c r="Y73" s="26"/>
    </row>
    <row r="74" spans="1:25">
      <c r="E74" s="19">
        <f>E4/E61</f>
        <v>393677.30182926828</v>
      </c>
      <c r="F74" s="19">
        <f t="shared" ref="F74:X74" si="46">F4/F61</f>
        <v>387683.01369047619</v>
      </c>
      <c r="G74" s="19">
        <f t="shared" si="46"/>
        <v>376640.59595238091</v>
      </c>
      <c r="H74" s="19">
        <f t="shared" si="46"/>
        <v>381056.98395061726</v>
      </c>
      <c r="I74" s="19">
        <f t="shared" si="46"/>
        <v>395941.5652173913</v>
      </c>
      <c r="J74" s="19">
        <f t="shared" si="46"/>
        <v>371868.17979591835</v>
      </c>
      <c r="K74" s="19">
        <f t="shared" si="46"/>
        <v>388115.34299999999</v>
      </c>
      <c r="L74" s="19">
        <f t="shared" si="46"/>
        <v>380072.80218181817</v>
      </c>
      <c r="M74" s="19">
        <f t="shared" si="46"/>
        <v>383342.08606741572</v>
      </c>
      <c r="N74" s="19">
        <f t="shared" si="46"/>
        <v>363409.31343749998</v>
      </c>
      <c r="O74" s="19">
        <f t="shared" si="46"/>
        <v>338706.69293103449</v>
      </c>
      <c r="P74" s="19">
        <f t="shared" si="46"/>
        <v>346802.52283333335</v>
      </c>
      <c r="Q74" s="19">
        <f t="shared" si="46"/>
        <v>323506.92145454546</v>
      </c>
      <c r="R74" s="19">
        <f t="shared" si="46"/>
        <v>339954.88388888887</v>
      </c>
      <c r="S74" s="19">
        <f t="shared" si="46"/>
        <v>332117.4295652174</v>
      </c>
      <c r="T74" s="19">
        <f t="shared" si="46"/>
        <v>329879.65499999997</v>
      </c>
      <c r="U74" s="19">
        <f t="shared" si="46"/>
        <v>336158.43487179489</v>
      </c>
      <c r="V74" s="19">
        <f t="shared" si="46"/>
        <v>320671.69473684207</v>
      </c>
      <c r="W74" s="19">
        <f t="shared" si="46"/>
        <v>367817.08500000002</v>
      </c>
      <c r="X74" s="19">
        <f t="shared" si="46"/>
        <v>367250.30648444867</v>
      </c>
    </row>
    <row r="75" spans="1:25">
      <c r="E75" s="64"/>
      <c r="F75" s="64"/>
      <c r="G75" s="64"/>
      <c r="H75" s="64"/>
      <c r="I75" s="64"/>
      <c r="J75" s="64"/>
      <c r="K75" s="64"/>
      <c r="L75" s="64"/>
      <c r="M75" s="64"/>
      <c r="N75" s="64"/>
      <c r="O75" s="64"/>
      <c r="P75" s="64"/>
      <c r="Q75" s="64"/>
      <c r="R75" s="64"/>
      <c r="S75" s="64"/>
      <c r="T75" s="64"/>
      <c r="U75" s="64"/>
      <c r="V75" s="64"/>
      <c r="W75" s="64"/>
    </row>
    <row r="76" spans="1:25">
      <c r="W76" s="65"/>
    </row>
  </sheetData>
  <protectedRanges>
    <protectedRange password="E9C1" sqref="D29 C30 B31:D73 A2:D18 I2:I3 X2:Y18 B20:D28 X20:Y73 A20:A73" name="区域1_1"/>
    <protectedRange password="E9C1" sqref="B29:C29 B30" name="区域1_1_1"/>
    <protectedRange password="E9C1" sqref="D30" name="区域1_2"/>
    <protectedRange password="E9C1" sqref="O2:O3" name="区域1_1_2"/>
    <protectedRange password="E9C1" sqref="E2:E3" name="区域1_1_3"/>
    <protectedRange password="E9C1" sqref="Q2:Q3" name="区域1_1_4"/>
    <protectedRange password="E9C1" sqref="W2:W3" name="区域1_1_5"/>
    <protectedRange password="E9C1" sqref="F2:F3" name="区域1_1_6"/>
    <protectedRange password="E9C1" sqref="G2:G3" name="区域1_1_7"/>
    <protectedRange password="E9C1" sqref="H2:H3" name="区域1_1_8"/>
    <protectedRange password="E9C1" sqref="J2:J3" name="区域1_1_9"/>
    <protectedRange password="E9C1" sqref="K2:K3" name="区域1_1_10"/>
    <protectedRange password="E9C1" sqref="L2:L3" name="区域1_1_11"/>
    <protectedRange password="E9C1" sqref="M2:M3" name="区域1_1_12"/>
    <protectedRange password="E9C1" sqref="N2:N3" name="区域1_1_13"/>
    <protectedRange password="E9C1" sqref="P2:P3" name="区域1_1_14"/>
    <protectedRange password="E9C1" sqref="S2:S3" name="区域1_1_15"/>
    <protectedRange password="E9C1" sqref="T2:T3" name="区域1_1_16"/>
    <protectedRange password="E9C1" sqref="U2:U3" name="区域1_1_17"/>
    <protectedRange password="E9C1" sqref="V2:V3" name="区域1_1_18"/>
    <protectedRange password="E9C1" sqref="R2:R3" name="区域1_1_19"/>
    <protectedRange password="E9C1" sqref="A19:D19 X19:Y19" name="区域1_1_23"/>
  </protectedRanges>
  <mergeCells count="1">
    <mergeCell ref="A1:Y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8" scale="75" orientation="landscape" r:id="rId1"/>
  <headerFooter>
    <oddFooter>第 &amp;P 页，共 &amp;N 页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dimension ref="A1:V74"/>
  <sheetViews>
    <sheetView workbookViewId="0">
      <pane xSplit="4" ySplit="2" topLeftCell="M16" activePane="bottomRight" state="frozen"/>
      <selection pane="topRight" activeCell="E1" sqref="E1"/>
      <selection pane="bottomLeft" activeCell="A3" sqref="A3"/>
      <selection pane="bottomRight" activeCell="U33" activeCellId="4" sqref="U20 U25 U27 U29 U33"/>
    </sheetView>
  </sheetViews>
  <sheetFormatPr defaultColWidth="9" defaultRowHeight="11.25"/>
  <cols>
    <col min="1" max="1" width="4.75" style="61" customWidth="1"/>
    <col min="2" max="2" width="15.5" style="19" customWidth="1"/>
    <col min="3" max="3" width="6.375" style="19" customWidth="1"/>
    <col min="4" max="4" width="7" style="62" customWidth="1"/>
    <col min="5" max="5" width="10.75" style="19" customWidth="1"/>
    <col min="6" max="6" width="10.375" style="19" customWidth="1"/>
    <col min="7" max="7" width="10.625" style="19" customWidth="1"/>
    <col min="8" max="8" width="10.25" style="19" customWidth="1"/>
    <col min="9" max="9" width="11.375" style="19" customWidth="1"/>
    <col min="10" max="10" width="11" style="19" customWidth="1"/>
    <col min="11" max="11" width="11.625" style="19" customWidth="1"/>
    <col min="12" max="12" width="13.375" style="19" customWidth="1"/>
    <col min="13" max="13" width="13.75" style="19" customWidth="1"/>
    <col min="14" max="14" width="13.375" style="19" customWidth="1"/>
    <col min="15" max="15" width="13.75" style="19" customWidth="1"/>
    <col min="16" max="16" width="13.25" style="19" customWidth="1"/>
    <col min="17" max="17" width="12.75" style="19" customWidth="1"/>
    <col min="18" max="18" width="12" style="19" customWidth="1"/>
    <col min="19" max="19" width="11.125" style="19" customWidth="1"/>
    <col min="20" max="20" width="11.5" style="19" customWidth="1"/>
    <col min="21" max="21" width="11.375" style="19" customWidth="1"/>
    <col min="22" max="16384" width="9" style="19"/>
  </cols>
  <sheetData>
    <row r="1" spans="1:22" ht="25.5">
      <c r="A1" s="574" t="s">
        <v>949</v>
      </c>
      <c r="B1" s="575"/>
      <c r="C1" s="575"/>
      <c r="D1" s="575"/>
      <c r="E1" s="575"/>
      <c r="F1" s="575"/>
      <c r="G1" s="575"/>
      <c r="H1" s="575"/>
      <c r="I1" s="575"/>
      <c r="J1" s="575"/>
      <c r="K1" s="575"/>
      <c r="L1" s="575"/>
      <c r="M1" s="575"/>
      <c r="N1" s="575"/>
      <c r="O1" s="575"/>
      <c r="P1" s="575"/>
      <c r="Q1" s="575"/>
      <c r="R1" s="575"/>
      <c r="S1" s="575"/>
      <c r="T1" s="575"/>
      <c r="U1" s="575"/>
      <c r="V1" s="575"/>
    </row>
    <row r="2" spans="1:22" ht="24.95" customHeight="1">
      <c r="A2" s="46" t="s">
        <v>12</v>
      </c>
      <c r="B2" s="46" t="s">
        <v>13</v>
      </c>
      <c r="C2" s="46" t="s">
        <v>14</v>
      </c>
      <c r="D2" s="47" t="s">
        <v>15</v>
      </c>
      <c r="E2" s="47" t="s">
        <v>934</v>
      </c>
      <c r="F2" s="47" t="s">
        <v>935</v>
      </c>
      <c r="G2" s="47" t="s">
        <v>936</v>
      </c>
      <c r="H2" s="47" t="s">
        <v>937</v>
      </c>
      <c r="I2" s="47" t="s">
        <v>938</v>
      </c>
      <c r="J2" s="47" t="s">
        <v>939</v>
      </c>
      <c r="K2" s="47" t="s">
        <v>940</v>
      </c>
      <c r="L2" s="47" t="s">
        <v>941</v>
      </c>
      <c r="M2" s="47" t="s">
        <v>942</v>
      </c>
      <c r="N2" s="47" t="s">
        <v>943</v>
      </c>
      <c r="O2" s="47" t="s">
        <v>944</v>
      </c>
      <c r="P2" s="47" t="s">
        <v>945</v>
      </c>
      <c r="Q2" s="47" t="s">
        <v>946</v>
      </c>
      <c r="R2" s="47" t="s">
        <v>947</v>
      </c>
      <c r="S2" s="47" t="s">
        <v>948</v>
      </c>
      <c r="T2" s="47" t="s">
        <v>19</v>
      </c>
      <c r="U2" s="47" t="s">
        <v>21</v>
      </c>
      <c r="V2" s="48" t="s">
        <v>22</v>
      </c>
    </row>
    <row r="3" spans="1:22" ht="24.95" customHeight="1">
      <c r="A3" s="14" t="s">
        <v>23</v>
      </c>
      <c r="B3" s="24" t="s">
        <v>24</v>
      </c>
      <c r="C3" s="24"/>
      <c r="D3" s="45" t="s">
        <v>25</v>
      </c>
      <c r="E3" s="18">
        <f t="shared" ref="E3:T3" si="0">E4+E31+E38</f>
        <v>62600260.259999998</v>
      </c>
      <c r="F3" s="18">
        <f t="shared" si="0"/>
        <v>32249426.239999998</v>
      </c>
      <c r="G3" s="18">
        <f t="shared" si="0"/>
        <v>32929221.799999997</v>
      </c>
      <c r="H3" s="18">
        <f t="shared" si="0"/>
        <v>36012372</v>
      </c>
      <c r="I3" s="18">
        <f t="shared" si="0"/>
        <v>34560354.890000008</v>
      </c>
      <c r="J3" s="18">
        <f t="shared" si="0"/>
        <v>27493998.850000001</v>
      </c>
      <c r="K3" s="18">
        <f t="shared" si="0"/>
        <v>51235109.409999996</v>
      </c>
      <c r="L3" s="18">
        <f t="shared" si="0"/>
        <v>22755608.379999999</v>
      </c>
      <c r="M3" s="18">
        <f t="shared" si="0"/>
        <v>16576452.08</v>
      </c>
      <c r="N3" s="18">
        <f t="shared" si="0"/>
        <v>27295289.940000001</v>
      </c>
      <c r="O3" s="18">
        <f t="shared" si="0"/>
        <v>18675338.609999999</v>
      </c>
      <c r="P3" s="18">
        <f t="shared" si="0"/>
        <v>17652222.899999999</v>
      </c>
      <c r="Q3" s="18">
        <f t="shared" si="0"/>
        <v>15633306.180000002</v>
      </c>
      <c r="R3" s="18">
        <f t="shared" si="0"/>
        <v>6533164.8399999999</v>
      </c>
      <c r="S3" s="18">
        <f t="shared" si="0"/>
        <v>3755679.5700000003</v>
      </c>
      <c r="T3" s="18">
        <f t="shared" si="0"/>
        <v>1752813.42</v>
      </c>
      <c r="U3" s="18">
        <f t="shared" ref="U3:U66" si="1">SUM(E3:T3)</f>
        <v>407710619.37</v>
      </c>
      <c r="V3" s="26"/>
    </row>
    <row r="4" spans="1:22" ht="24.95" customHeight="1">
      <c r="A4" s="14" t="s">
        <v>26</v>
      </c>
      <c r="B4" s="24" t="s">
        <v>0</v>
      </c>
      <c r="C4" s="24"/>
      <c r="D4" s="45" t="s">
        <v>25</v>
      </c>
      <c r="E4" s="18">
        <f>E5+E8+E12+E15+E20+E25+E27+E29+E30</f>
        <v>51048829.659999996</v>
      </c>
      <c r="F4" s="18">
        <f t="shared" ref="F4:T4" si="2">F5+F8+F12+F15+F20+F25+F27+F29+F30</f>
        <v>26772670.899999999</v>
      </c>
      <c r="G4" s="18">
        <f t="shared" si="2"/>
        <v>27654594.909999996</v>
      </c>
      <c r="H4" s="18">
        <f t="shared" si="2"/>
        <v>30448274.509999998</v>
      </c>
      <c r="I4" s="18">
        <f t="shared" si="2"/>
        <v>29571596.550000004</v>
      </c>
      <c r="J4" s="18">
        <f t="shared" si="2"/>
        <v>23736531.890000001</v>
      </c>
      <c r="K4" s="18">
        <f t="shared" si="2"/>
        <v>43576180.18</v>
      </c>
      <c r="L4" s="18">
        <f t="shared" si="2"/>
        <v>19280922.59</v>
      </c>
      <c r="M4" s="18">
        <f t="shared" si="2"/>
        <v>14375827.300000001</v>
      </c>
      <c r="N4" s="18">
        <f t="shared" si="2"/>
        <v>23161579.420000002</v>
      </c>
      <c r="O4" s="18">
        <f t="shared" si="2"/>
        <v>16343557.85</v>
      </c>
      <c r="P4" s="18">
        <f t="shared" si="2"/>
        <v>15252520.719999999</v>
      </c>
      <c r="Q4" s="18">
        <f t="shared" si="2"/>
        <v>13583808.240000002</v>
      </c>
      <c r="R4" s="18">
        <f t="shared" si="2"/>
        <v>5393313.5499999998</v>
      </c>
      <c r="S4" s="18">
        <f t="shared" si="2"/>
        <v>2668918.71</v>
      </c>
      <c r="T4" s="18">
        <f t="shared" si="2"/>
        <v>1487445.42</v>
      </c>
      <c r="U4" s="18">
        <f t="shared" si="1"/>
        <v>344356572.40000004</v>
      </c>
      <c r="V4" s="26"/>
    </row>
    <row r="5" spans="1:22" ht="24.95" customHeight="1">
      <c r="A5" s="14" t="s">
        <v>27</v>
      </c>
      <c r="B5" s="24" t="s">
        <v>28</v>
      </c>
      <c r="C5" s="24"/>
      <c r="D5" s="45" t="s">
        <v>25</v>
      </c>
      <c r="E5" s="18">
        <f>E6+E7</f>
        <v>6692280</v>
      </c>
      <c r="F5" s="18">
        <f t="shared" ref="F5:T5" si="3">F6+F7</f>
        <v>3388020</v>
      </c>
      <c r="G5" s="18">
        <f t="shared" si="3"/>
        <v>3617700</v>
      </c>
      <c r="H5" s="18">
        <f t="shared" si="3"/>
        <v>3404748</v>
      </c>
      <c r="I5" s="18">
        <f t="shared" si="3"/>
        <v>4313508</v>
      </c>
      <c r="J5" s="18">
        <f t="shared" si="3"/>
        <v>2858004</v>
      </c>
      <c r="K5" s="18">
        <f t="shared" si="3"/>
        <v>5009820</v>
      </c>
      <c r="L5" s="18">
        <f t="shared" si="3"/>
        <v>2497608</v>
      </c>
      <c r="M5" s="18">
        <f t="shared" si="3"/>
        <v>1953108</v>
      </c>
      <c r="N5" s="18">
        <f t="shared" si="3"/>
        <v>2905416</v>
      </c>
      <c r="O5" s="18">
        <f t="shared" si="3"/>
        <v>2037096</v>
      </c>
      <c r="P5" s="18">
        <f t="shared" si="3"/>
        <v>1845840</v>
      </c>
      <c r="Q5" s="18">
        <f t="shared" si="3"/>
        <v>1641144</v>
      </c>
      <c r="R5" s="18">
        <f t="shared" si="3"/>
        <v>673476</v>
      </c>
      <c r="S5" s="18">
        <f>S6+S7</f>
        <v>311700</v>
      </c>
      <c r="T5" s="18">
        <f t="shared" si="3"/>
        <v>183120</v>
      </c>
      <c r="U5" s="18">
        <f t="shared" si="1"/>
        <v>43332588</v>
      </c>
      <c r="V5" s="26"/>
    </row>
    <row r="6" spans="1:22" ht="24.95" customHeight="1">
      <c r="A6" s="14" t="s">
        <v>29</v>
      </c>
      <c r="B6" s="24" t="s">
        <v>30</v>
      </c>
      <c r="C6" s="24" t="s">
        <v>31</v>
      </c>
      <c r="D6" s="45" t="s">
        <v>32</v>
      </c>
      <c r="E6" s="25">
        <v>3559548</v>
      </c>
      <c r="F6" s="25">
        <v>1932636</v>
      </c>
      <c r="G6" s="25">
        <v>2116716</v>
      </c>
      <c r="H6" s="25">
        <v>2130708</v>
      </c>
      <c r="I6" s="25">
        <v>2062608</v>
      </c>
      <c r="J6" s="25">
        <v>1636224</v>
      </c>
      <c r="K6" s="25">
        <v>3027408</v>
      </c>
      <c r="L6" s="25">
        <v>1433436</v>
      </c>
      <c r="M6" s="25">
        <v>1067340</v>
      </c>
      <c r="N6" s="25">
        <v>1768848</v>
      </c>
      <c r="O6" s="25">
        <v>1245948</v>
      </c>
      <c r="P6" s="25">
        <v>1149456</v>
      </c>
      <c r="Q6" s="25">
        <v>1009404</v>
      </c>
      <c r="R6" s="25">
        <v>417924</v>
      </c>
      <c r="S6" s="25">
        <v>198528</v>
      </c>
      <c r="T6" s="25">
        <v>104544</v>
      </c>
      <c r="U6" s="18">
        <f t="shared" si="1"/>
        <v>24861276</v>
      </c>
      <c r="V6" s="49"/>
    </row>
    <row r="7" spans="1:22" ht="24.95" customHeight="1">
      <c r="A7" s="14" t="s">
        <v>33</v>
      </c>
      <c r="B7" s="24" t="s">
        <v>34</v>
      </c>
      <c r="C7" s="24" t="s">
        <v>31</v>
      </c>
      <c r="D7" s="45" t="s">
        <v>32</v>
      </c>
      <c r="E7" s="25">
        <v>3132732</v>
      </c>
      <c r="F7" s="25">
        <v>1455384</v>
      </c>
      <c r="G7" s="25">
        <v>1500984</v>
      </c>
      <c r="H7" s="25">
        <v>1274040</v>
      </c>
      <c r="I7" s="25">
        <v>2250900</v>
      </c>
      <c r="J7" s="25">
        <v>1221780</v>
      </c>
      <c r="K7" s="25">
        <v>1982412</v>
      </c>
      <c r="L7" s="25">
        <v>1064172</v>
      </c>
      <c r="M7" s="25">
        <v>885768</v>
      </c>
      <c r="N7" s="25">
        <v>1136568</v>
      </c>
      <c r="O7" s="25">
        <v>791148</v>
      </c>
      <c r="P7" s="25">
        <v>696384</v>
      </c>
      <c r="Q7" s="25">
        <v>631740</v>
      </c>
      <c r="R7" s="25">
        <v>255552</v>
      </c>
      <c r="S7" s="25">
        <v>113172</v>
      </c>
      <c r="T7" s="25">
        <v>78576</v>
      </c>
      <c r="U7" s="18">
        <f t="shared" si="1"/>
        <v>18471312</v>
      </c>
      <c r="V7" s="26"/>
    </row>
    <row r="8" spans="1:22" ht="24.95" customHeight="1">
      <c r="A8" s="14" t="s">
        <v>35</v>
      </c>
      <c r="B8" s="24" t="s">
        <v>36</v>
      </c>
      <c r="C8" s="24"/>
      <c r="D8" s="45" t="s">
        <v>25</v>
      </c>
      <c r="E8" s="18">
        <f>E9+E10</f>
        <v>701820</v>
      </c>
      <c r="F8" s="18">
        <f t="shared" ref="F8:T8" si="4">F9+F10</f>
        <v>364092</v>
      </c>
      <c r="G8" s="18">
        <f t="shared" si="4"/>
        <v>374892</v>
      </c>
      <c r="H8" s="18">
        <f t="shared" si="4"/>
        <v>426096</v>
      </c>
      <c r="I8" s="18">
        <f t="shared" si="4"/>
        <v>414156</v>
      </c>
      <c r="J8" s="18">
        <f t="shared" si="4"/>
        <v>331920</v>
      </c>
      <c r="K8" s="18">
        <f t="shared" si="4"/>
        <v>623340</v>
      </c>
      <c r="L8" s="18">
        <f t="shared" si="4"/>
        <v>299748</v>
      </c>
      <c r="M8" s="18">
        <f t="shared" si="4"/>
        <v>225276</v>
      </c>
      <c r="N8" s="18">
        <f t="shared" si="4"/>
        <v>363408</v>
      </c>
      <c r="O8" s="18">
        <f t="shared" si="4"/>
        <v>256488</v>
      </c>
      <c r="P8" s="18">
        <f t="shared" si="4"/>
        <v>245328</v>
      </c>
      <c r="Q8" s="18">
        <f t="shared" si="4"/>
        <v>224070.6</v>
      </c>
      <c r="R8" s="18">
        <f t="shared" si="4"/>
        <v>85380</v>
      </c>
      <c r="S8" s="18">
        <f t="shared" si="4"/>
        <v>42696</v>
      </c>
      <c r="T8" s="18">
        <f t="shared" si="4"/>
        <v>21480</v>
      </c>
      <c r="U8" s="18">
        <f t="shared" si="1"/>
        <v>5000190.5999999996</v>
      </c>
      <c r="V8" s="26"/>
    </row>
    <row r="9" spans="1:22" ht="24.95" customHeight="1">
      <c r="A9" s="14" t="s">
        <v>37</v>
      </c>
      <c r="B9" s="24" t="s">
        <v>38</v>
      </c>
      <c r="C9" s="24" t="s">
        <v>31</v>
      </c>
      <c r="D9" s="45" t="s">
        <v>32</v>
      </c>
      <c r="E9" s="25">
        <v>10140</v>
      </c>
      <c r="F9" s="25">
        <v>5052</v>
      </c>
      <c r="G9" s="25">
        <v>5292</v>
      </c>
      <c r="H9" s="25">
        <v>3696</v>
      </c>
      <c r="I9" s="25">
        <v>7596</v>
      </c>
      <c r="J9" s="25">
        <v>4560</v>
      </c>
      <c r="K9" s="25">
        <v>5580</v>
      </c>
      <c r="L9" s="25">
        <v>4068</v>
      </c>
      <c r="M9" s="25">
        <v>3516</v>
      </c>
      <c r="N9" s="25">
        <v>4368</v>
      </c>
      <c r="O9" s="25">
        <v>3048</v>
      </c>
      <c r="P9" s="25">
        <v>2448</v>
      </c>
      <c r="Q9" s="25">
        <v>18150.599999999999</v>
      </c>
      <c r="R9" s="25">
        <v>900</v>
      </c>
      <c r="S9" s="25">
        <v>456</v>
      </c>
      <c r="T9" s="25">
        <v>360</v>
      </c>
      <c r="U9" s="18">
        <f t="shared" si="1"/>
        <v>79230.600000000006</v>
      </c>
      <c r="V9" s="26"/>
    </row>
    <row r="10" spans="1:22" ht="24.95" customHeight="1">
      <c r="A10" s="14" t="s">
        <v>39</v>
      </c>
      <c r="B10" s="24" t="s">
        <v>40</v>
      </c>
      <c r="C10" s="24"/>
      <c r="D10" s="45" t="s">
        <v>25</v>
      </c>
      <c r="E10" s="18">
        <f>E11</f>
        <v>691680</v>
      </c>
      <c r="F10" s="18">
        <f t="shared" ref="F10:T10" si="5">F11</f>
        <v>359040</v>
      </c>
      <c r="G10" s="18">
        <f t="shared" si="5"/>
        <v>369600</v>
      </c>
      <c r="H10" s="18">
        <f t="shared" si="5"/>
        <v>422400</v>
      </c>
      <c r="I10" s="18">
        <f t="shared" si="5"/>
        <v>406560</v>
      </c>
      <c r="J10" s="18">
        <f t="shared" si="5"/>
        <v>327360</v>
      </c>
      <c r="K10" s="18">
        <f t="shared" si="5"/>
        <v>617760</v>
      </c>
      <c r="L10" s="18">
        <f t="shared" si="5"/>
        <v>295680</v>
      </c>
      <c r="M10" s="18">
        <f t="shared" si="5"/>
        <v>221760</v>
      </c>
      <c r="N10" s="18">
        <f t="shared" si="5"/>
        <v>359040</v>
      </c>
      <c r="O10" s="18">
        <f t="shared" si="5"/>
        <v>253440</v>
      </c>
      <c r="P10" s="18">
        <f t="shared" si="5"/>
        <v>242880</v>
      </c>
      <c r="Q10" s="18">
        <f t="shared" si="5"/>
        <v>205920</v>
      </c>
      <c r="R10" s="18">
        <f t="shared" si="5"/>
        <v>84480</v>
      </c>
      <c r="S10" s="18">
        <f t="shared" si="5"/>
        <v>42240</v>
      </c>
      <c r="T10" s="18">
        <f t="shared" si="5"/>
        <v>21120</v>
      </c>
      <c r="U10" s="18">
        <f t="shared" si="1"/>
        <v>4920960</v>
      </c>
      <c r="V10" s="26"/>
    </row>
    <row r="11" spans="1:22" s="44" customFormat="1" ht="24.95" customHeight="1">
      <c r="A11" s="14" t="s">
        <v>41</v>
      </c>
      <c r="B11" s="43" t="s">
        <v>42</v>
      </c>
      <c r="C11" s="43" t="s">
        <v>31</v>
      </c>
      <c r="D11" s="26" t="s">
        <v>25</v>
      </c>
      <c r="E11" s="18">
        <f>440*12*E61</f>
        <v>691680</v>
      </c>
      <c r="F11" s="18">
        <f t="shared" ref="F11:T11" si="6">440*12*F61</f>
        <v>359040</v>
      </c>
      <c r="G11" s="18">
        <f t="shared" si="6"/>
        <v>369600</v>
      </c>
      <c r="H11" s="18">
        <f t="shared" si="6"/>
        <v>422400</v>
      </c>
      <c r="I11" s="18">
        <f t="shared" si="6"/>
        <v>406560</v>
      </c>
      <c r="J11" s="18">
        <f t="shared" si="6"/>
        <v>327360</v>
      </c>
      <c r="K11" s="18">
        <f t="shared" si="6"/>
        <v>617760</v>
      </c>
      <c r="L11" s="18">
        <f t="shared" si="6"/>
        <v>295680</v>
      </c>
      <c r="M11" s="18">
        <f t="shared" si="6"/>
        <v>221760</v>
      </c>
      <c r="N11" s="18">
        <f t="shared" si="6"/>
        <v>359040</v>
      </c>
      <c r="O11" s="18">
        <f t="shared" si="6"/>
        <v>253440</v>
      </c>
      <c r="P11" s="18">
        <f t="shared" si="6"/>
        <v>242880</v>
      </c>
      <c r="Q11" s="18">
        <f t="shared" si="6"/>
        <v>205920</v>
      </c>
      <c r="R11" s="18">
        <f t="shared" si="6"/>
        <v>84480</v>
      </c>
      <c r="S11" s="18">
        <f t="shared" si="6"/>
        <v>42240</v>
      </c>
      <c r="T11" s="18">
        <f t="shared" si="6"/>
        <v>21120</v>
      </c>
      <c r="U11" s="18">
        <f t="shared" si="1"/>
        <v>4920960</v>
      </c>
      <c r="V11" s="26"/>
    </row>
    <row r="12" spans="1:22" ht="24.95" customHeight="1">
      <c r="A12" s="14" t="s">
        <v>43</v>
      </c>
      <c r="B12" s="24" t="s">
        <v>44</v>
      </c>
      <c r="C12" s="24"/>
      <c r="D12" s="45" t="s">
        <v>45</v>
      </c>
      <c r="E12" s="18">
        <f>E13+E14</f>
        <v>250949.66</v>
      </c>
      <c r="F12" s="18">
        <f t="shared" ref="F12:T12" si="7">F13+F14</f>
        <v>136213.20000000001</v>
      </c>
      <c r="G12" s="18">
        <f t="shared" si="7"/>
        <v>139631.47</v>
      </c>
      <c r="H12" s="18">
        <f t="shared" si="7"/>
        <v>152559.07</v>
      </c>
      <c r="I12" s="18">
        <f t="shared" si="7"/>
        <v>134026.85</v>
      </c>
      <c r="J12" s="18">
        <f t="shared" si="7"/>
        <v>116879.33</v>
      </c>
      <c r="K12" s="18">
        <f t="shared" si="7"/>
        <v>206843.03999999998</v>
      </c>
      <c r="L12" s="18">
        <f t="shared" si="7"/>
        <v>95995.15</v>
      </c>
      <c r="M12" s="18">
        <f t="shared" si="7"/>
        <v>69266.16</v>
      </c>
      <c r="N12" s="18">
        <f t="shared" si="7"/>
        <v>114532.56</v>
      </c>
      <c r="O12" s="18">
        <f t="shared" si="7"/>
        <v>80979.55</v>
      </c>
      <c r="P12" s="18">
        <f t="shared" si="7"/>
        <v>72595.58</v>
      </c>
      <c r="Q12" s="18">
        <f t="shared" si="7"/>
        <v>70802.2</v>
      </c>
      <c r="R12" s="18">
        <f t="shared" si="7"/>
        <v>26186.11</v>
      </c>
      <c r="S12" s="18">
        <f t="shared" si="7"/>
        <v>13048.41</v>
      </c>
      <c r="T12" s="18">
        <f t="shared" si="7"/>
        <v>7865.42</v>
      </c>
      <c r="U12" s="18">
        <f t="shared" si="1"/>
        <v>1688373.7599999998</v>
      </c>
      <c r="V12" s="26"/>
    </row>
    <row r="13" spans="1:22" s="44" customFormat="1" ht="24.95" customHeight="1">
      <c r="A13" s="14" t="s">
        <v>46</v>
      </c>
      <c r="B13" s="43" t="s">
        <v>47</v>
      </c>
      <c r="C13" s="43" t="s">
        <v>31</v>
      </c>
      <c r="D13" s="26" t="s">
        <v>48</v>
      </c>
      <c r="E13" s="18">
        <f>ROUND(E29/0.07*0.00256,2)</f>
        <v>84977.66</v>
      </c>
      <c r="F13" s="18">
        <f t="shared" ref="F13:T13" si="8">ROUND(F29/0.07*0.00256,2)</f>
        <v>46125.2</v>
      </c>
      <c r="G13" s="18">
        <f t="shared" si="8"/>
        <v>47282.47</v>
      </c>
      <c r="H13" s="18">
        <f t="shared" si="8"/>
        <v>51660.07</v>
      </c>
      <c r="I13" s="18">
        <f t="shared" si="8"/>
        <v>45384.85</v>
      </c>
      <c r="J13" s="18">
        <f t="shared" si="8"/>
        <v>39578.33</v>
      </c>
      <c r="K13" s="18">
        <f t="shared" si="8"/>
        <v>70042.039999999994</v>
      </c>
      <c r="L13" s="18">
        <f t="shared" si="8"/>
        <v>32506.15</v>
      </c>
      <c r="M13" s="18">
        <f t="shared" si="8"/>
        <v>23455.16</v>
      </c>
      <c r="N13" s="18">
        <f t="shared" si="8"/>
        <v>38783.56</v>
      </c>
      <c r="O13" s="18">
        <f t="shared" si="8"/>
        <v>27421.55</v>
      </c>
      <c r="P13" s="18">
        <f t="shared" si="8"/>
        <v>24582.58</v>
      </c>
      <c r="Q13" s="18">
        <f t="shared" si="8"/>
        <v>23975.200000000001</v>
      </c>
      <c r="R13" s="18">
        <f t="shared" si="8"/>
        <v>8867.11</v>
      </c>
      <c r="S13" s="18">
        <f t="shared" si="8"/>
        <v>4418.41</v>
      </c>
      <c r="T13" s="18">
        <f t="shared" si="8"/>
        <v>2663.42</v>
      </c>
      <c r="U13" s="18">
        <f t="shared" si="1"/>
        <v>571723.76</v>
      </c>
      <c r="V13" s="26"/>
    </row>
    <row r="14" spans="1:22" s="44" customFormat="1" ht="24.95" customHeight="1">
      <c r="A14" s="14" t="s">
        <v>49</v>
      </c>
      <c r="B14" s="43" t="s">
        <v>50</v>
      </c>
      <c r="C14" s="43" t="s">
        <v>31</v>
      </c>
      <c r="D14" s="26" t="s">
        <v>48</v>
      </c>
      <c r="E14" s="18">
        <f>ROUND(E29/0.07*0.005,0)</f>
        <v>165972</v>
      </c>
      <c r="F14" s="18">
        <f t="shared" ref="F14:T14" si="9">ROUND(F29/0.07*0.005,0)</f>
        <v>90088</v>
      </c>
      <c r="G14" s="18">
        <f t="shared" si="9"/>
        <v>92349</v>
      </c>
      <c r="H14" s="18">
        <f t="shared" si="9"/>
        <v>100899</v>
      </c>
      <c r="I14" s="18">
        <f t="shared" si="9"/>
        <v>88642</v>
      </c>
      <c r="J14" s="18">
        <f t="shared" si="9"/>
        <v>77301</v>
      </c>
      <c r="K14" s="18">
        <f t="shared" si="9"/>
        <v>136801</v>
      </c>
      <c r="L14" s="18">
        <f t="shared" si="9"/>
        <v>63489</v>
      </c>
      <c r="M14" s="18">
        <f t="shared" si="9"/>
        <v>45811</v>
      </c>
      <c r="N14" s="18">
        <f t="shared" si="9"/>
        <v>75749</v>
      </c>
      <c r="O14" s="18">
        <f t="shared" si="9"/>
        <v>53558</v>
      </c>
      <c r="P14" s="18">
        <f t="shared" si="9"/>
        <v>48013</v>
      </c>
      <c r="Q14" s="18">
        <f t="shared" si="9"/>
        <v>46827</v>
      </c>
      <c r="R14" s="18">
        <f t="shared" si="9"/>
        <v>17319</v>
      </c>
      <c r="S14" s="18">
        <f t="shared" si="9"/>
        <v>8630</v>
      </c>
      <c r="T14" s="18">
        <f t="shared" si="9"/>
        <v>5202</v>
      </c>
      <c r="U14" s="18">
        <f t="shared" si="1"/>
        <v>1116650</v>
      </c>
      <c r="V14" s="26"/>
    </row>
    <row r="15" spans="1:22" ht="24.95" customHeight="1">
      <c r="A15" s="14" t="s">
        <v>51</v>
      </c>
      <c r="B15" s="24" t="s">
        <v>52</v>
      </c>
      <c r="C15" s="24"/>
      <c r="D15" s="45" t="s">
        <v>25</v>
      </c>
      <c r="E15" s="18">
        <f>E16+E17+E18+E19</f>
        <v>28466300</v>
      </c>
      <c r="F15" s="18">
        <f t="shared" ref="F15:T15" si="10">F16+F17+F18+F19</f>
        <v>14776400</v>
      </c>
      <c r="G15" s="18">
        <f t="shared" si="10"/>
        <v>15211000</v>
      </c>
      <c r="H15" s="18">
        <f t="shared" si="10"/>
        <v>17384000</v>
      </c>
      <c r="I15" s="18">
        <f t="shared" si="10"/>
        <v>16732100</v>
      </c>
      <c r="J15" s="18">
        <f t="shared" si="10"/>
        <v>13472600</v>
      </c>
      <c r="K15" s="18">
        <f t="shared" si="10"/>
        <v>25424100</v>
      </c>
      <c r="L15" s="18">
        <f t="shared" si="10"/>
        <v>10673600</v>
      </c>
      <c r="M15" s="18">
        <f t="shared" si="10"/>
        <v>8005200</v>
      </c>
      <c r="N15" s="18">
        <f t="shared" si="10"/>
        <v>12960800</v>
      </c>
      <c r="O15" s="18">
        <f t="shared" si="10"/>
        <v>9148800</v>
      </c>
      <c r="P15" s="18">
        <f t="shared" si="10"/>
        <v>8767600</v>
      </c>
      <c r="Q15" s="18">
        <f t="shared" si="10"/>
        <v>7433400</v>
      </c>
      <c r="R15" s="18">
        <f t="shared" si="10"/>
        <v>3049600</v>
      </c>
      <c r="S15" s="18">
        <f t="shared" si="10"/>
        <v>1524800</v>
      </c>
      <c r="T15" s="18">
        <f t="shared" si="10"/>
        <v>806800</v>
      </c>
      <c r="U15" s="18">
        <f t="shared" si="1"/>
        <v>193837100</v>
      </c>
      <c r="V15" s="26"/>
    </row>
    <row r="16" spans="1:22" ht="24.95" customHeight="1">
      <c r="A16" s="14" t="s">
        <v>53</v>
      </c>
      <c r="B16" s="15" t="s">
        <v>54</v>
      </c>
      <c r="C16" s="15" t="s">
        <v>31</v>
      </c>
      <c r="D16" s="16" t="s">
        <v>55</v>
      </c>
      <c r="E16" s="17">
        <v>25786532</v>
      </c>
      <c r="F16" s="17">
        <v>12824724</v>
      </c>
      <c r="G16" s="17">
        <v>14008136</v>
      </c>
      <c r="H16" s="17">
        <v>15837120</v>
      </c>
      <c r="I16" s="17">
        <v>15233288</v>
      </c>
      <c r="J16" s="17">
        <v>12190969</v>
      </c>
      <c r="K16" s="17">
        <v>22935500</v>
      </c>
      <c r="L16" s="17">
        <v>10060452</v>
      </c>
      <c r="M16" s="17">
        <v>7515376</v>
      </c>
      <c r="N16" s="17">
        <v>12251712</v>
      </c>
      <c r="O16" s="17">
        <v>8610016</v>
      </c>
      <c r="P16" s="17">
        <v>8252576</v>
      </c>
      <c r="Q16" s="17">
        <v>6946796</v>
      </c>
      <c r="R16" s="17">
        <v>2727824</v>
      </c>
      <c r="S16" s="17">
        <v>1215204</v>
      </c>
      <c r="T16" s="17">
        <v>782800</v>
      </c>
      <c r="U16" s="18">
        <f t="shared" si="1"/>
        <v>177179025</v>
      </c>
      <c r="V16" s="16"/>
    </row>
    <row r="17" spans="1:22" ht="24.95" customHeight="1">
      <c r="A17" s="14" t="s">
        <v>56</v>
      </c>
      <c r="B17" s="15" t="s">
        <v>57</v>
      </c>
      <c r="C17" s="15" t="s">
        <v>31</v>
      </c>
      <c r="D17" s="16" t="s">
        <v>58</v>
      </c>
      <c r="E17" s="17">
        <v>583768</v>
      </c>
      <c r="F17" s="17">
        <v>863676</v>
      </c>
      <c r="G17" s="17">
        <v>82864</v>
      </c>
      <c r="H17" s="17">
        <v>266880</v>
      </c>
      <c r="I17" s="17">
        <v>266812</v>
      </c>
      <c r="J17" s="17">
        <v>289631</v>
      </c>
      <c r="K17" s="17">
        <v>616600</v>
      </c>
      <c r="L17" s="17">
        <v>277148</v>
      </c>
      <c r="M17" s="17">
        <v>237824</v>
      </c>
      <c r="N17" s="17">
        <v>301088</v>
      </c>
      <c r="O17" s="17">
        <v>250784</v>
      </c>
      <c r="P17" s="17">
        <v>239024</v>
      </c>
      <c r="Q17" s="17">
        <v>252604</v>
      </c>
      <c r="R17" s="17">
        <v>225776</v>
      </c>
      <c r="S17" s="17">
        <v>261596</v>
      </c>
      <c r="T17" s="17"/>
      <c r="U17" s="18">
        <f t="shared" si="1"/>
        <v>5016075</v>
      </c>
      <c r="V17" s="16"/>
    </row>
    <row r="18" spans="1:22" ht="24.95" customHeight="1">
      <c r="A18" s="14" t="s">
        <v>59</v>
      </c>
      <c r="B18" s="15" t="s">
        <v>60</v>
      </c>
      <c r="C18" s="15" t="s">
        <v>31</v>
      </c>
      <c r="D18" s="45" t="s">
        <v>25</v>
      </c>
      <c r="E18" s="50">
        <f>E61*500*12</f>
        <v>786000</v>
      </c>
      <c r="F18" s="50">
        <f t="shared" ref="F18:T18" si="11">F61*500*12</f>
        <v>408000</v>
      </c>
      <c r="G18" s="50">
        <f t="shared" si="11"/>
        <v>420000</v>
      </c>
      <c r="H18" s="50">
        <f t="shared" si="11"/>
        <v>480000</v>
      </c>
      <c r="I18" s="50">
        <f t="shared" si="11"/>
        <v>462000</v>
      </c>
      <c r="J18" s="50">
        <f t="shared" si="11"/>
        <v>372000</v>
      </c>
      <c r="K18" s="50">
        <f t="shared" si="11"/>
        <v>702000</v>
      </c>
      <c r="L18" s="50">
        <f t="shared" si="11"/>
        <v>336000</v>
      </c>
      <c r="M18" s="50">
        <f t="shared" si="11"/>
        <v>252000</v>
      </c>
      <c r="N18" s="50">
        <f t="shared" si="11"/>
        <v>408000</v>
      </c>
      <c r="O18" s="50">
        <f t="shared" si="11"/>
        <v>288000</v>
      </c>
      <c r="P18" s="50">
        <f t="shared" si="11"/>
        <v>276000</v>
      </c>
      <c r="Q18" s="50">
        <f t="shared" si="11"/>
        <v>234000</v>
      </c>
      <c r="R18" s="50">
        <f t="shared" si="11"/>
        <v>96000</v>
      </c>
      <c r="S18" s="50">
        <f t="shared" si="11"/>
        <v>48000</v>
      </c>
      <c r="T18" s="50">
        <f t="shared" si="11"/>
        <v>24000</v>
      </c>
      <c r="U18" s="18">
        <f t="shared" si="1"/>
        <v>5592000</v>
      </c>
      <c r="V18" s="16"/>
    </row>
    <row r="19" spans="1:22" ht="24.95" customHeight="1">
      <c r="A19" s="14" t="s">
        <v>61</v>
      </c>
      <c r="B19" s="15" t="s">
        <v>62</v>
      </c>
      <c r="C19" s="15" t="s">
        <v>31</v>
      </c>
      <c r="D19" s="45" t="s">
        <v>32</v>
      </c>
      <c r="E19" s="17">
        <f>10000*E61</f>
        <v>1310000</v>
      </c>
      <c r="F19" s="17">
        <f t="shared" ref="F19:K19" si="12">10000*F61</f>
        <v>680000</v>
      </c>
      <c r="G19" s="17">
        <f t="shared" si="12"/>
        <v>700000</v>
      </c>
      <c r="H19" s="17">
        <f t="shared" si="12"/>
        <v>800000</v>
      </c>
      <c r="I19" s="17">
        <f t="shared" si="12"/>
        <v>770000</v>
      </c>
      <c r="J19" s="17">
        <f t="shared" si="12"/>
        <v>620000</v>
      </c>
      <c r="K19" s="17">
        <f t="shared" si="12"/>
        <v>1170000</v>
      </c>
      <c r="L19" s="17"/>
      <c r="M19" s="17"/>
      <c r="N19" s="17"/>
      <c r="O19" s="17"/>
      <c r="P19" s="17"/>
      <c r="Q19" s="17"/>
      <c r="R19" s="17"/>
      <c r="S19" s="17"/>
      <c r="T19" s="17"/>
      <c r="U19" s="18">
        <f t="shared" si="1"/>
        <v>6050000</v>
      </c>
      <c r="V19" s="16"/>
    </row>
    <row r="20" spans="1:22" ht="24.95" customHeight="1">
      <c r="A20" s="14" t="s">
        <v>63</v>
      </c>
      <c r="B20" s="24" t="s">
        <v>64</v>
      </c>
      <c r="C20" s="24"/>
      <c r="D20" s="16" t="s">
        <v>25</v>
      </c>
      <c r="E20" s="50">
        <f>E21+E22</f>
        <v>4647216</v>
      </c>
      <c r="F20" s="50">
        <f t="shared" ref="F20:T20" si="13">F21+F22</f>
        <v>2522471.9900000002</v>
      </c>
      <c r="G20" s="50">
        <f t="shared" si="13"/>
        <v>2585760.0099999998</v>
      </c>
      <c r="H20" s="50">
        <f t="shared" si="13"/>
        <v>2825160.01</v>
      </c>
      <c r="I20" s="50">
        <f t="shared" si="13"/>
        <v>2481983.9900000002</v>
      </c>
      <c r="J20" s="50">
        <f t="shared" si="13"/>
        <v>2164439.9900000002</v>
      </c>
      <c r="K20" s="50">
        <f t="shared" si="13"/>
        <v>3830424</v>
      </c>
      <c r="L20" s="50">
        <f t="shared" si="13"/>
        <v>1777680.01</v>
      </c>
      <c r="M20" s="50">
        <f t="shared" si="13"/>
        <v>1282704</v>
      </c>
      <c r="N20" s="50">
        <f t="shared" si="13"/>
        <v>2120976</v>
      </c>
      <c r="O20" s="50">
        <f t="shared" si="13"/>
        <v>1499616.01</v>
      </c>
      <c r="P20" s="50">
        <f t="shared" si="13"/>
        <v>1344360</v>
      </c>
      <c r="Q20" s="50">
        <f t="shared" si="13"/>
        <v>1311144.01</v>
      </c>
      <c r="R20" s="50">
        <f t="shared" si="13"/>
        <v>484920.01</v>
      </c>
      <c r="S20" s="50">
        <f t="shared" si="13"/>
        <v>241632.01</v>
      </c>
      <c r="T20" s="50">
        <f t="shared" si="13"/>
        <v>145656</v>
      </c>
      <c r="U20" s="18">
        <f t="shared" si="1"/>
        <v>31266144.04000001</v>
      </c>
      <c r="V20" s="16"/>
    </row>
    <row r="21" spans="1:22" ht="24.95" customHeight="1">
      <c r="A21" s="14" t="s">
        <v>65</v>
      </c>
      <c r="B21" s="24" t="s">
        <v>66</v>
      </c>
      <c r="C21" s="24" t="s">
        <v>67</v>
      </c>
      <c r="D21" s="16" t="s">
        <v>25</v>
      </c>
      <c r="E21" s="50">
        <f>ROUND(E29/0.07*0.1,2)</f>
        <v>3319440</v>
      </c>
      <c r="F21" s="50">
        <f t="shared" ref="F21:T21" si="14">ROUND(F29/0.07*0.1,2)</f>
        <v>1801765.71</v>
      </c>
      <c r="G21" s="50">
        <f t="shared" si="14"/>
        <v>1846971.43</v>
      </c>
      <c r="H21" s="50">
        <f t="shared" si="14"/>
        <v>2017971.43</v>
      </c>
      <c r="I21" s="50">
        <f t="shared" si="14"/>
        <v>1772845.71</v>
      </c>
      <c r="J21" s="50">
        <f t="shared" si="14"/>
        <v>1546028.57</v>
      </c>
      <c r="K21" s="50">
        <f t="shared" si="14"/>
        <v>2736017.14</v>
      </c>
      <c r="L21" s="50">
        <f t="shared" si="14"/>
        <v>1269771.43</v>
      </c>
      <c r="M21" s="50">
        <f t="shared" si="14"/>
        <v>916217.14</v>
      </c>
      <c r="N21" s="50">
        <f t="shared" si="14"/>
        <v>1514982.86</v>
      </c>
      <c r="O21" s="50">
        <f t="shared" si="14"/>
        <v>1071154.29</v>
      </c>
      <c r="P21" s="50">
        <f t="shared" si="14"/>
        <v>960257.14</v>
      </c>
      <c r="Q21" s="50">
        <f t="shared" si="14"/>
        <v>936531.43</v>
      </c>
      <c r="R21" s="50">
        <f t="shared" si="14"/>
        <v>346371.43</v>
      </c>
      <c r="S21" s="50">
        <f t="shared" si="14"/>
        <v>172594.29</v>
      </c>
      <c r="T21" s="50">
        <f t="shared" si="14"/>
        <v>104040</v>
      </c>
      <c r="U21" s="18">
        <f t="shared" si="1"/>
        <v>22332960</v>
      </c>
      <c r="V21" s="16"/>
    </row>
    <row r="22" spans="1:22" ht="24.95" customHeight="1">
      <c r="A22" s="14" t="s">
        <v>68</v>
      </c>
      <c r="B22" s="24" t="s">
        <v>69</v>
      </c>
      <c r="C22" s="24" t="s">
        <v>67</v>
      </c>
      <c r="D22" s="16" t="s">
        <v>48</v>
      </c>
      <c r="E22" s="50">
        <f>E23+E24</f>
        <v>1327776</v>
      </c>
      <c r="F22" s="50">
        <f t="shared" ref="F22:T22" si="15">F23+F24</f>
        <v>720706.28</v>
      </c>
      <c r="G22" s="50">
        <f t="shared" si="15"/>
        <v>738788.58</v>
      </c>
      <c r="H22" s="50">
        <f t="shared" si="15"/>
        <v>807188.58</v>
      </c>
      <c r="I22" s="50">
        <f t="shared" si="15"/>
        <v>709138.28</v>
      </c>
      <c r="J22" s="50">
        <f t="shared" si="15"/>
        <v>618411.42000000004</v>
      </c>
      <c r="K22" s="50">
        <f t="shared" si="15"/>
        <v>1094406.8600000001</v>
      </c>
      <c r="L22" s="50">
        <f t="shared" si="15"/>
        <v>507908.58</v>
      </c>
      <c r="M22" s="50">
        <f t="shared" si="15"/>
        <v>366486.86</v>
      </c>
      <c r="N22" s="50">
        <f t="shared" si="15"/>
        <v>605993.14</v>
      </c>
      <c r="O22" s="50">
        <f t="shared" si="15"/>
        <v>428461.72</v>
      </c>
      <c r="P22" s="50">
        <f t="shared" si="15"/>
        <v>384102.86</v>
      </c>
      <c r="Q22" s="50">
        <f t="shared" si="15"/>
        <v>374612.58</v>
      </c>
      <c r="R22" s="50">
        <f t="shared" si="15"/>
        <v>138548.57999999999</v>
      </c>
      <c r="S22" s="50">
        <f t="shared" si="15"/>
        <v>69037.72</v>
      </c>
      <c r="T22" s="50">
        <f t="shared" si="15"/>
        <v>41616</v>
      </c>
      <c r="U22" s="18">
        <f t="shared" si="1"/>
        <v>8933184.040000001</v>
      </c>
      <c r="V22" s="16"/>
    </row>
    <row r="23" spans="1:22" ht="24.95" customHeight="1">
      <c r="A23" s="14" t="s">
        <v>70</v>
      </c>
      <c r="B23" s="24" t="s">
        <v>71</v>
      </c>
      <c r="C23" s="24" t="s">
        <v>67</v>
      </c>
      <c r="D23" s="16" t="s">
        <v>48</v>
      </c>
      <c r="E23" s="50">
        <f>ROUND(E29/0.07*0.02,2)</f>
        <v>663888</v>
      </c>
      <c r="F23" s="50">
        <f t="shared" ref="F23:T23" si="16">ROUND(F29/0.07*0.02,2)</f>
        <v>360353.14</v>
      </c>
      <c r="G23" s="50">
        <f t="shared" si="16"/>
        <v>369394.29</v>
      </c>
      <c r="H23" s="50">
        <f t="shared" si="16"/>
        <v>403594.29</v>
      </c>
      <c r="I23" s="50">
        <f t="shared" si="16"/>
        <v>354569.14</v>
      </c>
      <c r="J23" s="50">
        <f t="shared" si="16"/>
        <v>309205.71000000002</v>
      </c>
      <c r="K23" s="50">
        <f t="shared" si="16"/>
        <v>547203.43000000005</v>
      </c>
      <c r="L23" s="50">
        <f t="shared" si="16"/>
        <v>253954.29</v>
      </c>
      <c r="M23" s="50">
        <f t="shared" si="16"/>
        <v>183243.43</v>
      </c>
      <c r="N23" s="50">
        <f t="shared" si="16"/>
        <v>302996.57</v>
      </c>
      <c r="O23" s="50">
        <f t="shared" si="16"/>
        <v>214230.86</v>
      </c>
      <c r="P23" s="50">
        <f t="shared" si="16"/>
        <v>192051.43</v>
      </c>
      <c r="Q23" s="50">
        <f t="shared" si="16"/>
        <v>187306.29</v>
      </c>
      <c r="R23" s="50">
        <f t="shared" si="16"/>
        <v>69274.289999999994</v>
      </c>
      <c r="S23" s="50">
        <f t="shared" si="16"/>
        <v>34518.86</v>
      </c>
      <c r="T23" s="50">
        <f t="shared" si="16"/>
        <v>20808</v>
      </c>
      <c r="U23" s="18">
        <f t="shared" si="1"/>
        <v>4466592.0200000005</v>
      </c>
      <c r="V23" s="16"/>
    </row>
    <row r="24" spans="1:22" ht="24.95" customHeight="1">
      <c r="A24" s="14" t="s">
        <v>72</v>
      </c>
      <c r="B24" s="24" t="s">
        <v>73</v>
      </c>
      <c r="C24" s="24" t="s">
        <v>67</v>
      </c>
      <c r="D24" s="16" t="s">
        <v>48</v>
      </c>
      <c r="E24" s="50">
        <f>ROUND(E29/0.07*0.02,2)</f>
        <v>663888</v>
      </c>
      <c r="F24" s="50">
        <f t="shared" ref="F24:T24" si="17">ROUND(F29/0.07*0.02,2)</f>
        <v>360353.14</v>
      </c>
      <c r="G24" s="50">
        <f t="shared" si="17"/>
        <v>369394.29</v>
      </c>
      <c r="H24" s="50">
        <f t="shared" si="17"/>
        <v>403594.29</v>
      </c>
      <c r="I24" s="50">
        <f t="shared" si="17"/>
        <v>354569.14</v>
      </c>
      <c r="J24" s="50">
        <f t="shared" si="17"/>
        <v>309205.71000000002</v>
      </c>
      <c r="K24" s="50">
        <f t="shared" si="17"/>
        <v>547203.43000000005</v>
      </c>
      <c r="L24" s="50">
        <f t="shared" si="17"/>
        <v>253954.29</v>
      </c>
      <c r="M24" s="50">
        <f t="shared" si="17"/>
        <v>183243.43</v>
      </c>
      <c r="N24" s="50">
        <f t="shared" si="17"/>
        <v>302996.57</v>
      </c>
      <c r="O24" s="50">
        <f t="shared" si="17"/>
        <v>214230.86</v>
      </c>
      <c r="P24" s="50">
        <f t="shared" si="17"/>
        <v>192051.43</v>
      </c>
      <c r="Q24" s="50">
        <f t="shared" si="17"/>
        <v>187306.29</v>
      </c>
      <c r="R24" s="50">
        <f t="shared" si="17"/>
        <v>69274.289999999994</v>
      </c>
      <c r="S24" s="50">
        <f t="shared" si="17"/>
        <v>34518.86</v>
      </c>
      <c r="T24" s="50">
        <f t="shared" si="17"/>
        <v>20808</v>
      </c>
      <c r="U24" s="18">
        <f t="shared" si="1"/>
        <v>4466592.0200000005</v>
      </c>
      <c r="V24" s="16"/>
    </row>
    <row r="25" spans="1:22" ht="24.95" customHeight="1">
      <c r="A25" s="14" t="s">
        <v>74</v>
      </c>
      <c r="B25" s="24" t="s">
        <v>75</v>
      </c>
      <c r="C25" s="24"/>
      <c r="D25" s="45" t="s">
        <v>25</v>
      </c>
      <c r="E25" s="18">
        <f t="shared" ref="E25:T25" si="18">E26</f>
        <v>5311104</v>
      </c>
      <c r="F25" s="18">
        <f t="shared" si="18"/>
        <v>2882825.14</v>
      </c>
      <c r="G25" s="18">
        <f t="shared" si="18"/>
        <v>2955154.29</v>
      </c>
      <c r="H25" s="18">
        <f t="shared" si="18"/>
        <v>3228754.29</v>
      </c>
      <c r="I25" s="18">
        <f t="shared" si="18"/>
        <v>2836553.14</v>
      </c>
      <c r="J25" s="18">
        <f t="shared" si="18"/>
        <v>2473645.71</v>
      </c>
      <c r="K25" s="18">
        <f t="shared" si="18"/>
        <v>4377627.43</v>
      </c>
      <c r="L25" s="18">
        <f t="shared" si="18"/>
        <v>2031634.29</v>
      </c>
      <c r="M25" s="18">
        <f t="shared" si="18"/>
        <v>1465947.43</v>
      </c>
      <c r="N25" s="18">
        <f t="shared" si="18"/>
        <v>2423972.5699999998</v>
      </c>
      <c r="O25" s="18">
        <f t="shared" si="18"/>
        <v>1713846.86</v>
      </c>
      <c r="P25" s="18">
        <f t="shared" si="18"/>
        <v>1536411.43</v>
      </c>
      <c r="Q25" s="18">
        <f t="shared" si="18"/>
        <v>1498450.29</v>
      </c>
      <c r="R25" s="18">
        <f t="shared" si="18"/>
        <v>554194.29</v>
      </c>
      <c r="S25" s="18">
        <f t="shared" si="18"/>
        <v>276150.86</v>
      </c>
      <c r="T25" s="18">
        <f t="shared" si="18"/>
        <v>166464</v>
      </c>
      <c r="U25" s="18">
        <f t="shared" si="1"/>
        <v>35732736.019999996</v>
      </c>
      <c r="V25" s="26"/>
    </row>
    <row r="26" spans="1:22" s="44" customFormat="1" ht="24.95" customHeight="1">
      <c r="A26" s="14" t="s">
        <v>76</v>
      </c>
      <c r="B26" s="43" t="s">
        <v>77</v>
      </c>
      <c r="C26" s="43" t="s">
        <v>78</v>
      </c>
      <c r="D26" s="26" t="s">
        <v>48</v>
      </c>
      <c r="E26" s="18">
        <f>ROUND(E29/0.07*0.16,2)</f>
        <v>5311104</v>
      </c>
      <c r="F26" s="18">
        <f t="shared" ref="F26:T26" si="19">ROUND(F29/0.07*0.16,2)</f>
        <v>2882825.14</v>
      </c>
      <c r="G26" s="18">
        <f t="shared" si="19"/>
        <v>2955154.29</v>
      </c>
      <c r="H26" s="18">
        <f t="shared" si="19"/>
        <v>3228754.29</v>
      </c>
      <c r="I26" s="18">
        <f t="shared" si="19"/>
        <v>2836553.14</v>
      </c>
      <c r="J26" s="18">
        <f t="shared" si="19"/>
        <v>2473645.71</v>
      </c>
      <c r="K26" s="18">
        <f t="shared" si="19"/>
        <v>4377627.43</v>
      </c>
      <c r="L26" s="18">
        <f t="shared" si="19"/>
        <v>2031634.29</v>
      </c>
      <c r="M26" s="18">
        <f t="shared" si="19"/>
        <v>1465947.43</v>
      </c>
      <c r="N26" s="18">
        <f t="shared" si="19"/>
        <v>2423972.5699999998</v>
      </c>
      <c r="O26" s="18">
        <f t="shared" si="19"/>
        <v>1713846.86</v>
      </c>
      <c r="P26" s="18">
        <f t="shared" si="19"/>
        <v>1536411.43</v>
      </c>
      <c r="Q26" s="18">
        <f t="shared" si="19"/>
        <v>1498450.29</v>
      </c>
      <c r="R26" s="18">
        <f t="shared" si="19"/>
        <v>554194.29</v>
      </c>
      <c r="S26" s="18">
        <f t="shared" si="19"/>
        <v>276150.86</v>
      </c>
      <c r="T26" s="18">
        <f t="shared" si="19"/>
        <v>166464</v>
      </c>
      <c r="U26" s="18">
        <f t="shared" si="1"/>
        <v>35732736.019999996</v>
      </c>
      <c r="V26" s="26"/>
    </row>
    <row r="27" spans="1:22" ht="24.95" customHeight="1">
      <c r="A27" s="14" t="s">
        <v>79</v>
      </c>
      <c r="B27" s="24" t="s">
        <v>80</v>
      </c>
      <c r="C27" s="24"/>
      <c r="D27" s="45" t="s">
        <v>25</v>
      </c>
      <c r="E27" s="18">
        <f t="shared" ref="E27:T27" si="20">E28</f>
        <v>2655552</v>
      </c>
      <c r="F27" s="18">
        <f t="shared" si="20"/>
        <v>1441412.57</v>
      </c>
      <c r="G27" s="18">
        <f t="shared" si="20"/>
        <v>1477577.14</v>
      </c>
      <c r="H27" s="18">
        <f t="shared" si="20"/>
        <v>1614377.14</v>
      </c>
      <c r="I27" s="18">
        <f t="shared" si="20"/>
        <v>1418276.57</v>
      </c>
      <c r="J27" s="18">
        <f t="shared" si="20"/>
        <v>1236822.8600000001</v>
      </c>
      <c r="K27" s="18">
        <f t="shared" si="20"/>
        <v>2188813.71</v>
      </c>
      <c r="L27" s="18">
        <f t="shared" si="20"/>
        <v>1015817.14</v>
      </c>
      <c r="M27" s="18">
        <f t="shared" si="20"/>
        <v>732973.71</v>
      </c>
      <c r="N27" s="18">
        <f t="shared" si="20"/>
        <v>1211986.29</v>
      </c>
      <c r="O27" s="18">
        <f t="shared" si="20"/>
        <v>856923.43</v>
      </c>
      <c r="P27" s="18">
        <f t="shared" si="20"/>
        <v>768205.71</v>
      </c>
      <c r="Q27" s="18">
        <f t="shared" si="20"/>
        <v>749225.14</v>
      </c>
      <c r="R27" s="18">
        <f t="shared" si="20"/>
        <v>277097.14</v>
      </c>
      <c r="S27" s="18">
        <f t="shared" si="20"/>
        <v>138075.43</v>
      </c>
      <c r="T27" s="18">
        <f t="shared" si="20"/>
        <v>83232</v>
      </c>
      <c r="U27" s="18">
        <f t="shared" si="1"/>
        <v>17866367.98</v>
      </c>
      <c r="V27" s="26"/>
    </row>
    <row r="28" spans="1:22" s="44" customFormat="1" ht="24.95" customHeight="1">
      <c r="A28" s="14" t="s">
        <v>81</v>
      </c>
      <c r="B28" s="43" t="s">
        <v>82</v>
      </c>
      <c r="C28" s="43" t="s">
        <v>83</v>
      </c>
      <c r="D28" s="26" t="s">
        <v>48</v>
      </c>
      <c r="E28" s="18">
        <f>ROUND(E29/0.07*0.08,2)</f>
        <v>2655552</v>
      </c>
      <c r="F28" s="18">
        <f t="shared" ref="F28:T28" si="21">ROUND(F29/0.07*0.08,2)</f>
        <v>1441412.57</v>
      </c>
      <c r="G28" s="18">
        <f t="shared" si="21"/>
        <v>1477577.14</v>
      </c>
      <c r="H28" s="18">
        <f t="shared" si="21"/>
        <v>1614377.14</v>
      </c>
      <c r="I28" s="18">
        <f t="shared" si="21"/>
        <v>1418276.57</v>
      </c>
      <c r="J28" s="18">
        <f t="shared" si="21"/>
        <v>1236822.8600000001</v>
      </c>
      <c r="K28" s="18">
        <f t="shared" si="21"/>
        <v>2188813.71</v>
      </c>
      <c r="L28" s="18">
        <f t="shared" si="21"/>
        <v>1015817.14</v>
      </c>
      <c r="M28" s="18">
        <f t="shared" si="21"/>
        <v>732973.71</v>
      </c>
      <c r="N28" s="18">
        <f t="shared" si="21"/>
        <v>1211986.29</v>
      </c>
      <c r="O28" s="18">
        <f t="shared" si="21"/>
        <v>856923.43</v>
      </c>
      <c r="P28" s="18">
        <f t="shared" si="21"/>
        <v>768205.71</v>
      </c>
      <c r="Q28" s="18">
        <f t="shared" si="21"/>
        <v>749225.14</v>
      </c>
      <c r="R28" s="18">
        <f t="shared" si="21"/>
        <v>277097.14</v>
      </c>
      <c r="S28" s="18">
        <f t="shared" si="21"/>
        <v>138075.43</v>
      </c>
      <c r="T28" s="18">
        <f t="shared" si="21"/>
        <v>83232</v>
      </c>
      <c r="U28" s="18">
        <f t="shared" si="1"/>
        <v>17866367.98</v>
      </c>
      <c r="V28" s="26"/>
    </row>
    <row r="29" spans="1:22" ht="24.95" customHeight="1">
      <c r="A29" s="14" t="s">
        <v>84</v>
      </c>
      <c r="B29" s="24" t="s">
        <v>85</v>
      </c>
      <c r="C29" s="24" t="s">
        <v>86</v>
      </c>
      <c r="D29" s="45" t="s">
        <v>87</v>
      </c>
      <c r="E29" s="17">
        <v>2323608</v>
      </c>
      <c r="F29" s="17">
        <v>1261236</v>
      </c>
      <c r="G29" s="17">
        <v>1292880</v>
      </c>
      <c r="H29" s="17">
        <v>1412580</v>
      </c>
      <c r="I29" s="17">
        <v>1240992</v>
      </c>
      <c r="J29" s="17">
        <v>1082220</v>
      </c>
      <c r="K29" s="17">
        <v>1915212</v>
      </c>
      <c r="L29" s="17">
        <v>888840</v>
      </c>
      <c r="M29" s="17">
        <v>641352</v>
      </c>
      <c r="N29" s="17">
        <v>1060488</v>
      </c>
      <c r="O29" s="17">
        <v>749808</v>
      </c>
      <c r="P29" s="17">
        <v>672180</v>
      </c>
      <c r="Q29" s="17">
        <v>655572</v>
      </c>
      <c r="R29" s="17">
        <v>242460</v>
      </c>
      <c r="S29" s="17">
        <v>120816</v>
      </c>
      <c r="T29" s="17">
        <v>72828</v>
      </c>
      <c r="U29" s="18">
        <f t="shared" si="1"/>
        <v>15633072</v>
      </c>
      <c r="V29" s="16"/>
    </row>
    <row r="30" spans="1:22" ht="24.95" customHeight="1">
      <c r="A30" s="14" t="s">
        <v>88</v>
      </c>
      <c r="B30" s="24" t="s">
        <v>89</v>
      </c>
      <c r="C30" s="15" t="s">
        <v>31</v>
      </c>
      <c r="D30" s="26" t="s">
        <v>90</v>
      </c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  <c r="T30" s="17"/>
      <c r="U30" s="18">
        <f t="shared" si="1"/>
        <v>0</v>
      </c>
      <c r="V30" s="16"/>
    </row>
    <row r="31" spans="1:22" ht="24.95" customHeight="1">
      <c r="A31" s="14" t="s">
        <v>91</v>
      </c>
      <c r="B31" s="24" t="s">
        <v>92</v>
      </c>
      <c r="C31" s="24"/>
      <c r="D31" s="45" t="s">
        <v>25</v>
      </c>
      <c r="E31" s="18">
        <f>E32+E34+E36</f>
        <v>3051600</v>
      </c>
      <c r="F31" s="18">
        <f t="shared" ref="F31:T31" si="22">F32+F34+F36</f>
        <v>802440</v>
      </c>
      <c r="G31" s="18">
        <f t="shared" si="22"/>
        <v>873960</v>
      </c>
      <c r="H31" s="18">
        <f t="shared" si="22"/>
        <v>6120</v>
      </c>
      <c r="I31" s="18">
        <f t="shared" si="22"/>
        <v>1077540</v>
      </c>
      <c r="J31" s="18">
        <f t="shared" si="22"/>
        <v>624000</v>
      </c>
      <c r="K31" s="18">
        <f t="shared" si="22"/>
        <v>483240</v>
      </c>
      <c r="L31" s="18">
        <f t="shared" si="22"/>
        <v>463440</v>
      </c>
      <c r="M31" s="18">
        <f t="shared" si="22"/>
        <v>202860</v>
      </c>
      <c r="N31" s="18">
        <f t="shared" si="22"/>
        <v>153540</v>
      </c>
      <c r="O31" s="18">
        <f t="shared" si="22"/>
        <v>96120</v>
      </c>
      <c r="P31" s="18">
        <f t="shared" si="22"/>
        <v>4680</v>
      </c>
      <c r="Q31" s="18">
        <f t="shared" si="22"/>
        <v>3240</v>
      </c>
      <c r="R31" s="18">
        <f t="shared" si="22"/>
        <v>1080</v>
      </c>
      <c r="S31" s="18">
        <f t="shared" si="22"/>
        <v>720</v>
      </c>
      <c r="T31" s="18">
        <f t="shared" si="22"/>
        <v>85200</v>
      </c>
      <c r="U31" s="18">
        <f t="shared" si="1"/>
        <v>7929780</v>
      </c>
      <c r="V31" s="26"/>
    </row>
    <row r="32" spans="1:22" ht="24.95" customHeight="1">
      <c r="A32" s="14" t="s">
        <v>93</v>
      </c>
      <c r="B32" s="24" t="s">
        <v>94</v>
      </c>
      <c r="C32" s="24" t="s">
        <v>95</v>
      </c>
      <c r="D32" s="16" t="s">
        <v>96</v>
      </c>
      <c r="E32" s="50">
        <f>E33</f>
        <v>3045120</v>
      </c>
      <c r="F32" s="50">
        <f t="shared" ref="F32:T32" si="23">F33</f>
        <v>797760</v>
      </c>
      <c r="G32" s="50">
        <f t="shared" si="23"/>
        <v>868920</v>
      </c>
      <c r="H32" s="50">
        <f t="shared" si="23"/>
        <v>0</v>
      </c>
      <c r="I32" s="50">
        <f t="shared" si="23"/>
        <v>1074660</v>
      </c>
      <c r="J32" s="50">
        <f t="shared" si="23"/>
        <v>622200</v>
      </c>
      <c r="K32" s="50">
        <f t="shared" si="23"/>
        <v>479280</v>
      </c>
      <c r="L32" s="50">
        <f t="shared" si="23"/>
        <v>457680</v>
      </c>
      <c r="M32" s="50">
        <f t="shared" si="23"/>
        <v>198900</v>
      </c>
      <c r="N32" s="50">
        <f t="shared" si="23"/>
        <v>149220</v>
      </c>
      <c r="O32" s="50">
        <f t="shared" si="23"/>
        <v>93600</v>
      </c>
      <c r="P32" s="50">
        <f t="shared" si="23"/>
        <v>0</v>
      </c>
      <c r="Q32" s="50">
        <f t="shared" si="23"/>
        <v>0</v>
      </c>
      <c r="R32" s="50">
        <f t="shared" si="23"/>
        <v>0</v>
      </c>
      <c r="S32" s="50">
        <f t="shared" si="23"/>
        <v>0</v>
      </c>
      <c r="T32" s="50">
        <f t="shared" si="23"/>
        <v>85200</v>
      </c>
      <c r="U32" s="18">
        <f t="shared" si="1"/>
        <v>7872540</v>
      </c>
      <c r="V32" s="16"/>
    </row>
    <row r="33" spans="1:22" ht="24.95" customHeight="1">
      <c r="A33" s="14" t="s">
        <v>97</v>
      </c>
      <c r="B33" s="24" t="s">
        <v>98</v>
      </c>
      <c r="C33" s="24" t="s">
        <v>95</v>
      </c>
      <c r="D33" s="16" t="s">
        <v>96</v>
      </c>
      <c r="E33" s="25">
        <v>3045120</v>
      </c>
      <c r="F33" s="25">
        <v>797760</v>
      </c>
      <c r="G33" s="25">
        <v>868920</v>
      </c>
      <c r="H33" s="25"/>
      <c r="I33" s="25">
        <v>1074660</v>
      </c>
      <c r="J33" s="25">
        <v>622200</v>
      </c>
      <c r="K33" s="25">
        <v>479280</v>
      </c>
      <c r="L33" s="25">
        <v>457680</v>
      </c>
      <c r="M33" s="25">
        <v>198900</v>
      </c>
      <c r="N33" s="25">
        <v>149220</v>
      </c>
      <c r="O33" s="25">
        <v>93600</v>
      </c>
      <c r="P33" s="25"/>
      <c r="Q33" s="25"/>
      <c r="R33" s="25"/>
      <c r="S33" s="25"/>
      <c r="T33" s="25">
        <v>85200</v>
      </c>
      <c r="U33" s="18">
        <f t="shared" si="1"/>
        <v>7872540</v>
      </c>
      <c r="V33" s="26"/>
    </row>
    <row r="34" spans="1:22" ht="24.95" customHeight="1">
      <c r="A34" s="14" t="s">
        <v>99</v>
      </c>
      <c r="B34" s="24" t="s">
        <v>100</v>
      </c>
      <c r="C34" s="24"/>
      <c r="D34" s="45" t="s">
        <v>25</v>
      </c>
      <c r="E34" s="18">
        <f>E35</f>
        <v>6480</v>
      </c>
      <c r="F34" s="18">
        <f t="shared" ref="F34:T34" si="24">F35</f>
        <v>4680</v>
      </c>
      <c r="G34" s="18">
        <f t="shared" si="24"/>
        <v>5040</v>
      </c>
      <c r="H34" s="18">
        <f t="shared" si="24"/>
        <v>6120</v>
      </c>
      <c r="I34" s="18">
        <f t="shared" si="24"/>
        <v>2880</v>
      </c>
      <c r="J34" s="18">
        <f t="shared" si="24"/>
        <v>1800</v>
      </c>
      <c r="K34" s="18">
        <f t="shared" si="24"/>
        <v>3960</v>
      </c>
      <c r="L34" s="18">
        <f t="shared" si="24"/>
        <v>5760</v>
      </c>
      <c r="M34" s="18">
        <f t="shared" si="24"/>
        <v>3960</v>
      </c>
      <c r="N34" s="18">
        <f t="shared" si="24"/>
        <v>4320</v>
      </c>
      <c r="O34" s="18">
        <f t="shared" si="24"/>
        <v>2520</v>
      </c>
      <c r="P34" s="18">
        <f t="shared" si="24"/>
        <v>4680</v>
      </c>
      <c r="Q34" s="18">
        <f t="shared" si="24"/>
        <v>3240</v>
      </c>
      <c r="R34" s="18">
        <f t="shared" si="24"/>
        <v>1080</v>
      </c>
      <c r="S34" s="18">
        <f t="shared" si="24"/>
        <v>720</v>
      </c>
      <c r="T34" s="18">
        <f t="shared" si="24"/>
        <v>0</v>
      </c>
      <c r="U34" s="18">
        <f t="shared" si="1"/>
        <v>57240</v>
      </c>
      <c r="V34" s="26"/>
    </row>
    <row r="35" spans="1:22" ht="24.95" customHeight="1">
      <c r="A35" s="14" t="s">
        <v>101</v>
      </c>
      <c r="B35" s="24" t="s">
        <v>102</v>
      </c>
      <c r="C35" s="24" t="s">
        <v>31</v>
      </c>
      <c r="D35" s="45" t="s">
        <v>32</v>
      </c>
      <c r="E35" s="25">
        <v>6480</v>
      </c>
      <c r="F35" s="25">
        <v>4680</v>
      </c>
      <c r="G35" s="25">
        <v>5040</v>
      </c>
      <c r="H35" s="25">
        <v>6120</v>
      </c>
      <c r="I35" s="25">
        <v>2880</v>
      </c>
      <c r="J35" s="25">
        <v>1800</v>
      </c>
      <c r="K35" s="25">
        <v>3960</v>
      </c>
      <c r="L35" s="25">
        <v>5760</v>
      </c>
      <c r="M35" s="25">
        <v>3960</v>
      </c>
      <c r="N35" s="25">
        <v>4320</v>
      </c>
      <c r="O35" s="25">
        <v>2520</v>
      </c>
      <c r="P35" s="25">
        <v>4680</v>
      </c>
      <c r="Q35" s="25">
        <v>3240</v>
      </c>
      <c r="R35" s="25">
        <v>1080</v>
      </c>
      <c r="S35" s="25">
        <v>720</v>
      </c>
      <c r="T35" s="25"/>
      <c r="U35" s="18">
        <f t="shared" si="1"/>
        <v>57240</v>
      </c>
      <c r="V35" s="26"/>
    </row>
    <row r="36" spans="1:22" ht="24.95" customHeight="1">
      <c r="A36" s="14" t="s">
        <v>103</v>
      </c>
      <c r="B36" s="24" t="s">
        <v>104</v>
      </c>
      <c r="C36" s="24"/>
      <c r="D36" s="45" t="s">
        <v>25</v>
      </c>
      <c r="E36" s="18">
        <f>E37</f>
        <v>0</v>
      </c>
      <c r="F36" s="18">
        <f t="shared" ref="F36:T36" si="25">F37</f>
        <v>0</v>
      </c>
      <c r="G36" s="18">
        <f t="shared" si="25"/>
        <v>0</v>
      </c>
      <c r="H36" s="18">
        <f t="shared" si="25"/>
        <v>0</v>
      </c>
      <c r="I36" s="18">
        <f t="shared" si="25"/>
        <v>0</v>
      </c>
      <c r="J36" s="18">
        <f t="shared" si="25"/>
        <v>0</v>
      </c>
      <c r="K36" s="18">
        <f t="shared" si="25"/>
        <v>0</v>
      </c>
      <c r="L36" s="18">
        <f t="shared" si="25"/>
        <v>0</v>
      </c>
      <c r="M36" s="18">
        <f t="shared" si="25"/>
        <v>0</v>
      </c>
      <c r="N36" s="18">
        <f t="shared" si="25"/>
        <v>0</v>
      </c>
      <c r="O36" s="18">
        <f t="shared" si="25"/>
        <v>0</v>
      </c>
      <c r="P36" s="18">
        <f t="shared" si="25"/>
        <v>0</v>
      </c>
      <c r="Q36" s="18">
        <f t="shared" si="25"/>
        <v>0</v>
      </c>
      <c r="R36" s="18">
        <f t="shared" si="25"/>
        <v>0</v>
      </c>
      <c r="S36" s="18">
        <f t="shared" si="25"/>
        <v>0</v>
      </c>
      <c r="T36" s="18">
        <f t="shared" si="25"/>
        <v>0</v>
      </c>
      <c r="U36" s="18">
        <f t="shared" si="1"/>
        <v>0</v>
      </c>
      <c r="V36" s="26"/>
    </row>
    <row r="37" spans="1:22" ht="24.95" customHeight="1">
      <c r="A37" s="14" t="s">
        <v>105</v>
      </c>
      <c r="B37" s="24" t="s">
        <v>106</v>
      </c>
      <c r="C37" s="24" t="s">
        <v>31</v>
      </c>
      <c r="D37" s="16" t="s">
        <v>107</v>
      </c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17"/>
      <c r="P37" s="17"/>
      <c r="Q37" s="17"/>
      <c r="R37" s="17"/>
      <c r="S37" s="17"/>
      <c r="T37" s="17"/>
      <c r="U37" s="18">
        <f t="shared" si="1"/>
        <v>0</v>
      </c>
      <c r="V37" s="16"/>
    </row>
    <row r="38" spans="1:22" ht="24.95" customHeight="1">
      <c r="A38" s="14" t="s">
        <v>108</v>
      </c>
      <c r="B38" s="24" t="s">
        <v>109</v>
      </c>
      <c r="C38" s="24"/>
      <c r="D38" s="45" t="s">
        <v>25</v>
      </c>
      <c r="E38" s="18">
        <f>E39+E41+E43+E45+E47+E50+E52+E54+E58</f>
        <v>8499830.5999999996</v>
      </c>
      <c r="F38" s="18">
        <f t="shared" ref="F38:T38" si="26">F39+F41+F43+F45+F47+F50+F52+F54+F58</f>
        <v>4674315.34</v>
      </c>
      <c r="G38" s="18">
        <f t="shared" si="26"/>
        <v>4400666.8899999997</v>
      </c>
      <c r="H38" s="18">
        <f t="shared" si="26"/>
        <v>5557977.4899999993</v>
      </c>
      <c r="I38" s="18">
        <f t="shared" si="26"/>
        <v>3911218.3400000003</v>
      </c>
      <c r="J38" s="18">
        <f t="shared" si="26"/>
        <v>3133466.96</v>
      </c>
      <c r="K38" s="18">
        <f t="shared" si="26"/>
        <v>7175689.2299999995</v>
      </c>
      <c r="L38" s="18">
        <f t="shared" si="26"/>
        <v>3011245.79</v>
      </c>
      <c r="M38" s="18">
        <f t="shared" si="26"/>
        <v>1997764.78</v>
      </c>
      <c r="N38" s="18">
        <f t="shared" si="26"/>
        <v>3980170.5199999996</v>
      </c>
      <c r="O38" s="18">
        <f t="shared" si="26"/>
        <v>2235660.7599999998</v>
      </c>
      <c r="P38" s="18">
        <f t="shared" si="26"/>
        <v>2395022.1800000002</v>
      </c>
      <c r="Q38" s="18">
        <f t="shared" si="26"/>
        <v>2046257.9400000002</v>
      </c>
      <c r="R38" s="18">
        <f t="shared" si="26"/>
        <v>1138771.29</v>
      </c>
      <c r="S38" s="18">
        <f t="shared" si="26"/>
        <v>1086040.8600000001</v>
      </c>
      <c r="T38" s="18">
        <f t="shared" si="26"/>
        <v>180168</v>
      </c>
      <c r="U38" s="18">
        <f t="shared" si="1"/>
        <v>55424266.969999991</v>
      </c>
      <c r="V38" s="26"/>
    </row>
    <row r="39" spans="1:22" ht="24.95" customHeight="1">
      <c r="A39" s="14" t="s">
        <v>110</v>
      </c>
      <c r="B39" s="24" t="s">
        <v>111</v>
      </c>
      <c r="C39" s="24"/>
      <c r="D39" s="45" t="s">
        <v>112</v>
      </c>
      <c r="E39" s="25">
        <v>5970840</v>
      </c>
      <c r="F39" s="25">
        <v>3549650</v>
      </c>
      <c r="G39" s="25">
        <v>3032250</v>
      </c>
      <c r="H39" s="25">
        <v>4412050</v>
      </c>
      <c r="I39" s="25">
        <v>2641830</v>
      </c>
      <c r="J39" s="25">
        <v>2208480</v>
      </c>
      <c r="K39" s="25">
        <v>5496260</v>
      </c>
      <c r="L39" s="25">
        <v>2159280</v>
      </c>
      <c r="M39" s="25">
        <v>1437140</v>
      </c>
      <c r="N39" s="25">
        <v>3003000</v>
      </c>
      <c r="O39" s="25">
        <v>1580140</v>
      </c>
      <c r="P39" s="25">
        <v>1737420</v>
      </c>
      <c r="Q39" s="25">
        <v>1472840</v>
      </c>
      <c r="R39" s="25">
        <v>858000</v>
      </c>
      <c r="S39" s="25">
        <v>858000</v>
      </c>
      <c r="T39" s="25">
        <v>89600</v>
      </c>
      <c r="U39" s="18">
        <f t="shared" si="1"/>
        <v>40506780</v>
      </c>
      <c r="V39" s="26"/>
    </row>
    <row r="40" spans="1:22" ht="24.95" customHeight="1">
      <c r="A40" s="14" t="s">
        <v>113</v>
      </c>
      <c r="B40" s="24" t="s">
        <v>114</v>
      </c>
      <c r="C40" s="24" t="s">
        <v>115</v>
      </c>
      <c r="D40" s="27" t="s">
        <v>116</v>
      </c>
      <c r="E40" s="25">
        <v>233860.5</v>
      </c>
      <c r="F40" s="25">
        <v>177482.5</v>
      </c>
      <c r="G40" s="25">
        <v>151612.5</v>
      </c>
      <c r="H40" s="25">
        <v>220602.5</v>
      </c>
      <c r="I40" s="25">
        <v>132091.5</v>
      </c>
      <c r="J40" s="25">
        <v>110424</v>
      </c>
      <c r="K40" s="25">
        <v>274813</v>
      </c>
      <c r="L40" s="25">
        <v>79650</v>
      </c>
      <c r="M40" s="25">
        <v>62705</v>
      </c>
      <c r="N40" s="25">
        <v>132561</v>
      </c>
      <c r="O40" s="25">
        <v>63992</v>
      </c>
      <c r="P40" s="25">
        <v>75145</v>
      </c>
      <c r="Q40" s="25">
        <v>59056</v>
      </c>
      <c r="R40" s="25">
        <v>29315</v>
      </c>
      <c r="S40" s="25">
        <v>13442</v>
      </c>
      <c r="T40" s="25">
        <v>4480</v>
      </c>
      <c r="U40" s="18">
        <f t="shared" si="1"/>
        <v>1821232.5</v>
      </c>
      <c r="V40" s="26"/>
    </row>
    <row r="41" spans="1:22" ht="24.95" customHeight="1">
      <c r="A41" s="14" t="s">
        <v>117</v>
      </c>
      <c r="B41" s="24" t="s">
        <v>118</v>
      </c>
      <c r="C41" s="24"/>
      <c r="D41" s="45"/>
      <c r="E41" s="18">
        <f>E42</f>
        <v>52400</v>
      </c>
      <c r="F41" s="18">
        <f t="shared" ref="F41:T41" si="27">F42</f>
        <v>27200</v>
      </c>
      <c r="G41" s="18">
        <f t="shared" si="27"/>
        <v>28000</v>
      </c>
      <c r="H41" s="18">
        <f t="shared" si="27"/>
        <v>32000</v>
      </c>
      <c r="I41" s="18">
        <f t="shared" si="27"/>
        <v>30800</v>
      </c>
      <c r="J41" s="18">
        <f t="shared" si="27"/>
        <v>24800</v>
      </c>
      <c r="K41" s="18">
        <f t="shared" si="27"/>
        <v>46800</v>
      </c>
      <c r="L41" s="18">
        <f t="shared" si="27"/>
        <v>22400</v>
      </c>
      <c r="M41" s="18">
        <f t="shared" si="27"/>
        <v>16800</v>
      </c>
      <c r="N41" s="18">
        <f t="shared" si="27"/>
        <v>27200</v>
      </c>
      <c r="O41" s="18">
        <f t="shared" si="27"/>
        <v>19200</v>
      </c>
      <c r="P41" s="18">
        <f t="shared" si="27"/>
        <v>18400</v>
      </c>
      <c r="Q41" s="18">
        <f t="shared" si="27"/>
        <v>15600</v>
      </c>
      <c r="R41" s="18">
        <f t="shared" si="27"/>
        <v>6400</v>
      </c>
      <c r="S41" s="18">
        <f t="shared" si="27"/>
        <v>3200</v>
      </c>
      <c r="T41" s="18">
        <f t="shared" si="27"/>
        <v>1600</v>
      </c>
      <c r="U41" s="18">
        <f t="shared" si="1"/>
        <v>372800</v>
      </c>
      <c r="V41" s="26"/>
    </row>
    <row r="42" spans="1:22" s="44" customFormat="1" ht="24.95" customHeight="1">
      <c r="A42" s="14" t="s">
        <v>119</v>
      </c>
      <c r="B42" s="43" t="s">
        <v>120</v>
      </c>
      <c r="C42" s="43" t="s">
        <v>31</v>
      </c>
      <c r="D42" s="51" t="s">
        <v>121</v>
      </c>
      <c r="E42" s="18">
        <f>E61*400</f>
        <v>52400</v>
      </c>
      <c r="F42" s="18">
        <f t="shared" ref="F42:T42" si="28">F61*400</f>
        <v>27200</v>
      </c>
      <c r="G42" s="18">
        <f t="shared" si="28"/>
        <v>28000</v>
      </c>
      <c r="H42" s="18">
        <f t="shared" si="28"/>
        <v>32000</v>
      </c>
      <c r="I42" s="18">
        <f t="shared" si="28"/>
        <v>30800</v>
      </c>
      <c r="J42" s="18">
        <f t="shared" si="28"/>
        <v>24800</v>
      </c>
      <c r="K42" s="18">
        <f t="shared" si="28"/>
        <v>46800</v>
      </c>
      <c r="L42" s="18">
        <f t="shared" si="28"/>
        <v>22400</v>
      </c>
      <c r="M42" s="18">
        <f t="shared" si="28"/>
        <v>16800</v>
      </c>
      <c r="N42" s="18">
        <f t="shared" si="28"/>
        <v>27200</v>
      </c>
      <c r="O42" s="18">
        <f t="shared" si="28"/>
        <v>19200</v>
      </c>
      <c r="P42" s="18">
        <f t="shared" si="28"/>
        <v>18400</v>
      </c>
      <c r="Q42" s="18">
        <f t="shared" si="28"/>
        <v>15600</v>
      </c>
      <c r="R42" s="18">
        <f t="shared" si="28"/>
        <v>6400</v>
      </c>
      <c r="S42" s="18">
        <f t="shared" si="28"/>
        <v>3200</v>
      </c>
      <c r="T42" s="18">
        <f t="shared" si="28"/>
        <v>1600</v>
      </c>
      <c r="U42" s="18">
        <f t="shared" si="1"/>
        <v>372800</v>
      </c>
      <c r="V42" s="26"/>
    </row>
    <row r="43" spans="1:22" ht="24.95" customHeight="1">
      <c r="A43" s="14" t="s">
        <v>122</v>
      </c>
      <c r="B43" s="24" t="s">
        <v>123</v>
      </c>
      <c r="C43" s="24"/>
      <c r="D43" s="45" t="s">
        <v>25</v>
      </c>
      <c r="E43" s="18">
        <f>E44</f>
        <v>310278.60000000003</v>
      </c>
      <c r="F43" s="18">
        <f t="shared" ref="F43:T43" si="29">F44</f>
        <v>184792.19999999998</v>
      </c>
      <c r="G43" s="18">
        <f t="shared" si="29"/>
        <v>344655</v>
      </c>
      <c r="H43" s="18">
        <f t="shared" si="29"/>
        <v>259299.59999999998</v>
      </c>
      <c r="I43" s="18">
        <f t="shared" si="29"/>
        <v>164731.20000000001</v>
      </c>
      <c r="J43" s="18">
        <f t="shared" si="29"/>
        <v>98189.25</v>
      </c>
      <c r="K43" s="18">
        <f t="shared" si="29"/>
        <v>310345.80000000005</v>
      </c>
      <c r="L43" s="18">
        <f t="shared" si="29"/>
        <v>141067.5</v>
      </c>
      <c r="M43" s="18">
        <f t="shared" si="29"/>
        <v>69733.350000000006</v>
      </c>
      <c r="N43" s="18">
        <f t="shared" si="29"/>
        <v>227811.15</v>
      </c>
      <c r="O43" s="18">
        <f t="shared" si="29"/>
        <v>128985.9</v>
      </c>
      <c r="P43" s="18">
        <f t="shared" si="29"/>
        <v>177441.15</v>
      </c>
      <c r="Q43" s="18">
        <f t="shared" si="29"/>
        <v>119210.85</v>
      </c>
      <c r="R43" s="18">
        <f t="shared" si="29"/>
        <v>85861.8</v>
      </c>
      <c r="S43" s="18">
        <f t="shared" si="29"/>
        <v>114450</v>
      </c>
      <c r="T43" s="18">
        <f t="shared" si="29"/>
        <v>0</v>
      </c>
      <c r="U43" s="18">
        <f t="shared" si="1"/>
        <v>2736853.3499999996</v>
      </c>
      <c r="V43" s="26"/>
    </row>
    <row r="44" spans="1:22" s="44" customFormat="1" ht="24.95" customHeight="1">
      <c r="A44" s="14" t="s">
        <v>124</v>
      </c>
      <c r="B44" s="43" t="s">
        <v>125</v>
      </c>
      <c r="C44" s="43" t="s">
        <v>31</v>
      </c>
      <c r="D44" s="51" t="s">
        <v>126</v>
      </c>
      <c r="E44" s="18">
        <f>E72*15</f>
        <v>310278.60000000003</v>
      </c>
      <c r="F44" s="18">
        <f t="shared" ref="F44:T44" si="30">F72*15</f>
        <v>184792.19999999998</v>
      </c>
      <c r="G44" s="18">
        <f t="shared" si="30"/>
        <v>344655</v>
      </c>
      <c r="H44" s="18">
        <f t="shared" si="30"/>
        <v>259299.59999999998</v>
      </c>
      <c r="I44" s="18">
        <f t="shared" si="30"/>
        <v>164731.20000000001</v>
      </c>
      <c r="J44" s="18">
        <f t="shared" si="30"/>
        <v>98189.25</v>
      </c>
      <c r="K44" s="18">
        <f t="shared" si="30"/>
        <v>310345.80000000005</v>
      </c>
      <c r="L44" s="18">
        <f t="shared" si="30"/>
        <v>141067.5</v>
      </c>
      <c r="M44" s="18">
        <f t="shared" si="30"/>
        <v>69733.350000000006</v>
      </c>
      <c r="N44" s="18">
        <f t="shared" si="30"/>
        <v>227811.15</v>
      </c>
      <c r="O44" s="18">
        <f t="shared" si="30"/>
        <v>128985.9</v>
      </c>
      <c r="P44" s="18">
        <f t="shared" si="30"/>
        <v>177441.15</v>
      </c>
      <c r="Q44" s="18">
        <f t="shared" si="30"/>
        <v>119210.85</v>
      </c>
      <c r="R44" s="18">
        <f t="shared" si="30"/>
        <v>85861.8</v>
      </c>
      <c r="S44" s="18">
        <f t="shared" si="30"/>
        <v>114450</v>
      </c>
      <c r="T44" s="18">
        <f t="shared" si="30"/>
        <v>0</v>
      </c>
      <c r="U44" s="18">
        <f t="shared" si="1"/>
        <v>2736853.3499999996</v>
      </c>
      <c r="V44" s="26"/>
    </row>
    <row r="45" spans="1:22" ht="24.95" customHeight="1">
      <c r="A45" s="14" t="s">
        <v>127</v>
      </c>
      <c r="B45" s="24" t="s">
        <v>128</v>
      </c>
      <c r="C45" s="24"/>
      <c r="D45" s="45" t="s">
        <v>25</v>
      </c>
      <c r="E45" s="18">
        <f>E46</f>
        <v>105904</v>
      </c>
      <c r="F45" s="18">
        <f t="shared" ref="F45:T45" si="31">F46</f>
        <v>28240</v>
      </c>
      <c r="G45" s="18">
        <f t="shared" si="31"/>
        <v>76487.600000000006</v>
      </c>
      <c r="H45" s="18">
        <f t="shared" si="31"/>
        <v>70433.600000000006</v>
      </c>
      <c r="I45" s="18">
        <f t="shared" si="31"/>
        <v>76688</v>
      </c>
      <c r="J45" s="18">
        <f t="shared" si="31"/>
        <v>31192</v>
      </c>
      <c r="K45" s="18">
        <f t="shared" si="31"/>
        <v>97640</v>
      </c>
      <c r="L45" s="18">
        <f t="shared" si="31"/>
        <v>33144</v>
      </c>
      <c r="M45" s="18">
        <f t="shared" si="31"/>
        <v>19888</v>
      </c>
      <c r="N45" s="18">
        <f t="shared" si="31"/>
        <v>42522.8</v>
      </c>
      <c r="O45" s="18">
        <f t="shared" si="31"/>
        <v>28344</v>
      </c>
      <c r="P45" s="18">
        <f t="shared" si="31"/>
        <v>34789.599999999999</v>
      </c>
      <c r="Q45" s="18">
        <f t="shared" si="31"/>
        <v>45420.800000000003</v>
      </c>
      <c r="R45" s="18">
        <f t="shared" si="31"/>
        <v>15715.2</v>
      </c>
      <c r="S45" s="18">
        <f t="shared" si="31"/>
        <v>8712</v>
      </c>
      <c r="T45" s="18">
        <f t="shared" si="31"/>
        <v>0</v>
      </c>
      <c r="U45" s="18">
        <f t="shared" si="1"/>
        <v>715121.6</v>
      </c>
      <c r="V45" s="26"/>
    </row>
    <row r="46" spans="1:22" s="44" customFormat="1" ht="24.95" customHeight="1">
      <c r="A46" s="14" t="s">
        <v>129</v>
      </c>
      <c r="B46" s="43" t="s">
        <v>130</v>
      </c>
      <c r="C46" s="43" t="s">
        <v>31</v>
      </c>
      <c r="D46" s="51" t="s">
        <v>131</v>
      </c>
      <c r="E46" s="18">
        <f>E73*8</f>
        <v>105904</v>
      </c>
      <c r="F46" s="18">
        <f t="shared" ref="F46:T46" si="32">F73*8</f>
        <v>28240</v>
      </c>
      <c r="G46" s="18">
        <f t="shared" si="32"/>
        <v>76487.600000000006</v>
      </c>
      <c r="H46" s="18">
        <f t="shared" si="32"/>
        <v>70433.600000000006</v>
      </c>
      <c r="I46" s="18">
        <f t="shared" si="32"/>
        <v>76688</v>
      </c>
      <c r="J46" s="18">
        <f t="shared" si="32"/>
        <v>31192</v>
      </c>
      <c r="K46" s="18">
        <f t="shared" si="32"/>
        <v>97640</v>
      </c>
      <c r="L46" s="18">
        <f t="shared" si="32"/>
        <v>33144</v>
      </c>
      <c r="M46" s="18">
        <f t="shared" si="32"/>
        <v>19888</v>
      </c>
      <c r="N46" s="18">
        <f t="shared" si="32"/>
        <v>42522.8</v>
      </c>
      <c r="O46" s="18">
        <f t="shared" si="32"/>
        <v>28344</v>
      </c>
      <c r="P46" s="18">
        <f t="shared" si="32"/>
        <v>34789.599999999999</v>
      </c>
      <c r="Q46" s="18">
        <f t="shared" si="32"/>
        <v>45420.800000000003</v>
      </c>
      <c r="R46" s="18">
        <f t="shared" si="32"/>
        <v>15715.2</v>
      </c>
      <c r="S46" s="18">
        <f t="shared" si="32"/>
        <v>8712</v>
      </c>
      <c r="T46" s="18">
        <f t="shared" si="32"/>
        <v>0</v>
      </c>
      <c r="U46" s="18">
        <f t="shared" si="1"/>
        <v>715121.6</v>
      </c>
      <c r="V46" s="26"/>
    </row>
    <row r="47" spans="1:22" ht="24.95" customHeight="1">
      <c r="A47" s="14" t="s">
        <v>132</v>
      </c>
      <c r="B47" s="24" t="s">
        <v>133</v>
      </c>
      <c r="C47" s="24"/>
      <c r="D47" s="45" t="s">
        <v>25</v>
      </c>
      <c r="E47" s="18">
        <f>E48+E49</f>
        <v>1235520</v>
      </c>
      <c r="F47" s="18">
        <f t="shared" ref="F47:T47" si="33">F48+F49</f>
        <v>470880</v>
      </c>
      <c r="G47" s="18">
        <f t="shared" si="33"/>
        <v>492480</v>
      </c>
      <c r="H47" s="18">
        <f t="shared" si="33"/>
        <v>345600</v>
      </c>
      <c r="I47" s="18">
        <f t="shared" si="33"/>
        <v>583200</v>
      </c>
      <c r="J47" s="18">
        <f t="shared" si="33"/>
        <v>410400</v>
      </c>
      <c r="K47" s="18">
        <f t="shared" si="33"/>
        <v>613440</v>
      </c>
      <c r="L47" s="18">
        <f t="shared" si="33"/>
        <v>345600</v>
      </c>
      <c r="M47" s="18">
        <f t="shared" si="33"/>
        <v>228960</v>
      </c>
      <c r="N47" s="18">
        <f t="shared" si="33"/>
        <v>332640</v>
      </c>
      <c r="O47" s="18">
        <f t="shared" si="33"/>
        <v>228960</v>
      </c>
      <c r="P47" s="18">
        <f t="shared" si="33"/>
        <v>198720</v>
      </c>
      <c r="Q47" s="18">
        <f t="shared" si="33"/>
        <v>168480</v>
      </c>
      <c r="R47" s="18">
        <f t="shared" si="33"/>
        <v>69120</v>
      </c>
      <c r="S47" s="18">
        <f t="shared" si="33"/>
        <v>34560</v>
      </c>
      <c r="T47" s="18">
        <f t="shared" si="33"/>
        <v>34560</v>
      </c>
      <c r="U47" s="18">
        <f t="shared" si="1"/>
        <v>5793120</v>
      </c>
      <c r="V47" s="26"/>
    </row>
    <row r="48" spans="1:22" s="44" customFormat="1" ht="24.95" customHeight="1">
      <c r="A48" s="14" t="s">
        <v>134</v>
      </c>
      <c r="B48" s="43" t="s">
        <v>135</v>
      </c>
      <c r="C48" s="43" t="s">
        <v>31</v>
      </c>
      <c r="D48" s="51" t="s">
        <v>136</v>
      </c>
      <c r="E48" s="18">
        <f>E61*4320</f>
        <v>565920</v>
      </c>
      <c r="F48" s="18">
        <f t="shared" ref="F48:T48" si="34">F61*4320</f>
        <v>293760</v>
      </c>
      <c r="G48" s="18">
        <f t="shared" si="34"/>
        <v>302400</v>
      </c>
      <c r="H48" s="18">
        <f t="shared" si="34"/>
        <v>345600</v>
      </c>
      <c r="I48" s="18">
        <f t="shared" si="34"/>
        <v>332640</v>
      </c>
      <c r="J48" s="18">
        <f t="shared" si="34"/>
        <v>267840</v>
      </c>
      <c r="K48" s="18">
        <f t="shared" si="34"/>
        <v>505440</v>
      </c>
      <c r="L48" s="18">
        <f t="shared" si="34"/>
        <v>241920</v>
      </c>
      <c r="M48" s="18">
        <f t="shared" si="34"/>
        <v>181440</v>
      </c>
      <c r="N48" s="18">
        <f t="shared" si="34"/>
        <v>293760</v>
      </c>
      <c r="O48" s="18">
        <f t="shared" si="34"/>
        <v>207360</v>
      </c>
      <c r="P48" s="18">
        <f t="shared" si="34"/>
        <v>198720</v>
      </c>
      <c r="Q48" s="18">
        <f t="shared" si="34"/>
        <v>168480</v>
      </c>
      <c r="R48" s="18">
        <f t="shared" si="34"/>
        <v>69120</v>
      </c>
      <c r="S48" s="18">
        <f t="shared" si="34"/>
        <v>34560</v>
      </c>
      <c r="T48" s="18">
        <f t="shared" si="34"/>
        <v>17280</v>
      </c>
      <c r="U48" s="18">
        <f t="shared" si="1"/>
        <v>4026240</v>
      </c>
      <c r="V48" s="26"/>
    </row>
    <row r="49" spans="1:22" s="44" customFormat="1" ht="24.95" customHeight="1">
      <c r="A49" s="14" t="s">
        <v>137</v>
      </c>
      <c r="B49" s="43" t="s">
        <v>138</v>
      </c>
      <c r="C49" s="43" t="s">
        <v>31</v>
      </c>
      <c r="D49" s="51" t="s">
        <v>139</v>
      </c>
      <c r="E49" s="18">
        <f>E71*4320</f>
        <v>669600</v>
      </c>
      <c r="F49" s="18">
        <f t="shared" ref="F49:T49" si="35">F71*4320</f>
        <v>177120</v>
      </c>
      <c r="G49" s="18">
        <f t="shared" si="35"/>
        <v>190080</v>
      </c>
      <c r="H49" s="18">
        <f t="shared" si="35"/>
        <v>0</v>
      </c>
      <c r="I49" s="18">
        <f t="shared" si="35"/>
        <v>250560</v>
      </c>
      <c r="J49" s="18">
        <f t="shared" si="35"/>
        <v>142560</v>
      </c>
      <c r="K49" s="18">
        <f t="shared" si="35"/>
        <v>108000</v>
      </c>
      <c r="L49" s="18">
        <f t="shared" si="35"/>
        <v>103680</v>
      </c>
      <c r="M49" s="18">
        <f t="shared" si="35"/>
        <v>47520</v>
      </c>
      <c r="N49" s="18">
        <f t="shared" si="35"/>
        <v>38880</v>
      </c>
      <c r="O49" s="18">
        <f t="shared" si="35"/>
        <v>21600</v>
      </c>
      <c r="P49" s="18">
        <f t="shared" si="35"/>
        <v>0</v>
      </c>
      <c r="Q49" s="18">
        <f t="shared" si="35"/>
        <v>0</v>
      </c>
      <c r="R49" s="18">
        <f t="shared" si="35"/>
        <v>0</v>
      </c>
      <c r="S49" s="18">
        <f t="shared" si="35"/>
        <v>0</v>
      </c>
      <c r="T49" s="18">
        <f t="shared" si="35"/>
        <v>17280</v>
      </c>
      <c r="U49" s="18">
        <f t="shared" si="1"/>
        <v>1766880</v>
      </c>
      <c r="V49" s="26"/>
    </row>
    <row r="50" spans="1:22" ht="24.95" customHeight="1">
      <c r="A50" s="14" t="s">
        <v>140</v>
      </c>
      <c r="B50" s="24" t="s">
        <v>141</v>
      </c>
      <c r="C50" s="24"/>
      <c r="D50" s="45" t="s">
        <v>25</v>
      </c>
      <c r="E50" s="18">
        <f>E51</f>
        <v>663888</v>
      </c>
      <c r="F50" s="18">
        <f t="shared" ref="F50:T50" si="36">F51</f>
        <v>360353.14</v>
      </c>
      <c r="G50" s="18">
        <f t="shared" si="36"/>
        <v>369394.29</v>
      </c>
      <c r="H50" s="18">
        <f t="shared" si="36"/>
        <v>403594.29</v>
      </c>
      <c r="I50" s="18">
        <f t="shared" si="36"/>
        <v>354569.14</v>
      </c>
      <c r="J50" s="18">
        <f t="shared" si="36"/>
        <v>309205.71000000002</v>
      </c>
      <c r="K50" s="18">
        <f t="shared" si="36"/>
        <v>547203.43000000005</v>
      </c>
      <c r="L50" s="18">
        <f t="shared" si="36"/>
        <v>253954.29</v>
      </c>
      <c r="M50" s="18">
        <f t="shared" si="36"/>
        <v>183243.43</v>
      </c>
      <c r="N50" s="18">
        <f t="shared" si="36"/>
        <v>302996.57</v>
      </c>
      <c r="O50" s="18">
        <f t="shared" si="36"/>
        <v>214230.86</v>
      </c>
      <c r="P50" s="18">
        <f t="shared" si="36"/>
        <v>192051.43</v>
      </c>
      <c r="Q50" s="18">
        <f t="shared" si="36"/>
        <v>187306.29</v>
      </c>
      <c r="R50" s="18">
        <f t="shared" si="36"/>
        <v>69274.289999999994</v>
      </c>
      <c r="S50" s="18">
        <f t="shared" si="36"/>
        <v>34518.86</v>
      </c>
      <c r="T50" s="18">
        <f t="shared" si="36"/>
        <v>20808</v>
      </c>
      <c r="U50" s="18">
        <f t="shared" si="1"/>
        <v>4466592.0200000005</v>
      </c>
      <c r="V50" s="26"/>
    </row>
    <row r="51" spans="1:22" s="44" customFormat="1" ht="24.95" customHeight="1">
      <c r="A51" s="14" t="s">
        <v>142</v>
      </c>
      <c r="B51" s="43" t="s">
        <v>143</v>
      </c>
      <c r="C51" s="43" t="s">
        <v>31</v>
      </c>
      <c r="D51" s="26" t="s">
        <v>48</v>
      </c>
      <c r="E51" s="18">
        <f>ROUND(E29/0.07*0.02,2)</f>
        <v>663888</v>
      </c>
      <c r="F51" s="18">
        <f t="shared" ref="F51:T51" si="37">ROUND(F29/0.07*0.02,2)</f>
        <v>360353.14</v>
      </c>
      <c r="G51" s="18">
        <f t="shared" si="37"/>
        <v>369394.29</v>
      </c>
      <c r="H51" s="18">
        <f t="shared" si="37"/>
        <v>403594.29</v>
      </c>
      <c r="I51" s="18">
        <f t="shared" si="37"/>
        <v>354569.14</v>
      </c>
      <c r="J51" s="18">
        <f t="shared" si="37"/>
        <v>309205.71000000002</v>
      </c>
      <c r="K51" s="18">
        <f t="shared" si="37"/>
        <v>547203.43000000005</v>
      </c>
      <c r="L51" s="18">
        <f t="shared" si="37"/>
        <v>253954.29</v>
      </c>
      <c r="M51" s="18">
        <f t="shared" si="37"/>
        <v>183243.43</v>
      </c>
      <c r="N51" s="18">
        <f t="shared" si="37"/>
        <v>302996.57</v>
      </c>
      <c r="O51" s="18">
        <f t="shared" si="37"/>
        <v>214230.86</v>
      </c>
      <c r="P51" s="18">
        <f t="shared" si="37"/>
        <v>192051.43</v>
      </c>
      <c r="Q51" s="18">
        <f t="shared" si="37"/>
        <v>187306.29</v>
      </c>
      <c r="R51" s="18">
        <f t="shared" si="37"/>
        <v>69274.289999999994</v>
      </c>
      <c r="S51" s="18">
        <f t="shared" si="37"/>
        <v>34518.86</v>
      </c>
      <c r="T51" s="18">
        <f t="shared" si="37"/>
        <v>20808</v>
      </c>
      <c r="U51" s="18">
        <f t="shared" si="1"/>
        <v>4466592.0200000005</v>
      </c>
      <c r="V51" s="26"/>
    </row>
    <row r="52" spans="1:22" ht="24.95" customHeight="1">
      <c r="A52" s="14" t="s">
        <v>144</v>
      </c>
      <c r="B52" s="24" t="s">
        <v>145</v>
      </c>
      <c r="C52" s="24"/>
      <c r="D52" s="45" t="s">
        <v>25</v>
      </c>
      <c r="E52" s="18">
        <f>E53</f>
        <v>96000</v>
      </c>
      <c r="F52" s="18">
        <f t="shared" ref="F52:T52" si="38">F53</f>
        <v>32000</v>
      </c>
      <c r="G52" s="18">
        <f t="shared" si="38"/>
        <v>32000</v>
      </c>
      <c r="H52" s="18">
        <f t="shared" si="38"/>
        <v>0</v>
      </c>
      <c r="I52" s="18">
        <f t="shared" si="38"/>
        <v>32000</v>
      </c>
      <c r="J52" s="18">
        <f t="shared" si="38"/>
        <v>32000</v>
      </c>
      <c r="K52" s="18">
        <f t="shared" si="38"/>
        <v>32000</v>
      </c>
      <c r="L52" s="18">
        <f t="shared" si="38"/>
        <v>32000</v>
      </c>
      <c r="M52" s="18">
        <f t="shared" si="38"/>
        <v>32000</v>
      </c>
      <c r="N52" s="18">
        <f t="shared" si="38"/>
        <v>0</v>
      </c>
      <c r="O52" s="18">
        <f t="shared" si="38"/>
        <v>0</v>
      </c>
      <c r="P52" s="18">
        <f t="shared" si="38"/>
        <v>0</v>
      </c>
      <c r="Q52" s="18">
        <f t="shared" si="38"/>
        <v>0</v>
      </c>
      <c r="R52" s="18">
        <f t="shared" si="38"/>
        <v>0</v>
      </c>
      <c r="S52" s="18">
        <f t="shared" si="38"/>
        <v>0</v>
      </c>
      <c r="T52" s="18">
        <f t="shared" si="38"/>
        <v>0</v>
      </c>
      <c r="U52" s="18">
        <f t="shared" si="1"/>
        <v>320000</v>
      </c>
      <c r="V52" s="26"/>
    </row>
    <row r="53" spans="1:22" ht="24.95" customHeight="1">
      <c r="A53" s="14" t="s">
        <v>146</v>
      </c>
      <c r="B53" s="24" t="s">
        <v>147</v>
      </c>
      <c r="C53" s="24" t="s">
        <v>31</v>
      </c>
      <c r="D53" s="27" t="s">
        <v>148</v>
      </c>
      <c r="E53" s="25">
        <v>96000</v>
      </c>
      <c r="F53" s="25">
        <v>32000</v>
      </c>
      <c r="G53" s="25">
        <v>32000</v>
      </c>
      <c r="H53" s="25"/>
      <c r="I53" s="25">
        <v>32000</v>
      </c>
      <c r="J53" s="25">
        <v>32000</v>
      </c>
      <c r="K53" s="25">
        <v>32000</v>
      </c>
      <c r="L53" s="25">
        <v>32000</v>
      </c>
      <c r="M53" s="25">
        <v>32000</v>
      </c>
      <c r="N53" s="25"/>
      <c r="O53" s="25"/>
      <c r="P53" s="25"/>
      <c r="Q53" s="25"/>
      <c r="R53" s="25"/>
      <c r="S53" s="25"/>
      <c r="T53" s="25"/>
      <c r="U53" s="18">
        <f t="shared" si="1"/>
        <v>320000</v>
      </c>
      <c r="V53" s="26"/>
    </row>
    <row r="54" spans="1:22" ht="24.95" customHeight="1">
      <c r="A54" s="14" t="s">
        <v>149</v>
      </c>
      <c r="B54" s="24" t="s">
        <v>150</v>
      </c>
      <c r="C54" s="24"/>
      <c r="D54" s="45" t="s">
        <v>25</v>
      </c>
      <c r="E54" s="18">
        <f>E55+E57</f>
        <v>65000</v>
      </c>
      <c r="F54" s="18">
        <f t="shared" ref="F54:T54" si="39">F55+F57</f>
        <v>21200</v>
      </c>
      <c r="G54" s="18">
        <f t="shared" si="39"/>
        <v>25400</v>
      </c>
      <c r="H54" s="18">
        <f t="shared" si="39"/>
        <v>3000</v>
      </c>
      <c r="I54" s="18">
        <f t="shared" si="39"/>
        <v>27400</v>
      </c>
      <c r="J54" s="18">
        <f t="shared" si="39"/>
        <v>19200</v>
      </c>
      <c r="K54" s="18">
        <f t="shared" si="39"/>
        <v>22000</v>
      </c>
      <c r="L54" s="18">
        <f t="shared" si="39"/>
        <v>13800</v>
      </c>
      <c r="M54" s="18">
        <f t="shared" si="39"/>
        <v>5000</v>
      </c>
      <c r="N54" s="18">
        <f t="shared" si="39"/>
        <v>12000</v>
      </c>
      <c r="O54" s="18">
        <f t="shared" si="39"/>
        <v>3800</v>
      </c>
      <c r="P54" s="18">
        <f t="shared" si="39"/>
        <v>4200</v>
      </c>
      <c r="Q54" s="18">
        <f t="shared" si="39"/>
        <v>5400</v>
      </c>
      <c r="R54" s="18">
        <f t="shared" si="39"/>
        <v>2400</v>
      </c>
      <c r="S54" s="18">
        <f t="shared" si="39"/>
        <v>600</v>
      </c>
      <c r="T54" s="18">
        <f t="shared" si="39"/>
        <v>1600</v>
      </c>
      <c r="U54" s="18">
        <f t="shared" si="1"/>
        <v>232000</v>
      </c>
      <c r="V54" s="26"/>
    </row>
    <row r="55" spans="1:22" ht="24.95" customHeight="1">
      <c r="A55" s="14" t="s">
        <v>151</v>
      </c>
      <c r="B55" s="24" t="s">
        <v>152</v>
      </c>
      <c r="C55" s="24" t="s">
        <v>31</v>
      </c>
      <c r="D55" s="45" t="s">
        <v>25</v>
      </c>
      <c r="E55" s="18">
        <f>E56</f>
        <v>62000</v>
      </c>
      <c r="F55" s="18">
        <f t="shared" ref="F55:T55" si="40">F56</f>
        <v>16400</v>
      </c>
      <c r="G55" s="18">
        <f t="shared" si="40"/>
        <v>17600</v>
      </c>
      <c r="H55" s="18">
        <f t="shared" si="40"/>
        <v>0</v>
      </c>
      <c r="I55" s="18">
        <f t="shared" si="40"/>
        <v>23200</v>
      </c>
      <c r="J55" s="18">
        <f t="shared" si="40"/>
        <v>13200</v>
      </c>
      <c r="K55" s="18">
        <f t="shared" si="40"/>
        <v>10000</v>
      </c>
      <c r="L55" s="18">
        <f t="shared" si="40"/>
        <v>9600</v>
      </c>
      <c r="M55" s="18">
        <f t="shared" si="40"/>
        <v>4400</v>
      </c>
      <c r="N55" s="18">
        <f t="shared" si="40"/>
        <v>3600</v>
      </c>
      <c r="O55" s="18">
        <f t="shared" si="40"/>
        <v>2000</v>
      </c>
      <c r="P55" s="18">
        <f t="shared" si="40"/>
        <v>0</v>
      </c>
      <c r="Q55" s="18">
        <f t="shared" si="40"/>
        <v>0</v>
      </c>
      <c r="R55" s="18">
        <f t="shared" si="40"/>
        <v>0</v>
      </c>
      <c r="S55" s="18">
        <f t="shared" si="40"/>
        <v>0</v>
      </c>
      <c r="T55" s="18">
        <f t="shared" si="40"/>
        <v>1600</v>
      </c>
      <c r="U55" s="18">
        <f t="shared" si="1"/>
        <v>163600</v>
      </c>
      <c r="V55" s="26"/>
    </row>
    <row r="56" spans="1:22" s="44" customFormat="1" ht="24.95" customHeight="1">
      <c r="A56" s="14" t="s">
        <v>153</v>
      </c>
      <c r="B56" s="43" t="s">
        <v>154</v>
      </c>
      <c r="C56" s="43" t="s">
        <v>31</v>
      </c>
      <c r="D56" s="51" t="s">
        <v>155</v>
      </c>
      <c r="E56" s="18">
        <f>E71*400</f>
        <v>62000</v>
      </c>
      <c r="F56" s="18">
        <f t="shared" ref="F56:T56" si="41">F71*400</f>
        <v>16400</v>
      </c>
      <c r="G56" s="18">
        <f t="shared" si="41"/>
        <v>17600</v>
      </c>
      <c r="H56" s="18">
        <f t="shared" si="41"/>
        <v>0</v>
      </c>
      <c r="I56" s="18">
        <f t="shared" si="41"/>
        <v>23200</v>
      </c>
      <c r="J56" s="18">
        <f t="shared" si="41"/>
        <v>13200</v>
      </c>
      <c r="K56" s="18">
        <f t="shared" si="41"/>
        <v>10000</v>
      </c>
      <c r="L56" s="18">
        <f t="shared" si="41"/>
        <v>9600</v>
      </c>
      <c r="M56" s="18">
        <f t="shared" si="41"/>
        <v>4400</v>
      </c>
      <c r="N56" s="18">
        <f t="shared" si="41"/>
        <v>3600</v>
      </c>
      <c r="O56" s="18">
        <f t="shared" si="41"/>
        <v>2000</v>
      </c>
      <c r="P56" s="18">
        <f t="shared" si="41"/>
        <v>0</v>
      </c>
      <c r="Q56" s="18">
        <f t="shared" si="41"/>
        <v>0</v>
      </c>
      <c r="R56" s="18">
        <f t="shared" si="41"/>
        <v>0</v>
      </c>
      <c r="S56" s="18">
        <f t="shared" si="41"/>
        <v>0</v>
      </c>
      <c r="T56" s="18">
        <f t="shared" si="41"/>
        <v>1600</v>
      </c>
      <c r="U56" s="18">
        <f t="shared" si="1"/>
        <v>163600</v>
      </c>
      <c r="V56" s="26"/>
    </row>
    <row r="57" spans="1:22" ht="24.95" customHeight="1">
      <c r="A57" s="14" t="s">
        <v>156</v>
      </c>
      <c r="B57" s="24" t="s">
        <v>157</v>
      </c>
      <c r="C57" s="24" t="s">
        <v>31</v>
      </c>
      <c r="D57" s="27" t="s">
        <v>158</v>
      </c>
      <c r="E57" s="52">
        <v>3000</v>
      </c>
      <c r="F57" s="52">
        <v>4800</v>
      </c>
      <c r="G57" s="52">
        <v>7800</v>
      </c>
      <c r="H57" s="52">
        <v>3000</v>
      </c>
      <c r="I57" s="52">
        <v>4200</v>
      </c>
      <c r="J57" s="52">
        <v>6000</v>
      </c>
      <c r="K57" s="52">
        <v>12000</v>
      </c>
      <c r="L57" s="52">
        <v>4200</v>
      </c>
      <c r="M57" s="52">
        <v>600</v>
      </c>
      <c r="N57" s="52">
        <v>8400</v>
      </c>
      <c r="O57" s="52">
        <v>1800</v>
      </c>
      <c r="P57" s="52">
        <v>4200</v>
      </c>
      <c r="Q57" s="52">
        <v>5400</v>
      </c>
      <c r="R57" s="52">
        <v>2400</v>
      </c>
      <c r="S57" s="52">
        <v>600</v>
      </c>
      <c r="T57" s="52"/>
      <c r="U57" s="18">
        <f t="shared" si="1"/>
        <v>68400</v>
      </c>
      <c r="V57" s="16"/>
    </row>
    <row r="58" spans="1:22" ht="24.95" customHeight="1">
      <c r="A58" s="14" t="s">
        <v>159</v>
      </c>
      <c r="B58" s="24" t="s">
        <v>160</v>
      </c>
      <c r="C58" s="24"/>
      <c r="D58" s="45" t="s">
        <v>25</v>
      </c>
      <c r="E58" s="18">
        <f>E59</f>
        <v>0</v>
      </c>
      <c r="F58" s="18">
        <f t="shared" ref="F58:T58" si="42">F59</f>
        <v>0</v>
      </c>
      <c r="G58" s="18">
        <f t="shared" si="42"/>
        <v>0</v>
      </c>
      <c r="H58" s="18">
        <f t="shared" si="42"/>
        <v>32000</v>
      </c>
      <c r="I58" s="18">
        <f t="shared" si="42"/>
        <v>0</v>
      </c>
      <c r="J58" s="18">
        <f t="shared" si="42"/>
        <v>0</v>
      </c>
      <c r="K58" s="18">
        <f t="shared" si="42"/>
        <v>10000</v>
      </c>
      <c r="L58" s="18">
        <f t="shared" si="42"/>
        <v>10000</v>
      </c>
      <c r="M58" s="18">
        <f t="shared" si="42"/>
        <v>5000</v>
      </c>
      <c r="N58" s="18">
        <f t="shared" si="42"/>
        <v>32000</v>
      </c>
      <c r="O58" s="18">
        <f t="shared" si="42"/>
        <v>32000</v>
      </c>
      <c r="P58" s="18">
        <f t="shared" si="42"/>
        <v>32000</v>
      </c>
      <c r="Q58" s="18">
        <f t="shared" si="42"/>
        <v>32000</v>
      </c>
      <c r="R58" s="18">
        <f t="shared" si="42"/>
        <v>32000</v>
      </c>
      <c r="S58" s="18">
        <f t="shared" si="42"/>
        <v>32000</v>
      </c>
      <c r="T58" s="18">
        <f t="shared" si="42"/>
        <v>32000</v>
      </c>
      <c r="U58" s="18">
        <f t="shared" si="1"/>
        <v>281000</v>
      </c>
      <c r="V58" s="26"/>
    </row>
    <row r="59" spans="1:22" ht="24.95" customHeight="1" thickBot="1">
      <c r="A59" s="14" t="s">
        <v>161</v>
      </c>
      <c r="B59" s="53" t="s">
        <v>162</v>
      </c>
      <c r="C59" s="24" t="s">
        <v>31</v>
      </c>
      <c r="D59" s="54" t="s">
        <v>163</v>
      </c>
      <c r="E59" s="34"/>
      <c r="F59" s="34"/>
      <c r="G59" s="34">
        <v>0</v>
      </c>
      <c r="H59" s="34">
        <v>32000</v>
      </c>
      <c r="I59" s="34"/>
      <c r="J59" s="34"/>
      <c r="K59" s="34">
        <v>10000</v>
      </c>
      <c r="L59" s="34">
        <v>10000</v>
      </c>
      <c r="M59" s="34">
        <v>5000</v>
      </c>
      <c r="N59" s="34">
        <v>32000</v>
      </c>
      <c r="O59" s="34">
        <v>32000</v>
      </c>
      <c r="P59" s="34">
        <v>32000</v>
      </c>
      <c r="Q59" s="34">
        <v>32000</v>
      </c>
      <c r="R59" s="34">
        <v>32000</v>
      </c>
      <c r="S59" s="34">
        <v>32000</v>
      </c>
      <c r="T59" s="34">
        <v>32000</v>
      </c>
      <c r="U59" s="18">
        <f t="shared" si="1"/>
        <v>281000</v>
      </c>
      <c r="V59" s="55"/>
    </row>
    <row r="60" spans="1:22" ht="24.95" customHeight="1" thickTop="1">
      <c r="A60" s="14" t="s">
        <v>164</v>
      </c>
      <c r="B60" s="56" t="s">
        <v>165</v>
      </c>
      <c r="C60" s="56"/>
      <c r="D60" s="57"/>
      <c r="E60" s="58"/>
      <c r="F60" s="58"/>
      <c r="G60" s="58"/>
      <c r="H60" s="58"/>
      <c r="I60" s="58"/>
      <c r="J60" s="58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18">
        <f t="shared" si="1"/>
        <v>0</v>
      </c>
      <c r="V60" s="59"/>
    </row>
    <row r="61" spans="1:22" ht="24.95" customHeight="1">
      <c r="A61" s="14" t="s">
        <v>166</v>
      </c>
      <c r="B61" s="24" t="s">
        <v>167</v>
      </c>
      <c r="C61" s="24"/>
      <c r="D61" s="45" t="s">
        <v>168</v>
      </c>
      <c r="E61" s="18">
        <f>E62+E63+E64+E65</f>
        <v>131</v>
      </c>
      <c r="F61" s="18">
        <f t="shared" ref="F61:T61" si="43">F62+F63+F64+F65</f>
        <v>68</v>
      </c>
      <c r="G61" s="18">
        <f t="shared" si="43"/>
        <v>70</v>
      </c>
      <c r="H61" s="18">
        <f t="shared" si="43"/>
        <v>80</v>
      </c>
      <c r="I61" s="18">
        <f t="shared" si="43"/>
        <v>77</v>
      </c>
      <c r="J61" s="18">
        <f t="shared" si="43"/>
        <v>62</v>
      </c>
      <c r="K61" s="18">
        <f t="shared" si="43"/>
        <v>117</v>
      </c>
      <c r="L61" s="18">
        <f t="shared" si="43"/>
        <v>56</v>
      </c>
      <c r="M61" s="18">
        <f t="shared" si="43"/>
        <v>42</v>
      </c>
      <c r="N61" s="18">
        <f t="shared" si="43"/>
        <v>68</v>
      </c>
      <c r="O61" s="18">
        <f t="shared" si="43"/>
        <v>48</v>
      </c>
      <c r="P61" s="18">
        <f t="shared" si="43"/>
        <v>46</v>
      </c>
      <c r="Q61" s="18">
        <f t="shared" si="43"/>
        <v>39</v>
      </c>
      <c r="R61" s="18">
        <f t="shared" si="43"/>
        <v>16</v>
      </c>
      <c r="S61" s="18">
        <f t="shared" si="43"/>
        <v>8</v>
      </c>
      <c r="T61" s="18">
        <f t="shared" si="43"/>
        <v>4</v>
      </c>
      <c r="U61" s="18">
        <f t="shared" si="1"/>
        <v>932</v>
      </c>
      <c r="V61" s="26"/>
    </row>
    <row r="62" spans="1:22" ht="24.95" customHeight="1">
      <c r="A62" s="14" t="s">
        <v>169</v>
      </c>
      <c r="B62" s="60" t="s">
        <v>170</v>
      </c>
      <c r="C62" s="60"/>
      <c r="D62" s="16"/>
      <c r="E62" s="17">
        <v>60</v>
      </c>
      <c r="F62" s="17">
        <v>68</v>
      </c>
      <c r="G62" s="17">
        <v>70</v>
      </c>
      <c r="H62" s="17">
        <v>80</v>
      </c>
      <c r="I62" s="17"/>
      <c r="J62" s="17"/>
      <c r="K62" s="17"/>
      <c r="L62" s="17"/>
      <c r="M62" s="17"/>
      <c r="N62" s="17"/>
      <c r="O62" s="17"/>
      <c r="P62" s="17"/>
      <c r="Q62" s="17"/>
      <c r="R62" s="17"/>
      <c r="S62" s="17"/>
      <c r="T62" s="17"/>
      <c r="U62" s="18">
        <f t="shared" si="1"/>
        <v>278</v>
      </c>
      <c r="V62" s="26"/>
    </row>
    <row r="63" spans="1:22" ht="24.95" customHeight="1">
      <c r="A63" s="14" t="s">
        <v>171</v>
      </c>
      <c r="B63" s="60" t="s">
        <v>172</v>
      </c>
      <c r="C63" s="60"/>
      <c r="D63" s="45"/>
      <c r="E63" s="25">
        <v>71</v>
      </c>
      <c r="F63" s="25"/>
      <c r="G63" s="25"/>
      <c r="H63" s="25"/>
      <c r="I63" s="25">
        <v>77</v>
      </c>
      <c r="J63" s="25">
        <v>62</v>
      </c>
      <c r="K63" s="25">
        <v>117</v>
      </c>
      <c r="L63" s="25"/>
      <c r="M63" s="25"/>
      <c r="N63" s="25"/>
      <c r="O63" s="25"/>
      <c r="P63" s="25"/>
      <c r="Q63" s="25"/>
      <c r="R63" s="25"/>
      <c r="S63" s="25"/>
      <c r="T63" s="25"/>
      <c r="U63" s="18">
        <f t="shared" si="1"/>
        <v>327</v>
      </c>
      <c r="V63" s="26"/>
    </row>
    <row r="64" spans="1:22" ht="24.95" customHeight="1">
      <c r="A64" s="14" t="s">
        <v>173</v>
      </c>
      <c r="B64" s="60" t="s">
        <v>174</v>
      </c>
      <c r="C64" s="60"/>
      <c r="D64" s="16"/>
      <c r="E64" s="17"/>
      <c r="F64" s="17"/>
      <c r="G64" s="17"/>
      <c r="H64" s="17"/>
      <c r="I64" s="17"/>
      <c r="J64" s="17"/>
      <c r="K64" s="17"/>
      <c r="L64" s="17">
        <v>56</v>
      </c>
      <c r="M64" s="17">
        <v>42</v>
      </c>
      <c r="N64" s="17">
        <v>68</v>
      </c>
      <c r="O64" s="17">
        <v>48</v>
      </c>
      <c r="P64" s="17">
        <v>46</v>
      </c>
      <c r="Q64" s="17">
        <v>39</v>
      </c>
      <c r="R64" s="17">
        <v>16</v>
      </c>
      <c r="S64" s="17">
        <v>8</v>
      </c>
      <c r="T64" s="17"/>
      <c r="U64" s="18">
        <f t="shared" si="1"/>
        <v>323</v>
      </c>
      <c r="V64" s="26"/>
    </row>
    <row r="65" spans="1:22" ht="24.95" customHeight="1">
      <c r="A65" s="14" t="s">
        <v>175</v>
      </c>
      <c r="B65" s="60" t="s">
        <v>176</v>
      </c>
      <c r="C65" s="60"/>
      <c r="D65" s="16"/>
      <c r="E65" s="17"/>
      <c r="F65" s="17"/>
      <c r="G65" s="17"/>
      <c r="H65" s="17"/>
      <c r="I65" s="17"/>
      <c r="J65" s="17"/>
      <c r="K65" s="17"/>
      <c r="L65" s="17"/>
      <c r="M65" s="17"/>
      <c r="N65" s="17"/>
      <c r="O65" s="17"/>
      <c r="P65" s="17"/>
      <c r="Q65" s="17"/>
      <c r="R65" s="17"/>
      <c r="S65" s="17"/>
      <c r="T65" s="17">
        <v>4</v>
      </c>
      <c r="U65" s="18">
        <f t="shared" si="1"/>
        <v>4</v>
      </c>
      <c r="V65" s="26"/>
    </row>
    <row r="66" spans="1:22" ht="24.95" customHeight="1">
      <c r="A66" s="14" t="s">
        <v>177</v>
      </c>
      <c r="B66" s="24" t="s">
        <v>178</v>
      </c>
      <c r="C66" s="24"/>
      <c r="D66" s="45" t="s">
        <v>179</v>
      </c>
      <c r="E66" s="18">
        <f>E67+E68+E69+E70</f>
        <v>1336</v>
      </c>
      <c r="F66" s="18">
        <f t="shared" ref="F66:T66" si="44">F67+F68+F69+F70</f>
        <v>914</v>
      </c>
      <c r="G66" s="18">
        <f t="shared" si="44"/>
        <v>786</v>
      </c>
      <c r="H66" s="18">
        <f t="shared" si="44"/>
        <v>1138</v>
      </c>
      <c r="I66" s="18">
        <f t="shared" si="44"/>
        <v>823</v>
      </c>
      <c r="J66" s="18">
        <f t="shared" si="44"/>
        <v>688</v>
      </c>
      <c r="K66" s="18">
        <f t="shared" si="44"/>
        <v>1708</v>
      </c>
      <c r="L66" s="18">
        <f t="shared" si="44"/>
        <v>552</v>
      </c>
      <c r="M66" s="18">
        <f t="shared" si="44"/>
        <v>436</v>
      </c>
      <c r="N66" s="18">
        <f t="shared" si="44"/>
        <v>927</v>
      </c>
      <c r="O66" s="18">
        <f t="shared" si="44"/>
        <v>445</v>
      </c>
      <c r="P66" s="18">
        <f t="shared" si="44"/>
        <v>518</v>
      </c>
      <c r="Q66" s="18">
        <f t="shared" si="44"/>
        <v>398</v>
      </c>
      <c r="R66" s="18">
        <f t="shared" si="44"/>
        <v>205</v>
      </c>
      <c r="S66" s="18">
        <f t="shared" si="44"/>
        <v>94</v>
      </c>
      <c r="T66" s="18">
        <f t="shared" si="44"/>
        <v>0</v>
      </c>
      <c r="U66" s="18">
        <f t="shared" si="1"/>
        <v>10968</v>
      </c>
      <c r="V66" s="26"/>
    </row>
    <row r="67" spans="1:22" ht="24.95" customHeight="1">
      <c r="A67" s="14" t="s">
        <v>180</v>
      </c>
      <c r="B67" s="60" t="s">
        <v>170</v>
      </c>
      <c r="C67" s="60"/>
      <c r="D67" s="16"/>
      <c r="E67" s="17">
        <v>539</v>
      </c>
      <c r="F67" s="17">
        <v>914</v>
      </c>
      <c r="G67" s="17">
        <v>786</v>
      </c>
      <c r="H67" s="17">
        <v>1138</v>
      </c>
      <c r="I67" s="17"/>
      <c r="J67" s="17"/>
      <c r="K67" s="17"/>
      <c r="L67" s="17"/>
      <c r="M67" s="17"/>
      <c r="N67" s="17"/>
      <c r="O67" s="17"/>
      <c r="P67" s="17"/>
      <c r="Q67" s="17"/>
      <c r="R67" s="17"/>
      <c r="S67" s="17"/>
      <c r="T67" s="17"/>
      <c r="U67" s="18">
        <f t="shared" ref="U67:U73" si="45">SUM(E67:T67)</f>
        <v>3377</v>
      </c>
      <c r="V67" s="26"/>
    </row>
    <row r="68" spans="1:22" ht="24.95" customHeight="1">
      <c r="A68" s="14" t="s">
        <v>181</v>
      </c>
      <c r="B68" s="60" t="s">
        <v>172</v>
      </c>
      <c r="C68" s="60"/>
      <c r="D68" s="45"/>
      <c r="E68" s="25">
        <v>797</v>
      </c>
      <c r="F68" s="25"/>
      <c r="G68" s="25"/>
      <c r="H68" s="25"/>
      <c r="I68" s="25">
        <v>823</v>
      </c>
      <c r="J68" s="25">
        <v>688</v>
      </c>
      <c r="K68" s="25">
        <v>1708</v>
      </c>
      <c r="L68" s="25"/>
      <c r="M68" s="25"/>
      <c r="N68" s="25"/>
      <c r="O68" s="25"/>
      <c r="P68" s="25"/>
      <c r="Q68" s="25"/>
      <c r="R68" s="25"/>
      <c r="S68" s="25"/>
      <c r="T68" s="25"/>
      <c r="U68" s="18">
        <f t="shared" si="45"/>
        <v>4016</v>
      </c>
      <c r="V68" s="26"/>
    </row>
    <row r="69" spans="1:22" ht="24.95" customHeight="1">
      <c r="A69" s="14" t="s">
        <v>182</v>
      </c>
      <c r="B69" s="60" t="s">
        <v>174</v>
      </c>
      <c r="C69" s="60"/>
      <c r="D69" s="16"/>
      <c r="E69" s="17"/>
      <c r="F69" s="17"/>
      <c r="G69" s="17"/>
      <c r="H69" s="17"/>
      <c r="I69" s="17"/>
      <c r="J69" s="17"/>
      <c r="K69" s="17"/>
      <c r="L69" s="17">
        <v>552</v>
      </c>
      <c r="M69" s="17">
        <v>436</v>
      </c>
      <c r="N69" s="17">
        <v>927</v>
      </c>
      <c r="O69" s="17">
        <v>445</v>
      </c>
      <c r="P69" s="17">
        <v>518</v>
      </c>
      <c r="Q69" s="17">
        <v>398</v>
      </c>
      <c r="R69" s="17">
        <v>205</v>
      </c>
      <c r="S69" s="17">
        <v>94</v>
      </c>
      <c r="T69" s="17"/>
      <c r="U69" s="18">
        <f t="shared" si="45"/>
        <v>3575</v>
      </c>
      <c r="V69" s="26"/>
    </row>
    <row r="70" spans="1:22" ht="24.95" customHeight="1">
      <c r="A70" s="14" t="s">
        <v>183</v>
      </c>
      <c r="B70" s="60" t="s">
        <v>176</v>
      </c>
      <c r="C70" s="60"/>
      <c r="D70" s="16"/>
      <c r="E70" s="17"/>
      <c r="F70" s="17"/>
      <c r="G70" s="17"/>
      <c r="H70" s="17"/>
      <c r="I70" s="17"/>
      <c r="J70" s="17"/>
      <c r="K70" s="17"/>
      <c r="L70" s="17"/>
      <c r="M70" s="17"/>
      <c r="N70" s="17"/>
      <c r="O70" s="17"/>
      <c r="P70" s="17"/>
      <c r="Q70" s="17"/>
      <c r="R70" s="17"/>
      <c r="S70" s="17"/>
      <c r="T70" s="17"/>
      <c r="U70" s="18">
        <f t="shared" si="45"/>
        <v>0</v>
      </c>
      <c r="V70" s="26"/>
    </row>
    <row r="71" spans="1:22" ht="24.95" customHeight="1">
      <c r="A71" s="14" t="s">
        <v>184</v>
      </c>
      <c r="B71" s="24" t="s">
        <v>185</v>
      </c>
      <c r="C71" s="24"/>
      <c r="D71" s="45"/>
      <c r="E71" s="25">
        <v>155</v>
      </c>
      <c r="F71" s="25">
        <v>41</v>
      </c>
      <c r="G71" s="25">
        <v>44</v>
      </c>
      <c r="H71" s="25"/>
      <c r="I71" s="25">
        <v>58</v>
      </c>
      <c r="J71" s="25">
        <v>33</v>
      </c>
      <c r="K71" s="25">
        <v>25</v>
      </c>
      <c r="L71" s="25">
        <v>24</v>
      </c>
      <c r="M71" s="25">
        <v>11</v>
      </c>
      <c r="N71" s="25">
        <v>9</v>
      </c>
      <c r="O71" s="25">
        <v>5</v>
      </c>
      <c r="P71" s="25"/>
      <c r="Q71" s="25"/>
      <c r="R71" s="25"/>
      <c r="S71" s="25"/>
      <c r="T71" s="25">
        <v>4</v>
      </c>
      <c r="U71" s="18">
        <f t="shared" si="45"/>
        <v>409</v>
      </c>
      <c r="V71" s="26"/>
    </row>
    <row r="72" spans="1:22" ht="24.95" customHeight="1">
      <c r="A72" s="14" t="s">
        <v>186</v>
      </c>
      <c r="B72" s="60" t="s">
        <v>187</v>
      </c>
      <c r="C72" s="60"/>
      <c r="D72" s="27"/>
      <c r="E72" s="25">
        <v>20685.240000000002</v>
      </c>
      <c r="F72" s="25">
        <v>12319.48</v>
      </c>
      <c r="G72" s="25">
        <v>22977</v>
      </c>
      <c r="H72" s="25">
        <v>17286.64</v>
      </c>
      <c r="I72" s="25">
        <v>10982.08</v>
      </c>
      <c r="J72" s="25">
        <v>6545.95</v>
      </c>
      <c r="K72" s="25">
        <v>20689.72</v>
      </c>
      <c r="L72" s="25">
        <v>9404.5</v>
      </c>
      <c r="M72" s="25">
        <v>4648.8900000000003</v>
      </c>
      <c r="N72" s="25">
        <v>15187.41</v>
      </c>
      <c r="O72" s="25">
        <v>8599.06</v>
      </c>
      <c r="P72" s="25">
        <v>11829.41</v>
      </c>
      <c r="Q72" s="25">
        <v>7947.39</v>
      </c>
      <c r="R72" s="25">
        <v>5724.12</v>
      </c>
      <c r="S72" s="25">
        <v>7630</v>
      </c>
      <c r="T72" s="25"/>
      <c r="U72" s="18">
        <f t="shared" si="45"/>
        <v>182456.89</v>
      </c>
      <c r="V72" s="26"/>
    </row>
    <row r="73" spans="1:22" ht="24.95" customHeight="1">
      <c r="A73" s="14" t="s">
        <v>188</v>
      </c>
      <c r="B73" s="60" t="s">
        <v>189</v>
      </c>
      <c r="C73" s="60"/>
      <c r="D73" s="27"/>
      <c r="E73" s="25">
        <v>13238</v>
      </c>
      <c r="F73" s="25">
        <v>3530</v>
      </c>
      <c r="G73" s="25">
        <v>9560.9500000000007</v>
      </c>
      <c r="H73" s="25">
        <v>8804.2000000000007</v>
      </c>
      <c r="I73" s="25">
        <v>9586</v>
      </c>
      <c r="J73" s="25">
        <v>3899</v>
      </c>
      <c r="K73" s="25">
        <v>12205</v>
      </c>
      <c r="L73" s="25">
        <v>4143</v>
      </c>
      <c r="M73" s="25">
        <v>2486</v>
      </c>
      <c r="N73" s="25">
        <v>5315.35</v>
      </c>
      <c r="O73" s="25">
        <v>3543</v>
      </c>
      <c r="P73" s="25">
        <v>4348.7</v>
      </c>
      <c r="Q73" s="25">
        <v>5677.6</v>
      </c>
      <c r="R73" s="25">
        <v>1964.4</v>
      </c>
      <c r="S73" s="25">
        <v>1089</v>
      </c>
      <c r="T73" s="25"/>
      <c r="U73" s="18">
        <f t="shared" si="45"/>
        <v>89390.2</v>
      </c>
      <c r="V73" s="26"/>
    </row>
    <row r="74" spans="1:22">
      <c r="E74" s="19">
        <f>E4/E61</f>
        <v>389685.72259541979</v>
      </c>
      <c r="F74" s="19">
        <f t="shared" ref="F74:U74" si="46">F4/F61</f>
        <v>393715.74852941174</v>
      </c>
      <c r="G74" s="19">
        <f t="shared" si="46"/>
        <v>395065.64157142851</v>
      </c>
      <c r="H74" s="19">
        <f t="shared" si="46"/>
        <v>380603.43137499999</v>
      </c>
      <c r="I74" s="19">
        <f t="shared" si="46"/>
        <v>384046.70844155853</v>
      </c>
      <c r="J74" s="19">
        <f t="shared" si="46"/>
        <v>382847.28854838712</v>
      </c>
      <c r="K74" s="19">
        <f t="shared" si="46"/>
        <v>372445.98444444442</v>
      </c>
      <c r="L74" s="19">
        <f t="shared" si="46"/>
        <v>344302.18910714285</v>
      </c>
      <c r="M74" s="19">
        <f t="shared" si="46"/>
        <v>342281.60238095239</v>
      </c>
      <c r="N74" s="19">
        <f t="shared" si="46"/>
        <v>340611.46205882356</v>
      </c>
      <c r="O74" s="19">
        <f t="shared" si="46"/>
        <v>340490.78854166664</v>
      </c>
      <c r="P74" s="19">
        <f t="shared" si="46"/>
        <v>331576.53739130433</v>
      </c>
      <c r="Q74" s="19">
        <f t="shared" si="46"/>
        <v>348302.77538461547</v>
      </c>
      <c r="R74" s="19">
        <f t="shared" si="46"/>
        <v>337082.09687499999</v>
      </c>
      <c r="S74" s="19">
        <f t="shared" si="46"/>
        <v>333614.83875</v>
      </c>
      <c r="T74" s="19">
        <f t="shared" si="46"/>
        <v>371861.35499999998</v>
      </c>
      <c r="U74" s="19">
        <f t="shared" si="46"/>
        <v>369481.30085836916</v>
      </c>
    </row>
  </sheetData>
  <protectedRanges>
    <protectedRange password="E9C1" sqref="D29 C30 A4:D5 B6:D28 B31:D73 U4:V73 A6:A73 A2:V3" name="区域1_1"/>
    <protectedRange password="E9C1" sqref="B29:C29 B30" name="区域1_1_1"/>
    <protectedRange password="E9C1" sqref="D30" name="区域1_2"/>
  </protectedRanges>
  <mergeCells count="1">
    <mergeCell ref="A1:V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8" scale="75" orientation="landscape" r:id="rId1"/>
  <headerFooter>
    <oddFooter>第 &amp;P 页，共 &amp;N 页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dimension ref="A1:S80"/>
  <sheetViews>
    <sheetView workbookViewId="0">
      <pane xSplit="4" ySplit="2" topLeftCell="J15" activePane="bottomRight" state="frozen"/>
      <selection pane="topRight" activeCell="E1" sqref="E1"/>
      <selection pane="bottomLeft" activeCell="A3" sqref="A3"/>
      <selection pane="bottomRight" activeCell="Q33" activeCellId="4" sqref="Q20 Q25 Q28 Q29 Q33"/>
    </sheetView>
  </sheetViews>
  <sheetFormatPr defaultColWidth="9" defaultRowHeight="11.25"/>
  <cols>
    <col min="1" max="1" width="6" style="61" customWidth="1"/>
    <col min="2" max="2" width="15.625" style="19" customWidth="1"/>
    <col min="3" max="3" width="5.25" style="19" customWidth="1"/>
    <col min="4" max="4" width="9" style="62"/>
    <col min="5" max="17" width="15.625" style="19" customWidth="1"/>
    <col min="18" max="16384" width="9" style="19"/>
  </cols>
  <sheetData>
    <row r="1" spans="1:19" ht="25.5">
      <c r="A1" s="574" t="s">
        <v>950</v>
      </c>
      <c r="B1" s="575"/>
      <c r="C1" s="575"/>
      <c r="D1" s="575"/>
      <c r="E1" s="575"/>
      <c r="F1" s="575"/>
      <c r="G1" s="575"/>
      <c r="H1" s="575"/>
      <c r="I1" s="575"/>
      <c r="J1" s="575"/>
      <c r="K1" s="575"/>
      <c r="L1" s="575"/>
      <c r="M1" s="575"/>
      <c r="N1" s="575"/>
      <c r="O1" s="575"/>
      <c r="P1" s="575"/>
      <c r="Q1" s="575"/>
      <c r="R1" s="575"/>
    </row>
    <row r="2" spans="1:19" ht="24.95" customHeight="1">
      <c r="A2" s="46" t="s">
        <v>12</v>
      </c>
      <c r="B2" s="46" t="s">
        <v>13</v>
      </c>
      <c r="C2" s="46" t="s">
        <v>14</v>
      </c>
      <c r="D2" s="47" t="s">
        <v>15</v>
      </c>
      <c r="E2" s="47" t="s">
        <v>273</v>
      </c>
      <c r="F2" s="47" t="s">
        <v>274</v>
      </c>
      <c r="G2" s="47" t="s">
        <v>275</v>
      </c>
      <c r="H2" s="47" t="s">
        <v>276</v>
      </c>
      <c r="I2" s="47" t="s">
        <v>277</v>
      </c>
      <c r="J2" s="47" t="s">
        <v>278</v>
      </c>
      <c r="K2" s="47" t="s">
        <v>279</v>
      </c>
      <c r="L2" s="47" t="s">
        <v>280</v>
      </c>
      <c r="M2" s="47" t="s">
        <v>281</v>
      </c>
      <c r="N2" s="47" t="s">
        <v>282</v>
      </c>
      <c r="O2" s="47" t="s">
        <v>283</v>
      </c>
      <c r="P2" s="47" t="s">
        <v>284</v>
      </c>
      <c r="Q2" s="47" t="s">
        <v>21</v>
      </c>
      <c r="R2" s="48" t="s">
        <v>22</v>
      </c>
    </row>
    <row r="3" spans="1:19" ht="24.95" customHeight="1">
      <c r="A3" s="14" t="s">
        <v>23</v>
      </c>
      <c r="B3" s="24" t="s">
        <v>24</v>
      </c>
      <c r="C3" s="24"/>
      <c r="D3" s="45" t="s">
        <v>25</v>
      </c>
      <c r="E3" s="18">
        <f t="shared" ref="E3:P3" si="0">E4+E31+E38</f>
        <v>3928379.4800000004</v>
      </c>
      <c r="F3" s="18">
        <f t="shared" si="0"/>
        <v>45394601.519999996</v>
      </c>
      <c r="G3" s="18">
        <f t="shared" si="0"/>
        <v>75752810.289999992</v>
      </c>
      <c r="H3" s="18">
        <f t="shared" si="0"/>
        <v>35095214.879999995</v>
      </c>
      <c r="I3" s="18">
        <f t="shared" si="0"/>
        <v>75362702.820000008</v>
      </c>
      <c r="J3" s="18">
        <f t="shared" si="0"/>
        <v>10187462.460000001</v>
      </c>
      <c r="K3" s="18">
        <f t="shared" si="0"/>
        <v>8383526.7000000002</v>
      </c>
      <c r="L3" s="18">
        <f t="shared" si="0"/>
        <v>9974976.4800000004</v>
      </c>
      <c r="M3" s="18">
        <f t="shared" si="0"/>
        <v>19295818.66</v>
      </c>
      <c r="N3" s="18">
        <f t="shared" si="0"/>
        <v>11695889.15</v>
      </c>
      <c r="O3" s="18">
        <f t="shared" si="0"/>
        <v>9467367.8599999994</v>
      </c>
      <c r="P3" s="18">
        <f t="shared" si="0"/>
        <v>8795059.6499999985</v>
      </c>
      <c r="Q3" s="18">
        <f t="shared" ref="Q3:Q66" si="1">SUM(E3:P3)</f>
        <v>313333809.94999999</v>
      </c>
      <c r="R3" s="26"/>
      <c r="S3" s="65"/>
    </row>
    <row r="4" spans="1:19" ht="24.95" customHeight="1">
      <c r="A4" s="14" t="s">
        <v>26</v>
      </c>
      <c r="B4" s="24" t="s">
        <v>0</v>
      </c>
      <c r="C4" s="24"/>
      <c r="D4" s="45" t="s">
        <v>25</v>
      </c>
      <c r="E4" s="18">
        <f>E5+E8+E12+E15+E20+E25+E27+E29+E30</f>
        <v>3364597.0500000003</v>
      </c>
      <c r="F4" s="18">
        <f t="shared" ref="F4:P4" si="2">F5+F8+F12+F15+F20+F25+F27+F29+F30</f>
        <v>38170842.859999999</v>
      </c>
      <c r="G4" s="18">
        <f t="shared" si="2"/>
        <v>63757666.289999999</v>
      </c>
      <c r="H4" s="18">
        <f t="shared" si="2"/>
        <v>29363755.269999996</v>
      </c>
      <c r="I4" s="18">
        <f t="shared" si="2"/>
        <v>64696640.680000007</v>
      </c>
      <c r="J4" s="18">
        <f t="shared" si="2"/>
        <v>8927850.4600000009</v>
      </c>
      <c r="K4" s="18">
        <f t="shared" si="2"/>
        <v>7163790</v>
      </c>
      <c r="L4" s="18">
        <f t="shared" si="2"/>
        <v>8360362.1699999999</v>
      </c>
      <c r="M4" s="18">
        <f t="shared" si="2"/>
        <v>16807231.370000001</v>
      </c>
      <c r="N4" s="18">
        <f t="shared" si="2"/>
        <v>10133235.15</v>
      </c>
      <c r="O4" s="18">
        <f t="shared" si="2"/>
        <v>7860415.29</v>
      </c>
      <c r="P4" s="18">
        <f t="shared" si="2"/>
        <v>7538181.6599999992</v>
      </c>
      <c r="Q4" s="18">
        <f t="shared" si="1"/>
        <v>266144568.24999997</v>
      </c>
      <c r="R4" s="26"/>
      <c r="S4" s="65"/>
    </row>
    <row r="5" spans="1:19" ht="24.95" customHeight="1">
      <c r="A5" s="14" t="s">
        <v>27</v>
      </c>
      <c r="B5" s="24" t="s">
        <v>28</v>
      </c>
      <c r="C5" s="24"/>
      <c r="D5" s="45" t="s">
        <v>25</v>
      </c>
      <c r="E5" s="18">
        <f>E6+E7</f>
        <v>636752</v>
      </c>
      <c r="F5" s="18">
        <f t="shared" ref="F5:P5" si="3">F6+F7</f>
        <v>4088412</v>
      </c>
      <c r="G5" s="18">
        <f t="shared" si="3"/>
        <v>9252336</v>
      </c>
      <c r="H5" s="18">
        <f t="shared" si="3"/>
        <v>3052920</v>
      </c>
      <c r="I5" s="18">
        <f t="shared" si="3"/>
        <v>7187676</v>
      </c>
      <c r="J5" s="18">
        <f t="shared" si="3"/>
        <v>1054200</v>
      </c>
      <c r="K5" s="18">
        <f t="shared" si="3"/>
        <v>921336</v>
      </c>
      <c r="L5" s="18">
        <f t="shared" si="3"/>
        <v>998688</v>
      </c>
      <c r="M5" s="18">
        <f t="shared" si="3"/>
        <v>1967460</v>
      </c>
      <c r="N5" s="18">
        <f t="shared" si="3"/>
        <v>1489752</v>
      </c>
      <c r="O5" s="18">
        <f t="shared" si="3"/>
        <v>879456</v>
      </c>
      <c r="P5" s="18">
        <f t="shared" si="3"/>
        <v>849288</v>
      </c>
      <c r="Q5" s="18">
        <f t="shared" si="1"/>
        <v>32378276</v>
      </c>
      <c r="R5" s="26"/>
      <c r="S5" s="65"/>
    </row>
    <row r="6" spans="1:19" ht="24.95" customHeight="1">
      <c r="A6" s="14" t="s">
        <v>29</v>
      </c>
      <c r="B6" s="24" t="s">
        <v>30</v>
      </c>
      <c r="C6" s="24" t="s">
        <v>31</v>
      </c>
      <c r="D6" s="45" t="s">
        <v>32</v>
      </c>
      <c r="E6" s="25">
        <f>20060*12+55680</f>
        <v>296400</v>
      </c>
      <c r="F6" s="25">
        <v>2646468</v>
      </c>
      <c r="G6" s="25">
        <v>4432908</v>
      </c>
      <c r="H6" s="25">
        <v>2029716</v>
      </c>
      <c r="I6" s="25">
        <v>4328244</v>
      </c>
      <c r="J6" s="25">
        <v>668580</v>
      </c>
      <c r="K6" s="25">
        <f>47770*12</f>
        <v>573240</v>
      </c>
      <c r="L6" s="25">
        <f>52580*12</f>
        <v>630960</v>
      </c>
      <c r="M6" s="25">
        <v>1258128</v>
      </c>
      <c r="N6" s="25">
        <f>63404*12</f>
        <v>760848</v>
      </c>
      <c r="O6" s="25">
        <v>585096</v>
      </c>
      <c r="P6" s="25">
        <v>564696</v>
      </c>
      <c r="Q6" s="18">
        <f t="shared" si="1"/>
        <v>18775284</v>
      </c>
      <c r="R6" s="49"/>
      <c r="S6" s="65"/>
    </row>
    <row r="7" spans="1:19" ht="24.95" customHeight="1">
      <c r="A7" s="14" t="s">
        <v>33</v>
      </c>
      <c r="B7" s="24" t="s">
        <v>34</v>
      </c>
      <c r="C7" s="24" t="s">
        <v>31</v>
      </c>
      <c r="D7" s="45" t="s">
        <v>32</v>
      </c>
      <c r="E7" s="25">
        <f>21494*12+82424</f>
        <v>340352</v>
      </c>
      <c r="F7" s="25">
        <v>1441944</v>
      </c>
      <c r="G7" s="25">
        <v>4819428</v>
      </c>
      <c r="H7" s="25">
        <v>1023204</v>
      </c>
      <c r="I7" s="25">
        <v>2859432</v>
      </c>
      <c r="J7" s="25">
        <v>385620</v>
      </c>
      <c r="K7" s="25">
        <f>29008*12</f>
        <v>348096</v>
      </c>
      <c r="L7" s="25">
        <f>30644*12</f>
        <v>367728</v>
      </c>
      <c r="M7" s="25">
        <v>709332</v>
      </c>
      <c r="N7" s="25">
        <f>60742*12</f>
        <v>728904</v>
      </c>
      <c r="O7" s="25">
        <v>294360</v>
      </c>
      <c r="P7" s="25">
        <v>284592</v>
      </c>
      <c r="Q7" s="18">
        <f t="shared" si="1"/>
        <v>13602992</v>
      </c>
      <c r="R7" s="26"/>
      <c r="S7" s="65"/>
    </row>
    <row r="8" spans="1:19" ht="24.95" customHeight="1">
      <c r="A8" s="14" t="s">
        <v>35</v>
      </c>
      <c r="B8" s="24" t="s">
        <v>36</v>
      </c>
      <c r="C8" s="24"/>
      <c r="D8" s="45" t="s">
        <v>25</v>
      </c>
      <c r="E8" s="18">
        <f>E9+E10</f>
        <v>42927</v>
      </c>
      <c r="F8" s="18">
        <f t="shared" ref="F8:P8" si="4">F9+F10</f>
        <v>545976</v>
      </c>
      <c r="G8" s="18">
        <f t="shared" si="4"/>
        <v>860784</v>
      </c>
      <c r="H8" s="18">
        <f t="shared" si="4"/>
        <v>415248</v>
      </c>
      <c r="I8" s="18">
        <f t="shared" si="4"/>
        <v>917100</v>
      </c>
      <c r="J8" s="18">
        <f t="shared" si="4"/>
        <v>138648</v>
      </c>
      <c r="K8" s="18">
        <f t="shared" si="4"/>
        <v>112200</v>
      </c>
      <c r="L8" s="18">
        <f t="shared" si="4"/>
        <v>133380</v>
      </c>
      <c r="M8" s="18">
        <f t="shared" si="4"/>
        <v>271728</v>
      </c>
      <c r="N8" s="18">
        <f t="shared" si="4"/>
        <v>156036</v>
      </c>
      <c r="O8" s="18">
        <f t="shared" si="4"/>
        <v>127440</v>
      </c>
      <c r="P8" s="18">
        <f t="shared" si="4"/>
        <v>132180</v>
      </c>
      <c r="Q8" s="18">
        <f t="shared" si="1"/>
        <v>3853647</v>
      </c>
      <c r="R8" s="26"/>
      <c r="S8" s="65"/>
    </row>
    <row r="9" spans="1:19" ht="24.95" customHeight="1">
      <c r="A9" s="14" t="s">
        <v>37</v>
      </c>
      <c r="B9" s="24" t="s">
        <v>38</v>
      </c>
      <c r="C9" s="24" t="s">
        <v>31</v>
      </c>
      <c r="D9" s="45" t="s">
        <v>32</v>
      </c>
      <c r="E9" s="25">
        <v>687</v>
      </c>
      <c r="F9" s="25">
        <v>2136</v>
      </c>
      <c r="G9" s="25">
        <v>15984</v>
      </c>
      <c r="H9" s="25">
        <v>3408</v>
      </c>
      <c r="I9" s="25">
        <v>8940</v>
      </c>
      <c r="J9" s="25">
        <v>1368</v>
      </c>
      <c r="K9" s="25">
        <f>110*12</f>
        <v>1320</v>
      </c>
      <c r="L9" s="25">
        <f>115*12</f>
        <v>1380</v>
      </c>
      <c r="M9" s="25">
        <v>2448</v>
      </c>
      <c r="N9" s="25">
        <f>243*12</f>
        <v>2916</v>
      </c>
      <c r="O9" s="25">
        <v>720</v>
      </c>
      <c r="P9" s="25">
        <v>10740</v>
      </c>
      <c r="Q9" s="18">
        <f t="shared" si="1"/>
        <v>52047</v>
      </c>
      <c r="R9" s="26"/>
      <c r="S9" s="65"/>
    </row>
    <row r="10" spans="1:19" ht="24.95" customHeight="1">
      <c r="A10" s="14" t="s">
        <v>39</v>
      </c>
      <c r="B10" s="24" t="s">
        <v>40</v>
      </c>
      <c r="C10" s="24"/>
      <c r="D10" s="45" t="s">
        <v>25</v>
      </c>
      <c r="E10" s="18">
        <f>E11</f>
        <v>42240</v>
      </c>
      <c r="F10" s="18">
        <f t="shared" ref="F10:P10" si="5">F11</f>
        <v>543840</v>
      </c>
      <c r="G10" s="18">
        <f t="shared" si="5"/>
        <v>844800</v>
      </c>
      <c r="H10" s="18">
        <f t="shared" si="5"/>
        <v>411840</v>
      </c>
      <c r="I10" s="18">
        <f t="shared" si="5"/>
        <v>908160</v>
      </c>
      <c r="J10" s="18">
        <f t="shared" si="5"/>
        <v>137280</v>
      </c>
      <c r="K10" s="18">
        <f t="shared" si="5"/>
        <v>110880</v>
      </c>
      <c r="L10" s="18">
        <f t="shared" si="5"/>
        <v>132000</v>
      </c>
      <c r="M10" s="18">
        <f t="shared" si="5"/>
        <v>269280</v>
      </c>
      <c r="N10" s="18">
        <f t="shared" si="5"/>
        <v>153120</v>
      </c>
      <c r="O10" s="18">
        <f t="shared" si="5"/>
        <v>126720</v>
      </c>
      <c r="P10" s="18">
        <f t="shared" si="5"/>
        <v>121440</v>
      </c>
      <c r="Q10" s="18">
        <f t="shared" si="1"/>
        <v>3801600</v>
      </c>
      <c r="R10" s="26"/>
      <c r="S10" s="65"/>
    </row>
    <row r="11" spans="1:19" s="44" customFormat="1" ht="24.95" customHeight="1">
      <c r="A11" s="14" t="s">
        <v>41</v>
      </c>
      <c r="B11" s="43" t="s">
        <v>196</v>
      </c>
      <c r="C11" s="43" t="s">
        <v>31</v>
      </c>
      <c r="D11" s="26" t="s">
        <v>25</v>
      </c>
      <c r="E11" s="18">
        <f>440*12*E61</f>
        <v>42240</v>
      </c>
      <c r="F11" s="18">
        <f t="shared" ref="F11:P11" si="6">440*12*F61</f>
        <v>543840</v>
      </c>
      <c r="G11" s="18">
        <f t="shared" si="6"/>
        <v>844800</v>
      </c>
      <c r="H11" s="18">
        <f t="shared" si="6"/>
        <v>411840</v>
      </c>
      <c r="I11" s="18">
        <f t="shared" si="6"/>
        <v>908160</v>
      </c>
      <c r="J11" s="18">
        <f t="shared" si="6"/>
        <v>137280</v>
      </c>
      <c r="K11" s="18">
        <f t="shared" si="6"/>
        <v>110880</v>
      </c>
      <c r="L11" s="18">
        <f t="shared" si="6"/>
        <v>132000</v>
      </c>
      <c r="M11" s="18">
        <f t="shared" si="6"/>
        <v>269280</v>
      </c>
      <c r="N11" s="18">
        <f t="shared" si="6"/>
        <v>153120</v>
      </c>
      <c r="O11" s="18">
        <f t="shared" si="6"/>
        <v>126720</v>
      </c>
      <c r="P11" s="18">
        <f t="shared" si="6"/>
        <v>121440</v>
      </c>
      <c r="Q11" s="18">
        <f t="shared" si="1"/>
        <v>3801600</v>
      </c>
      <c r="R11" s="26"/>
      <c r="S11" s="65"/>
    </row>
    <row r="12" spans="1:19" ht="24.95" customHeight="1">
      <c r="A12" s="14" t="s">
        <v>43</v>
      </c>
      <c r="B12" s="24" t="s">
        <v>44</v>
      </c>
      <c r="C12" s="24"/>
      <c r="D12" s="45" t="s">
        <v>45</v>
      </c>
      <c r="E12" s="18">
        <f>E13+E14</f>
        <v>17700.91</v>
      </c>
      <c r="F12" s="18">
        <f t="shared" ref="F12:P12" si="7">F13+F14</f>
        <v>184300.56</v>
      </c>
      <c r="G12" s="18">
        <f t="shared" si="7"/>
        <v>311886.28999999998</v>
      </c>
      <c r="H12" s="18">
        <f t="shared" si="7"/>
        <v>147812.97</v>
      </c>
      <c r="I12" s="18">
        <f t="shared" si="7"/>
        <v>317498.98</v>
      </c>
      <c r="J12" s="18">
        <f t="shared" si="7"/>
        <v>45922.46</v>
      </c>
      <c r="K12" s="18">
        <f t="shared" si="7"/>
        <v>35154</v>
      </c>
      <c r="L12" s="18">
        <f t="shared" si="7"/>
        <v>40699.870000000003</v>
      </c>
      <c r="M12" s="18">
        <f t="shared" si="7"/>
        <v>80091.929999999993</v>
      </c>
      <c r="N12" s="18">
        <f t="shared" si="7"/>
        <v>48907.15</v>
      </c>
      <c r="O12" s="18">
        <f t="shared" si="7"/>
        <v>37656.43</v>
      </c>
      <c r="P12" s="18">
        <f t="shared" si="7"/>
        <v>35902.22</v>
      </c>
      <c r="Q12" s="18">
        <f t="shared" si="1"/>
        <v>1303533.7699999998</v>
      </c>
      <c r="R12" s="26"/>
      <c r="S12" s="65"/>
    </row>
    <row r="13" spans="1:19" s="44" customFormat="1" ht="24.95" customHeight="1">
      <c r="A13" s="14" t="s">
        <v>46</v>
      </c>
      <c r="B13" s="43" t="s">
        <v>197</v>
      </c>
      <c r="C13" s="43" t="s">
        <v>31</v>
      </c>
      <c r="D13" s="26" t="s">
        <v>48</v>
      </c>
      <c r="E13" s="18">
        <f>ROUND(E29/0.07*0.00256,2)</f>
        <v>5993.91</v>
      </c>
      <c r="F13" s="18">
        <f t="shared" ref="F13:P13" si="8">ROUND(F29/0.07*0.00256,2)</f>
        <v>62408.56</v>
      </c>
      <c r="G13" s="18">
        <f t="shared" si="8"/>
        <v>105612.29</v>
      </c>
      <c r="H13" s="18">
        <f t="shared" si="8"/>
        <v>50052.97</v>
      </c>
      <c r="I13" s="18">
        <f t="shared" si="8"/>
        <v>107512.98</v>
      </c>
      <c r="J13" s="18">
        <f t="shared" si="8"/>
        <v>15550.46</v>
      </c>
      <c r="K13" s="18">
        <f t="shared" si="8"/>
        <v>11904</v>
      </c>
      <c r="L13" s="18">
        <f t="shared" si="8"/>
        <v>13781.87</v>
      </c>
      <c r="M13" s="18">
        <f t="shared" si="8"/>
        <v>27120.93</v>
      </c>
      <c r="N13" s="18">
        <f t="shared" si="8"/>
        <v>16561.150000000001</v>
      </c>
      <c r="O13" s="18">
        <f t="shared" si="8"/>
        <v>12751.43</v>
      </c>
      <c r="P13" s="18">
        <f t="shared" si="8"/>
        <v>12157.22</v>
      </c>
      <c r="Q13" s="18">
        <f t="shared" si="1"/>
        <v>441407.77</v>
      </c>
      <c r="R13" s="26"/>
      <c r="S13" s="65"/>
    </row>
    <row r="14" spans="1:19" s="44" customFormat="1" ht="24.95" customHeight="1">
      <c r="A14" s="14" t="s">
        <v>49</v>
      </c>
      <c r="B14" s="43" t="s">
        <v>198</v>
      </c>
      <c r="C14" s="43" t="s">
        <v>31</v>
      </c>
      <c r="D14" s="26" t="s">
        <v>48</v>
      </c>
      <c r="E14" s="18">
        <f>ROUND(E29/0.07*0.005,0)</f>
        <v>11707</v>
      </c>
      <c r="F14" s="18">
        <f t="shared" ref="F14:P14" si="9">ROUND(F29/0.07*0.005,0)</f>
        <v>121892</v>
      </c>
      <c r="G14" s="18">
        <f t="shared" si="9"/>
        <v>206274</v>
      </c>
      <c r="H14" s="18">
        <f t="shared" si="9"/>
        <v>97760</v>
      </c>
      <c r="I14" s="18">
        <f t="shared" si="9"/>
        <v>209986</v>
      </c>
      <c r="J14" s="18">
        <f t="shared" si="9"/>
        <v>30372</v>
      </c>
      <c r="K14" s="18">
        <f t="shared" si="9"/>
        <v>23250</v>
      </c>
      <c r="L14" s="18">
        <f t="shared" si="9"/>
        <v>26918</v>
      </c>
      <c r="M14" s="18">
        <f t="shared" si="9"/>
        <v>52971</v>
      </c>
      <c r="N14" s="18">
        <f t="shared" si="9"/>
        <v>32346</v>
      </c>
      <c r="O14" s="18">
        <f t="shared" si="9"/>
        <v>24905</v>
      </c>
      <c r="P14" s="18">
        <f t="shared" si="9"/>
        <v>23745</v>
      </c>
      <c r="Q14" s="18">
        <f t="shared" si="1"/>
        <v>862126</v>
      </c>
      <c r="R14" s="26"/>
      <c r="S14" s="65"/>
    </row>
    <row r="15" spans="1:19" ht="24.95" customHeight="1">
      <c r="A15" s="14" t="s">
        <v>51</v>
      </c>
      <c r="B15" s="24" t="s">
        <v>52</v>
      </c>
      <c r="C15" s="24"/>
      <c r="D15" s="45" t="s">
        <v>25</v>
      </c>
      <c r="E15" s="18">
        <f>E16+E17+E18+E19</f>
        <v>1613600</v>
      </c>
      <c r="F15" s="18">
        <f t="shared" ref="F15:P15" si="10">F16+F17+F18+F19</f>
        <v>22381900</v>
      </c>
      <c r="G15" s="18">
        <f t="shared" si="10"/>
        <v>34768000</v>
      </c>
      <c r="H15" s="18">
        <f t="shared" si="10"/>
        <v>16949400</v>
      </c>
      <c r="I15" s="18">
        <f t="shared" si="10"/>
        <v>37375600</v>
      </c>
      <c r="J15" s="18">
        <f t="shared" si="10"/>
        <v>4955600</v>
      </c>
      <c r="K15" s="18">
        <f t="shared" si="10"/>
        <v>4002600</v>
      </c>
      <c r="L15" s="18">
        <f t="shared" si="10"/>
        <v>4765000</v>
      </c>
      <c r="M15" s="18">
        <f t="shared" si="10"/>
        <v>9720600</v>
      </c>
      <c r="N15" s="18">
        <f t="shared" si="10"/>
        <v>5527400</v>
      </c>
      <c r="O15" s="18">
        <f t="shared" si="10"/>
        <v>4574400</v>
      </c>
      <c r="P15" s="18">
        <f t="shared" si="10"/>
        <v>4383800</v>
      </c>
      <c r="Q15" s="18">
        <f t="shared" si="1"/>
        <v>151017900</v>
      </c>
      <c r="R15" s="26"/>
      <c r="S15" s="65"/>
    </row>
    <row r="16" spans="1:19" ht="24.95" customHeight="1">
      <c r="A16" s="14" t="s">
        <v>53</v>
      </c>
      <c r="B16" s="15" t="s">
        <v>54</v>
      </c>
      <c r="C16" s="15" t="s">
        <v>31</v>
      </c>
      <c r="D16" s="16" t="s">
        <v>199</v>
      </c>
      <c r="E16" s="17">
        <v>1565600</v>
      </c>
      <c r="F16" s="17">
        <v>20655640</v>
      </c>
      <c r="G16" s="17">
        <v>31621380</v>
      </c>
      <c r="H16" s="17">
        <v>15424048</v>
      </c>
      <c r="I16" s="17">
        <v>34151358</v>
      </c>
      <c r="J16" s="17">
        <v>4548844</v>
      </c>
      <c r="K16" s="17">
        <v>3637084</v>
      </c>
      <c r="L16" s="17">
        <v>4374284</v>
      </c>
      <c r="M16" s="17">
        <v>9153775</v>
      </c>
      <c r="N16" s="17">
        <v>5121924</v>
      </c>
      <c r="O16" s="17">
        <v>4188124</v>
      </c>
      <c r="P16" s="17">
        <v>4006608</v>
      </c>
      <c r="Q16" s="18">
        <f t="shared" si="1"/>
        <v>138448669</v>
      </c>
      <c r="R16" s="16"/>
      <c r="S16" s="65"/>
    </row>
    <row r="17" spans="1:19" ht="24.95" customHeight="1">
      <c r="A17" s="14" t="s">
        <v>56</v>
      </c>
      <c r="B17" s="15" t="s">
        <v>57</v>
      </c>
      <c r="C17" s="15" t="s">
        <v>31</v>
      </c>
      <c r="D17" s="16" t="s">
        <v>58</v>
      </c>
      <c r="E17" s="17"/>
      <c r="F17" s="17">
        <v>78260</v>
      </c>
      <c r="G17" s="17">
        <v>586620</v>
      </c>
      <c r="H17" s="17">
        <v>277352</v>
      </c>
      <c r="I17" s="25">
        <v>472242</v>
      </c>
      <c r="J17" s="17">
        <v>250756</v>
      </c>
      <c r="K17" s="17">
        <v>239516</v>
      </c>
      <c r="L17" s="17">
        <v>240716</v>
      </c>
      <c r="M17" s="17">
        <v>260825</v>
      </c>
      <c r="N17" s="17">
        <v>231476</v>
      </c>
      <c r="O17" s="17">
        <v>242276</v>
      </c>
      <c r="P17" s="17">
        <v>239192</v>
      </c>
      <c r="Q17" s="18">
        <f t="shared" si="1"/>
        <v>3119231</v>
      </c>
      <c r="R17" s="16"/>
      <c r="S17" s="65"/>
    </row>
    <row r="18" spans="1:19" ht="24.95" customHeight="1">
      <c r="A18" s="14" t="s">
        <v>59</v>
      </c>
      <c r="B18" s="15" t="s">
        <v>200</v>
      </c>
      <c r="C18" s="15" t="s">
        <v>31</v>
      </c>
      <c r="D18" s="45" t="s">
        <v>25</v>
      </c>
      <c r="E18" s="50">
        <f>E61*500*12</f>
        <v>48000</v>
      </c>
      <c r="F18" s="50">
        <f t="shared" ref="F18:P18" si="11">F61*500*12</f>
        <v>618000</v>
      </c>
      <c r="G18" s="50">
        <f t="shared" si="11"/>
        <v>960000</v>
      </c>
      <c r="H18" s="50">
        <f t="shared" si="11"/>
        <v>468000</v>
      </c>
      <c r="I18" s="50">
        <f t="shared" si="11"/>
        <v>1032000</v>
      </c>
      <c r="J18" s="50">
        <f t="shared" si="11"/>
        <v>156000</v>
      </c>
      <c r="K18" s="50">
        <f t="shared" si="11"/>
        <v>126000</v>
      </c>
      <c r="L18" s="50">
        <f t="shared" si="11"/>
        <v>150000</v>
      </c>
      <c r="M18" s="50">
        <f t="shared" si="11"/>
        <v>306000</v>
      </c>
      <c r="N18" s="50">
        <f t="shared" si="11"/>
        <v>174000</v>
      </c>
      <c r="O18" s="50">
        <f t="shared" si="11"/>
        <v>144000</v>
      </c>
      <c r="P18" s="50">
        <f t="shared" si="11"/>
        <v>138000</v>
      </c>
      <c r="Q18" s="18">
        <f t="shared" si="1"/>
        <v>4320000</v>
      </c>
      <c r="R18" s="16"/>
      <c r="S18" s="65"/>
    </row>
    <row r="19" spans="1:19" ht="24.95" customHeight="1">
      <c r="A19" s="14" t="s">
        <v>61</v>
      </c>
      <c r="B19" s="15" t="s">
        <v>201</v>
      </c>
      <c r="C19" s="15" t="s">
        <v>31</v>
      </c>
      <c r="D19" s="45" t="s">
        <v>32</v>
      </c>
      <c r="E19" s="17"/>
      <c r="F19" s="17">
        <f>10000*F61</f>
        <v>1030000</v>
      </c>
      <c r="G19" s="17">
        <f>10000*G61</f>
        <v>1600000</v>
      </c>
      <c r="H19" s="17">
        <f t="shared" ref="H19:I19" si="12">10000*H61</f>
        <v>780000</v>
      </c>
      <c r="I19" s="17">
        <f t="shared" si="12"/>
        <v>1720000</v>
      </c>
      <c r="J19" s="17"/>
      <c r="K19" s="17"/>
      <c r="L19" s="17"/>
      <c r="M19" s="17"/>
      <c r="N19" s="17"/>
      <c r="O19" s="17"/>
      <c r="P19" s="17"/>
      <c r="Q19" s="18">
        <f t="shared" si="1"/>
        <v>5130000</v>
      </c>
      <c r="R19" s="16"/>
      <c r="S19" s="65"/>
    </row>
    <row r="20" spans="1:19" ht="24.95" customHeight="1">
      <c r="A20" s="14" t="s">
        <v>63</v>
      </c>
      <c r="B20" s="24" t="s">
        <v>64</v>
      </c>
      <c r="C20" s="24"/>
      <c r="D20" s="16" t="s">
        <v>25</v>
      </c>
      <c r="E20" s="50">
        <f>E21+E22</f>
        <v>327792</v>
      </c>
      <c r="F20" s="50">
        <f t="shared" ref="F20:P20" si="13">F21+F22</f>
        <v>3412968.01</v>
      </c>
      <c r="G20" s="50">
        <f t="shared" si="13"/>
        <v>5775672</v>
      </c>
      <c r="H20" s="50">
        <f t="shared" si="13"/>
        <v>2737272.01</v>
      </c>
      <c r="I20" s="50">
        <f t="shared" si="13"/>
        <v>5879615.9900000002</v>
      </c>
      <c r="J20" s="50">
        <f t="shared" si="13"/>
        <v>850416</v>
      </c>
      <c r="K20" s="50">
        <f t="shared" si="13"/>
        <v>651000</v>
      </c>
      <c r="L20" s="50">
        <f t="shared" si="13"/>
        <v>753696.01</v>
      </c>
      <c r="M20" s="50">
        <f t="shared" si="13"/>
        <v>1483176.01</v>
      </c>
      <c r="N20" s="50">
        <f t="shared" si="13"/>
        <v>905688</v>
      </c>
      <c r="O20" s="50">
        <f t="shared" si="13"/>
        <v>697344</v>
      </c>
      <c r="P20" s="50">
        <f t="shared" si="13"/>
        <v>664848.01</v>
      </c>
      <c r="Q20" s="18">
        <f t="shared" si="1"/>
        <v>24139488.040000003</v>
      </c>
      <c r="R20" s="16"/>
      <c r="S20" s="65"/>
    </row>
    <row r="21" spans="1:19" ht="24.95" customHeight="1">
      <c r="A21" s="14" t="s">
        <v>65</v>
      </c>
      <c r="B21" s="24" t="s">
        <v>202</v>
      </c>
      <c r="C21" s="24" t="s">
        <v>67</v>
      </c>
      <c r="D21" s="16" t="s">
        <v>25</v>
      </c>
      <c r="E21" s="50">
        <f>ROUND(E29/0.07*0.1,2)</f>
        <v>234137.14</v>
      </c>
      <c r="F21" s="50">
        <f t="shared" ref="F21:P21" si="14">ROUND(F29/0.07*0.1,2)</f>
        <v>2437834.29</v>
      </c>
      <c r="G21" s="50">
        <f t="shared" si="14"/>
        <v>4125480</v>
      </c>
      <c r="H21" s="50">
        <f t="shared" si="14"/>
        <v>1955194.29</v>
      </c>
      <c r="I21" s="50">
        <f t="shared" si="14"/>
        <v>4199725.71</v>
      </c>
      <c r="J21" s="50">
        <f t="shared" si="14"/>
        <v>607440</v>
      </c>
      <c r="K21" s="50">
        <f t="shared" si="14"/>
        <v>465000</v>
      </c>
      <c r="L21" s="50">
        <f t="shared" si="14"/>
        <v>538354.29</v>
      </c>
      <c r="M21" s="50">
        <f t="shared" si="14"/>
        <v>1059411.43</v>
      </c>
      <c r="N21" s="50">
        <f t="shared" si="14"/>
        <v>646920</v>
      </c>
      <c r="O21" s="50">
        <f t="shared" si="14"/>
        <v>498102.86</v>
      </c>
      <c r="P21" s="50">
        <f t="shared" si="14"/>
        <v>474891.43</v>
      </c>
      <c r="Q21" s="18">
        <f t="shared" si="1"/>
        <v>17242491.439999998</v>
      </c>
      <c r="R21" s="16"/>
      <c r="S21" s="65"/>
    </row>
    <row r="22" spans="1:19" ht="24.95" customHeight="1">
      <c r="A22" s="14" t="s">
        <v>68</v>
      </c>
      <c r="B22" s="24" t="s">
        <v>203</v>
      </c>
      <c r="C22" s="24" t="s">
        <v>67</v>
      </c>
      <c r="D22" s="16" t="s">
        <v>48</v>
      </c>
      <c r="E22" s="50">
        <f>E23+E24</f>
        <v>93654.86</v>
      </c>
      <c r="F22" s="50">
        <f t="shared" ref="F22:P22" si="15">F23+F24</f>
        <v>975133.72</v>
      </c>
      <c r="G22" s="50">
        <f t="shared" si="15"/>
        <v>1650192</v>
      </c>
      <c r="H22" s="50">
        <f t="shared" si="15"/>
        <v>782077.72</v>
      </c>
      <c r="I22" s="50">
        <f t="shared" si="15"/>
        <v>1679890.28</v>
      </c>
      <c r="J22" s="50">
        <f t="shared" si="15"/>
        <v>242976</v>
      </c>
      <c r="K22" s="50">
        <f t="shared" si="15"/>
        <v>186000</v>
      </c>
      <c r="L22" s="50">
        <f t="shared" si="15"/>
        <v>215341.72</v>
      </c>
      <c r="M22" s="50">
        <f t="shared" si="15"/>
        <v>423764.58</v>
      </c>
      <c r="N22" s="50">
        <f t="shared" si="15"/>
        <v>258768</v>
      </c>
      <c r="O22" s="50">
        <f t="shared" si="15"/>
        <v>199241.14</v>
      </c>
      <c r="P22" s="50">
        <f t="shared" si="15"/>
        <v>189956.58</v>
      </c>
      <c r="Q22" s="18">
        <f t="shared" si="1"/>
        <v>6896996.5999999996</v>
      </c>
      <c r="R22" s="16"/>
      <c r="S22" s="65"/>
    </row>
    <row r="23" spans="1:19" ht="24.95" customHeight="1">
      <c r="A23" s="14" t="s">
        <v>70</v>
      </c>
      <c r="B23" s="24" t="s">
        <v>71</v>
      </c>
      <c r="C23" s="24" t="s">
        <v>67</v>
      </c>
      <c r="D23" s="16" t="s">
        <v>48</v>
      </c>
      <c r="E23" s="50">
        <f>ROUND(E29/0.07*0.02,2)</f>
        <v>46827.43</v>
      </c>
      <c r="F23" s="50">
        <f t="shared" ref="F23:P23" si="16">ROUND(F29/0.07*0.02,2)</f>
        <v>487566.86</v>
      </c>
      <c r="G23" s="50">
        <f t="shared" si="16"/>
        <v>825096</v>
      </c>
      <c r="H23" s="50">
        <f t="shared" si="16"/>
        <v>391038.86</v>
      </c>
      <c r="I23" s="50">
        <f t="shared" si="16"/>
        <v>839945.14</v>
      </c>
      <c r="J23" s="50">
        <f t="shared" si="16"/>
        <v>121488</v>
      </c>
      <c r="K23" s="50">
        <f t="shared" si="16"/>
        <v>93000</v>
      </c>
      <c r="L23" s="50">
        <f t="shared" si="16"/>
        <v>107670.86</v>
      </c>
      <c r="M23" s="50">
        <f t="shared" si="16"/>
        <v>211882.29</v>
      </c>
      <c r="N23" s="50">
        <f t="shared" si="16"/>
        <v>129384</v>
      </c>
      <c r="O23" s="50">
        <f t="shared" si="16"/>
        <v>99620.57</v>
      </c>
      <c r="P23" s="50">
        <f t="shared" si="16"/>
        <v>94978.29</v>
      </c>
      <c r="Q23" s="18">
        <f t="shared" si="1"/>
        <v>3448498.3</v>
      </c>
      <c r="R23" s="16"/>
      <c r="S23" s="65"/>
    </row>
    <row r="24" spans="1:19" ht="24.95" customHeight="1">
      <c r="A24" s="14" t="s">
        <v>72</v>
      </c>
      <c r="B24" s="24" t="s">
        <v>73</v>
      </c>
      <c r="C24" s="24" t="s">
        <v>67</v>
      </c>
      <c r="D24" s="16" t="s">
        <v>48</v>
      </c>
      <c r="E24" s="50">
        <f>ROUND(E29/0.07*0.02,2)</f>
        <v>46827.43</v>
      </c>
      <c r="F24" s="50">
        <f t="shared" ref="F24:P24" si="17">ROUND(F29/0.07*0.02,2)</f>
        <v>487566.86</v>
      </c>
      <c r="G24" s="50">
        <f t="shared" si="17"/>
        <v>825096</v>
      </c>
      <c r="H24" s="50">
        <f t="shared" si="17"/>
        <v>391038.86</v>
      </c>
      <c r="I24" s="50">
        <f t="shared" si="17"/>
        <v>839945.14</v>
      </c>
      <c r="J24" s="50">
        <f t="shared" si="17"/>
        <v>121488</v>
      </c>
      <c r="K24" s="50">
        <f t="shared" si="17"/>
        <v>93000</v>
      </c>
      <c r="L24" s="50">
        <f t="shared" si="17"/>
        <v>107670.86</v>
      </c>
      <c r="M24" s="50">
        <f t="shared" si="17"/>
        <v>211882.29</v>
      </c>
      <c r="N24" s="50">
        <f t="shared" si="17"/>
        <v>129384</v>
      </c>
      <c r="O24" s="50">
        <f t="shared" si="17"/>
        <v>99620.57</v>
      </c>
      <c r="P24" s="50">
        <f t="shared" si="17"/>
        <v>94978.29</v>
      </c>
      <c r="Q24" s="18">
        <f t="shared" si="1"/>
        <v>3448498.3</v>
      </c>
      <c r="R24" s="16"/>
      <c r="S24" s="65"/>
    </row>
    <row r="25" spans="1:19" ht="24.95" customHeight="1">
      <c r="A25" s="14" t="s">
        <v>74</v>
      </c>
      <c r="B25" s="24" t="s">
        <v>75</v>
      </c>
      <c r="C25" s="24"/>
      <c r="D25" s="45" t="s">
        <v>25</v>
      </c>
      <c r="E25" s="18">
        <f t="shared" ref="E25:P25" si="18">E26</f>
        <v>374619.43</v>
      </c>
      <c r="F25" s="18">
        <f t="shared" si="18"/>
        <v>3900534.86</v>
      </c>
      <c r="G25" s="18">
        <f t="shared" si="18"/>
        <v>6600768</v>
      </c>
      <c r="H25" s="18">
        <f t="shared" si="18"/>
        <v>3128310.86</v>
      </c>
      <c r="I25" s="18">
        <f t="shared" si="18"/>
        <v>6719561.1399999997</v>
      </c>
      <c r="J25" s="18">
        <f t="shared" si="18"/>
        <v>971904</v>
      </c>
      <c r="K25" s="18">
        <f t="shared" si="18"/>
        <v>744000</v>
      </c>
      <c r="L25" s="18">
        <f t="shared" si="18"/>
        <v>861366.86</v>
      </c>
      <c r="M25" s="18">
        <f t="shared" si="18"/>
        <v>1695058.29</v>
      </c>
      <c r="N25" s="18">
        <f t="shared" si="18"/>
        <v>1035072</v>
      </c>
      <c r="O25" s="18">
        <f t="shared" si="18"/>
        <v>796964.57</v>
      </c>
      <c r="P25" s="18">
        <f t="shared" si="18"/>
        <v>759826.29</v>
      </c>
      <c r="Q25" s="18">
        <f t="shared" si="1"/>
        <v>27587986.299999997</v>
      </c>
      <c r="R25" s="26"/>
      <c r="S25" s="65"/>
    </row>
    <row r="26" spans="1:19" s="44" customFormat="1" ht="24.95" customHeight="1">
      <c r="A26" s="14" t="s">
        <v>76</v>
      </c>
      <c r="B26" s="43" t="s">
        <v>204</v>
      </c>
      <c r="C26" s="43" t="s">
        <v>78</v>
      </c>
      <c r="D26" s="26" t="s">
        <v>48</v>
      </c>
      <c r="E26" s="18">
        <f>ROUND(E29/0.07*0.16,2)</f>
        <v>374619.43</v>
      </c>
      <c r="F26" s="18">
        <f t="shared" ref="F26:P26" si="19">ROUND(F29/0.07*0.16,2)</f>
        <v>3900534.86</v>
      </c>
      <c r="G26" s="18">
        <f t="shared" si="19"/>
        <v>6600768</v>
      </c>
      <c r="H26" s="18">
        <f t="shared" si="19"/>
        <v>3128310.86</v>
      </c>
      <c r="I26" s="18">
        <f t="shared" si="19"/>
        <v>6719561.1399999997</v>
      </c>
      <c r="J26" s="18">
        <f t="shared" si="19"/>
        <v>971904</v>
      </c>
      <c r="K26" s="18">
        <f t="shared" si="19"/>
        <v>744000</v>
      </c>
      <c r="L26" s="18">
        <f t="shared" si="19"/>
        <v>861366.86</v>
      </c>
      <c r="M26" s="18">
        <f t="shared" si="19"/>
        <v>1695058.29</v>
      </c>
      <c r="N26" s="18">
        <f t="shared" si="19"/>
        <v>1035072</v>
      </c>
      <c r="O26" s="18">
        <f t="shared" si="19"/>
        <v>796964.57</v>
      </c>
      <c r="P26" s="18">
        <f t="shared" si="19"/>
        <v>759826.29</v>
      </c>
      <c r="Q26" s="18">
        <f t="shared" si="1"/>
        <v>27587986.299999997</v>
      </c>
      <c r="R26" s="26"/>
      <c r="S26" s="65"/>
    </row>
    <row r="27" spans="1:19" ht="24.95" customHeight="1">
      <c r="A27" s="14" t="s">
        <v>79</v>
      </c>
      <c r="B27" s="24" t="s">
        <v>80</v>
      </c>
      <c r="C27" s="24"/>
      <c r="D27" s="45" t="s">
        <v>25</v>
      </c>
      <c r="E27" s="18">
        <f t="shared" ref="E27:P27" si="20">E28</f>
        <v>187309.71</v>
      </c>
      <c r="F27" s="18">
        <f t="shared" si="20"/>
        <v>1950267.43</v>
      </c>
      <c r="G27" s="18">
        <f t="shared" si="20"/>
        <v>3300384</v>
      </c>
      <c r="H27" s="18">
        <f t="shared" si="20"/>
        <v>1564155.43</v>
      </c>
      <c r="I27" s="18">
        <f t="shared" si="20"/>
        <v>3359780.57</v>
      </c>
      <c r="J27" s="18">
        <f t="shared" si="20"/>
        <v>485952</v>
      </c>
      <c r="K27" s="18">
        <f t="shared" si="20"/>
        <v>372000</v>
      </c>
      <c r="L27" s="18">
        <f t="shared" si="20"/>
        <v>430683.43</v>
      </c>
      <c r="M27" s="18">
        <f t="shared" si="20"/>
        <v>847529.14</v>
      </c>
      <c r="N27" s="18">
        <f t="shared" si="20"/>
        <v>517536</v>
      </c>
      <c r="O27" s="18">
        <f t="shared" si="20"/>
        <v>398482.29</v>
      </c>
      <c r="P27" s="18">
        <f t="shared" si="20"/>
        <v>379913.14</v>
      </c>
      <c r="Q27" s="18">
        <f t="shared" si="1"/>
        <v>13793993.140000001</v>
      </c>
      <c r="R27" s="26"/>
      <c r="S27" s="65"/>
    </row>
    <row r="28" spans="1:19" s="44" customFormat="1" ht="24.95" customHeight="1">
      <c r="A28" s="14" t="s">
        <v>81</v>
      </c>
      <c r="B28" s="43" t="s">
        <v>82</v>
      </c>
      <c r="C28" s="43" t="s">
        <v>83</v>
      </c>
      <c r="D28" s="26" t="s">
        <v>48</v>
      </c>
      <c r="E28" s="18">
        <f>ROUND(E29/0.07*0.08,2)</f>
        <v>187309.71</v>
      </c>
      <c r="F28" s="18">
        <f t="shared" ref="F28:P28" si="21">ROUND(F29/0.07*0.08,2)</f>
        <v>1950267.43</v>
      </c>
      <c r="G28" s="18">
        <f t="shared" si="21"/>
        <v>3300384</v>
      </c>
      <c r="H28" s="18">
        <f t="shared" si="21"/>
        <v>1564155.43</v>
      </c>
      <c r="I28" s="18">
        <f t="shared" si="21"/>
        <v>3359780.57</v>
      </c>
      <c r="J28" s="18">
        <f t="shared" si="21"/>
        <v>485952</v>
      </c>
      <c r="K28" s="18">
        <f t="shared" si="21"/>
        <v>372000</v>
      </c>
      <c r="L28" s="18">
        <f t="shared" si="21"/>
        <v>430683.43</v>
      </c>
      <c r="M28" s="18">
        <f t="shared" si="21"/>
        <v>847529.14</v>
      </c>
      <c r="N28" s="18">
        <f t="shared" si="21"/>
        <v>517536</v>
      </c>
      <c r="O28" s="18">
        <f t="shared" si="21"/>
        <v>398482.29</v>
      </c>
      <c r="P28" s="18">
        <f t="shared" si="21"/>
        <v>379913.14</v>
      </c>
      <c r="Q28" s="18">
        <f t="shared" si="1"/>
        <v>13793993.140000001</v>
      </c>
      <c r="R28" s="26"/>
      <c r="S28" s="65"/>
    </row>
    <row r="29" spans="1:19" ht="24.95" customHeight="1">
      <c r="A29" s="14" t="s">
        <v>84</v>
      </c>
      <c r="B29" s="24" t="s">
        <v>205</v>
      </c>
      <c r="C29" s="24" t="s">
        <v>86</v>
      </c>
      <c r="D29" s="45" t="s">
        <v>206</v>
      </c>
      <c r="E29" s="17">
        <v>163896</v>
      </c>
      <c r="F29" s="17">
        <v>1706484</v>
      </c>
      <c r="G29" s="17">
        <v>2887836</v>
      </c>
      <c r="H29" s="17">
        <v>1368636</v>
      </c>
      <c r="I29" s="17">
        <v>2939808</v>
      </c>
      <c r="J29" s="17">
        <v>425208</v>
      </c>
      <c r="K29" s="17">
        <f>27125*12</f>
        <v>325500</v>
      </c>
      <c r="L29" s="17">
        <f>31404*12</f>
        <v>376848</v>
      </c>
      <c r="M29" s="17">
        <v>741588</v>
      </c>
      <c r="N29" s="17">
        <f>37737*12</f>
        <v>452844</v>
      </c>
      <c r="O29" s="17">
        <v>348672</v>
      </c>
      <c r="P29" s="17">
        <v>332424</v>
      </c>
      <c r="Q29" s="18">
        <f t="shared" si="1"/>
        <v>12069744</v>
      </c>
      <c r="R29" s="16"/>
      <c r="S29" s="65"/>
    </row>
    <row r="30" spans="1:19" ht="24.95" customHeight="1">
      <c r="A30" s="14" t="s">
        <v>88</v>
      </c>
      <c r="B30" s="24" t="s">
        <v>207</v>
      </c>
      <c r="C30" s="15" t="s">
        <v>31</v>
      </c>
      <c r="D30" s="26" t="s">
        <v>208</v>
      </c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8">
        <f t="shared" si="1"/>
        <v>0</v>
      </c>
      <c r="R30" s="16"/>
      <c r="S30" s="65"/>
    </row>
    <row r="31" spans="1:19" ht="24.95" customHeight="1">
      <c r="A31" s="14" t="s">
        <v>91</v>
      </c>
      <c r="B31" s="24" t="s">
        <v>92</v>
      </c>
      <c r="C31" s="24"/>
      <c r="D31" s="45" t="s">
        <v>25</v>
      </c>
      <c r="E31" s="18">
        <f>E32+E34+E36</f>
        <v>190790</v>
      </c>
      <c r="F31" s="18">
        <f t="shared" ref="F31:P31" si="22">F32+F34+F36</f>
        <v>33360</v>
      </c>
      <c r="G31" s="18">
        <f t="shared" si="22"/>
        <v>3176760</v>
      </c>
      <c r="H31" s="18">
        <f t="shared" si="22"/>
        <v>36720</v>
      </c>
      <c r="I31" s="18">
        <f t="shared" si="22"/>
        <v>535500</v>
      </c>
      <c r="J31" s="18">
        <f t="shared" si="22"/>
        <v>360</v>
      </c>
      <c r="K31" s="18">
        <f t="shared" si="22"/>
        <v>36540</v>
      </c>
      <c r="L31" s="18">
        <f t="shared" si="22"/>
        <v>1830</v>
      </c>
      <c r="M31" s="18">
        <f t="shared" si="22"/>
        <v>2010</v>
      </c>
      <c r="N31" s="18">
        <f t="shared" si="22"/>
        <v>243780</v>
      </c>
      <c r="O31" s="18">
        <f t="shared" si="22"/>
        <v>510</v>
      </c>
      <c r="P31" s="18">
        <f t="shared" si="22"/>
        <v>2520</v>
      </c>
      <c r="Q31" s="18">
        <f t="shared" si="1"/>
        <v>4260680</v>
      </c>
      <c r="R31" s="26"/>
      <c r="S31" s="65"/>
    </row>
    <row r="32" spans="1:19" ht="24.95" customHeight="1">
      <c r="A32" s="14" t="s">
        <v>93</v>
      </c>
      <c r="B32" s="24" t="s">
        <v>209</v>
      </c>
      <c r="C32" s="24" t="s">
        <v>95</v>
      </c>
      <c r="D32" s="16" t="s">
        <v>210</v>
      </c>
      <c r="E32" s="50">
        <f>E33</f>
        <v>190430</v>
      </c>
      <c r="F32" s="50">
        <f t="shared" ref="F32:P32" si="23">F33</f>
        <v>32280</v>
      </c>
      <c r="G32" s="50">
        <f t="shared" si="23"/>
        <v>3171000</v>
      </c>
      <c r="H32" s="50">
        <f t="shared" si="23"/>
        <v>35280</v>
      </c>
      <c r="I32" s="50">
        <f t="shared" si="23"/>
        <v>529920</v>
      </c>
      <c r="J32" s="50">
        <f t="shared" si="23"/>
        <v>0</v>
      </c>
      <c r="K32" s="50">
        <f t="shared" si="23"/>
        <v>34740</v>
      </c>
      <c r="L32" s="50">
        <f t="shared" si="23"/>
        <v>0</v>
      </c>
      <c r="M32" s="50">
        <f t="shared" si="23"/>
        <v>0</v>
      </c>
      <c r="N32" s="50">
        <f t="shared" si="23"/>
        <v>240900</v>
      </c>
      <c r="O32" s="50">
        <f t="shared" si="23"/>
        <v>0</v>
      </c>
      <c r="P32" s="50">
        <f t="shared" si="23"/>
        <v>0</v>
      </c>
      <c r="Q32" s="18">
        <f t="shared" si="1"/>
        <v>4234550</v>
      </c>
      <c r="R32" s="16"/>
      <c r="S32" s="65"/>
    </row>
    <row r="33" spans="1:19" ht="24.95" customHeight="1">
      <c r="A33" s="14" t="s">
        <v>97</v>
      </c>
      <c r="B33" s="24" t="s">
        <v>211</v>
      </c>
      <c r="C33" s="24" t="s">
        <v>95</v>
      </c>
      <c r="D33" s="16" t="s">
        <v>210</v>
      </c>
      <c r="E33" s="25">
        <f>237380-46950</f>
        <v>190430</v>
      </c>
      <c r="F33" s="25">
        <f>40350-8070</f>
        <v>32280</v>
      </c>
      <c r="G33" s="25">
        <v>3171000</v>
      </c>
      <c r="H33" s="25">
        <f>44100-8820</f>
        <v>35280</v>
      </c>
      <c r="I33" s="17">
        <f>44160*12</f>
        <v>529920</v>
      </c>
      <c r="J33" s="25"/>
      <c r="K33" s="25">
        <v>34740</v>
      </c>
      <c r="L33" s="25"/>
      <c r="M33" s="25"/>
      <c r="N33" s="25">
        <v>240900</v>
      </c>
      <c r="O33" s="25"/>
      <c r="P33" s="25"/>
      <c r="Q33" s="18">
        <f t="shared" si="1"/>
        <v>4234550</v>
      </c>
      <c r="R33" s="26"/>
      <c r="S33" s="65"/>
    </row>
    <row r="34" spans="1:19" ht="24.95" customHeight="1">
      <c r="A34" s="14" t="s">
        <v>99</v>
      </c>
      <c r="B34" s="24" t="s">
        <v>100</v>
      </c>
      <c r="C34" s="24"/>
      <c r="D34" s="45" t="s">
        <v>25</v>
      </c>
      <c r="E34" s="18">
        <f>E35</f>
        <v>360</v>
      </c>
      <c r="F34" s="18">
        <f t="shared" ref="F34:P34" si="24">F35</f>
        <v>1080</v>
      </c>
      <c r="G34" s="18">
        <f t="shared" si="24"/>
        <v>5760</v>
      </c>
      <c r="H34" s="18">
        <f t="shared" si="24"/>
        <v>1440</v>
      </c>
      <c r="I34" s="18">
        <f t="shared" si="24"/>
        <v>5580</v>
      </c>
      <c r="J34" s="18">
        <f t="shared" si="24"/>
        <v>360</v>
      </c>
      <c r="K34" s="18">
        <f t="shared" si="24"/>
        <v>1800</v>
      </c>
      <c r="L34" s="18">
        <f t="shared" si="24"/>
        <v>1830</v>
      </c>
      <c r="M34" s="18">
        <f t="shared" si="24"/>
        <v>2010</v>
      </c>
      <c r="N34" s="18">
        <f t="shared" si="24"/>
        <v>2880</v>
      </c>
      <c r="O34" s="18">
        <f t="shared" si="24"/>
        <v>510</v>
      </c>
      <c r="P34" s="18">
        <f t="shared" si="24"/>
        <v>2520</v>
      </c>
      <c r="Q34" s="18">
        <f t="shared" si="1"/>
        <v>26130</v>
      </c>
      <c r="R34" s="26"/>
      <c r="S34" s="65"/>
    </row>
    <row r="35" spans="1:19" ht="24.95" customHeight="1">
      <c r="A35" s="14" t="s">
        <v>101</v>
      </c>
      <c r="B35" s="24" t="s">
        <v>102</v>
      </c>
      <c r="C35" s="24" t="s">
        <v>31</v>
      </c>
      <c r="D35" s="45" t="s">
        <v>32</v>
      </c>
      <c r="E35" s="25">
        <v>360</v>
      </c>
      <c r="F35" s="25">
        <v>1080</v>
      </c>
      <c r="G35" s="25">
        <v>5760</v>
      </c>
      <c r="H35" s="25">
        <v>1440</v>
      </c>
      <c r="I35" s="25">
        <v>5580</v>
      </c>
      <c r="J35" s="25">
        <v>360</v>
      </c>
      <c r="K35" s="25">
        <v>1800</v>
      </c>
      <c r="L35" s="25">
        <v>1830</v>
      </c>
      <c r="M35" s="25">
        <v>2010</v>
      </c>
      <c r="N35" s="25">
        <v>2880</v>
      </c>
      <c r="O35" s="25">
        <v>510</v>
      </c>
      <c r="P35" s="25">
        <v>2520</v>
      </c>
      <c r="Q35" s="18">
        <f t="shared" si="1"/>
        <v>26130</v>
      </c>
      <c r="R35" s="26"/>
      <c r="S35" s="65"/>
    </row>
    <row r="36" spans="1:19" ht="24.95" customHeight="1">
      <c r="A36" s="14" t="s">
        <v>103</v>
      </c>
      <c r="B36" s="24" t="s">
        <v>104</v>
      </c>
      <c r="C36" s="24"/>
      <c r="D36" s="45" t="s">
        <v>25</v>
      </c>
      <c r="E36" s="18">
        <f>E37</f>
        <v>0</v>
      </c>
      <c r="F36" s="18">
        <f t="shared" ref="F36:P36" si="25">F37</f>
        <v>0</v>
      </c>
      <c r="G36" s="18">
        <f t="shared" si="25"/>
        <v>0</v>
      </c>
      <c r="H36" s="18">
        <f t="shared" si="25"/>
        <v>0</v>
      </c>
      <c r="I36" s="18">
        <f t="shared" si="25"/>
        <v>0</v>
      </c>
      <c r="J36" s="18">
        <f t="shared" si="25"/>
        <v>0</v>
      </c>
      <c r="K36" s="18">
        <f t="shared" si="25"/>
        <v>0</v>
      </c>
      <c r="L36" s="18">
        <f t="shared" si="25"/>
        <v>0</v>
      </c>
      <c r="M36" s="18">
        <f t="shared" si="25"/>
        <v>0</v>
      </c>
      <c r="N36" s="18">
        <f t="shared" si="25"/>
        <v>0</v>
      </c>
      <c r="O36" s="18">
        <f t="shared" si="25"/>
        <v>0</v>
      </c>
      <c r="P36" s="18">
        <f t="shared" si="25"/>
        <v>0</v>
      </c>
      <c r="Q36" s="18">
        <f t="shared" si="1"/>
        <v>0</v>
      </c>
      <c r="R36" s="26"/>
      <c r="S36" s="65"/>
    </row>
    <row r="37" spans="1:19" ht="24.95" customHeight="1">
      <c r="A37" s="14" t="s">
        <v>105</v>
      </c>
      <c r="B37" s="24" t="s">
        <v>212</v>
      </c>
      <c r="C37" s="24" t="s">
        <v>31</v>
      </c>
      <c r="D37" s="16" t="s">
        <v>107</v>
      </c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17"/>
      <c r="P37" s="17"/>
      <c r="Q37" s="18">
        <f t="shared" si="1"/>
        <v>0</v>
      </c>
      <c r="R37" s="16"/>
      <c r="S37" s="65"/>
    </row>
    <row r="38" spans="1:19" ht="24.95" customHeight="1">
      <c r="A38" s="14">
        <v>36</v>
      </c>
      <c r="B38" s="24" t="s">
        <v>109</v>
      </c>
      <c r="C38" s="24"/>
      <c r="D38" s="45" t="s">
        <v>25</v>
      </c>
      <c r="E38" s="18">
        <f>E39+E41+E43+E45+E47+E50+E52+E54+E58</f>
        <v>372992.43</v>
      </c>
      <c r="F38" s="18">
        <f t="shared" ref="F38:P38" si="26">F39+F41+F43+F45+F47+F50+F52+F54+F58</f>
        <v>7190398.6600000001</v>
      </c>
      <c r="G38" s="18">
        <f t="shared" si="26"/>
        <v>8818384</v>
      </c>
      <c r="H38" s="18">
        <f t="shared" si="26"/>
        <v>5694739.6100000003</v>
      </c>
      <c r="I38" s="18">
        <f t="shared" si="26"/>
        <v>10130562.140000001</v>
      </c>
      <c r="J38" s="18">
        <f t="shared" si="26"/>
        <v>1259252</v>
      </c>
      <c r="K38" s="18">
        <f t="shared" si="26"/>
        <v>1183196.7</v>
      </c>
      <c r="L38" s="18">
        <f t="shared" si="26"/>
        <v>1612784.31</v>
      </c>
      <c r="M38" s="18">
        <f t="shared" si="26"/>
        <v>2486577.29</v>
      </c>
      <c r="N38" s="18">
        <f t="shared" si="26"/>
        <v>1318874</v>
      </c>
      <c r="O38" s="18">
        <f t="shared" si="26"/>
        <v>1606442.57</v>
      </c>
      <c r="P38" s="18">
        <f t="shared" si="26"/>
        <v>1254357.9900000002</v>
      </c>
      <c r="Q38" s="18">
        <f t="shared" si="1"/>
        <v>42928561.700000003</v>
      </c>
      <c r="R38" s="26"/>
      <c r="S38" s="65"/>
    </row>
    <row r="39" spans="1:19" ht="24.95" customHeight="1">
      <c r="A39" s="14" t="s">
        <v>110</v>
      </c>
      <c r="B39" s="24" t="s">
        <v>111</v>
      </c>
      <c r="C39" s="24"/>
      <c r="D39" s="45" t="s">
        <v>112</v>
      </c>
      <c r="E39" s="25">
        <v>179200</v>
      </c>
      <c r="F39" s="25">
        <v>5756080</v>
      </c>
      <c r="G39" s="25">
        <v>5967470</v>
      </c>
      <c r="H39" s="25">
        <v>4534500</v>
      </c>
      <c r="I39" s="25">
        <v>7563130</v>
      </c>
      <c r="J39" s="25">
        <v>872280</v>
      </c>
      <c r="K39" s="25">
        <f>300*2860</f>
        <v>858000</v>
      </c>
      <c r="L39" s="25">
        <f>434*2860</f>
        <v>1241240</v>
      </c>
      <c r="M39" s="25">
        <f>300*2860+324*2860</f>
        <v>1784640</v>
      </c>
      <c r="N39" s="25">
        <v>865140</v>
      </c>
      <c r="O39" s="25">
        <v>1225500</v>
      </c>
      <c r="P39" s="25">
        <v>879420</v>
      </c>
      <c r="Q39" s="18">
        <f t="shared" si="1"/>
        <v>31726600</v>
      </c>
      <c r="R39" s="26"/>
      <c r="S39" s="65"/>
    </row>
    <row r="40" spans="1:19" ht="24.95" customHeight="1">
      <c r="A40" s="14" t="s">
        <v>113</v>
      </c>
      <c r="B40" s="24" t="s">
        <v>213</v>
      </c>
      <c r="C40" s="24" t="s">
        <v>214</v>
      </c>
      <c r="D40" s="27" t="s">
        <v>215</v>
      </c>
      <c r="E40" s="25">
        <v>8960</v>
      </c>
      <c r="F40" s="25">
        <v>287804</v>
      </c>
      <c r="G40" s="25">
        <v>298373.5</v>
      </c>
      <c r="H40" s="25">
        <v>226725</v>
      </c>
      <c r="I40" s="25">
        <v>378156.5</v>
      </c>
      <c r="J40" s="25">
        <v>41469</v>
      </c>
      <c r="K40" s="25">
        <v>35178</v>
      </c>
      <c r="L40" s="25">
        <v>62062</v>
      </c>
      <c r="M40" s="25">
        <v>81224</v>
      </c>
      <c r="N40" s="25">
        <v>42971</v>
      </c>
      <c r="O40" s="25">
        <v>61275</v>
      </c>
      <c r="P40" s="25">
        <v>42970</v>
      </c>
      <c r="Q40" s="18">
        <f t="shared" si="1"/>
        <v>1567168</v>
      </c>
      <c r="R40" s="26"/>
      <c r="S40" s="65"/>
    </row>
    <row r="41" spans="1:19" ht="24.95" customHeight="1">
      <c r="A41" s="14" t="s">
        <v>117</v>
      </c>
      <c r="B41" s="24" t="s">
        <v>118</v>
      </c>
      <c r="C41" s="24"/>
      <c r="D41" s="45"/>
      <c r="E41" s="18">
        <f>E42</f>
        <v>3200</v>
      </c>
      <c r="F41" s="18">
        <f t="shared" ref="F41:P41" si="27">F42</f>
        <v>41200</v>
      </c>
      <c r="G41" s="18">
        <f t="shared" si="27"/>
        <v>64000</v>
      </c>
      <c r="H41" s="18">
        <f t="shared" si="27"/>
        <v>31200</v>
      </c>
      <c r="I41" s="18">
        <f t="shared" si="27"/>
        <v>68800</v>
      </c>
      <c r="J41" s="18">
        <f t="shared" si="27"/>
        <v>10400</v>
      </c>
      <c r="K41" s="18">
        <f t="shared" si="27"/>
        <v>8400</v>
      </c>
      <c r="L41" s="18">
        <f t="shared" si="27"/>
        <v>10000</v>
      </c>
      <c r="M41" s="18">
        <f t="shared" si="27"/>
        <v>20400</v>
      </c>
      <c r="N41" s="18">
        <f t="shared" si="27"/>
        <v>11600</v>
      </c>
      <c r="O41" s="18">
        <f t="shared" si="27"/>
        <v>9600</v>
      </c>
      <c r="P41" s="18">
        <f t="shared" si="27"/>
        <v>9200</v>
      </c>
      <c r="Q41" s="18">
        <f t="shared" si="1"/>
        <v>288000</v>
      </c>
      <c r="R41" s="26"/>
      <c r="S41" s="65"/>
    </row>
    <row r="42" spans="1:19" s="44" customFormat="1" ht="24.95" customHeight="1">
      <c r="A42" s="14" t="s">
        <v>119</v>
      </c>
      <c r="B42" s="43" t="s">
        <v>120</v>
      </c>
      <c r="C42" s="43" t="s">
        <v>31</v>
      </c>
      <c r="D42" s="51" t="s">
        <v>121</v>
      </c>
      <c r="E42" s="18">
        <f>E61*400</f>
        <v>3200</v>
      </c>
      <c r="F42" s="18">
        <f t="shared" ref="F42:P42" si="28">F61*400</f>
        <v>41200</v>
      </c>
      <c r="G42" s="18">
        <f t="shared" si="28"/>
        <v>64000</v>
      </c>
      <c r="H42" s="18">
        <f t="shared" si="28"/>
        <v>31200</v>
      </c>
      <c r="I42" s="18">
        <f t="shared" si="28"/>
        <v>68800</v>
      </c>
      <c r="J42" s="18">
        <f t="shared" si="28"/>
        <v>10400</v>
      </c>
      <c r="K42" s="18">
        <f t="shared" si="28"/>
        <v>8400</v>
      </c>
      <c r="L42" s="18">
        <f t="shared" si="28"/>
        <v>10000</v>
      </c>
      <c r="M42" s="18">
        <f t="shared" si="28"/>
        <v>20400</v>
      </c>
      <c r="N42" s="18">
        <f t="shared" si="28"/>
        <v>11600</v>
      </c>
      <c r="O42" s="18">
        <f t="shared" si="28"/>
        <v>9600</v>
      </c>
      <c r="P42" s="18">
        <f t="shared" si="28"/>
        <v>9200</v>
      </c>
      <c r="Q42" s="18">
        <f t="shared" si="1"/>
        <v>288000</v>
      </c>
      <c r="R42" s="26"/>
      <c r="S42" s="65"/>
    </row>
    <row r="43" spans="1:19" ht="24.95" customHeight="1">
      <c r="A43" s="14" t="s">
        <v>122</v>
      </c>
      <c r="B43" s="24" t="s">
        <v>123</v>
      </c>
      <c r="C43" s="24"/>
      <c r="D43" s="45" t="s">
        <v>25</v>
      </c>
      <c r="E43" s="18">
        <f>E44</f>
        <v>20325</v>
      </c>
      <c r="F43" s="18">
        <f t="shared" ref="F43:P43" si="29">F44</f>
        <v>300871.8</v>
      </c>
      <c r="G43" s="18">
        <f t="shared" si="29"/>
        <v>297282</v>
      </c>
      <c r="H43" s="18">
        <f t="shared" si="29"/>
        <v>278907.75</v>
      </c>
      <c r="I43" s="18">
        <f t="shared" si="29"/>
        <v>571320</v>
      </c>
      <c r="J43" s="18">
        <f t="shared" si="29"/>
        <v>85185</v>
      </c>
      <c r="K43" s="18">
        <f t="shared" si="29"/>
        <v>74342.700000000012</v>
      </c>
      <c r="L43" s="18">
        <f t="shared" si="29"/>
        <v>92082.45</v>
      </c>
      <c r="M43" s="18">
        <f t="shared" si="29"/>
        <v>173535</v>
      </c>
      <c r="N43" s="18">
        <f t="shared" si="29"/>
        <v>71205</v>
      </c>
      <c r="O43" s="18">
        <f t="shared" si="29"/>
        <v>110250</v>
      </c>
      <c r="P43" s="18">
        <f t="shared" si="29"/>
        <v>110181.3</v>
      </c>
      <c r="Q43" s="18">
        <f t="shared" si="1"/>
        <v>2185488</v>
      </c>
      <c r="R43" s="26"/>
      <c r="S43" s="65"/>
    </row>
    <row r="44" spans="1:19" s="44" customFormat="1" ht="24.95" customHeight="1">
      <c r="A44" s="14" t="s">
        <v>124</v>
      </c>
      <c r="B44" s="43" t="s">
        <v>125</v>
      </c>
      <c r="C44" s="43" t="s">
        <v>31</v>
      </c>
      <c r="D44" s="51" t="s">
        <v>126</v>
      </c>
      <c r="E44" s="18">
        <f>E72*15</f>
        <v>20325</v>
      </c>
      <c r="F44" s="18">
        <f t="shared" ref="F44:P44" si="30">F72*15</f>
        <v>300871.8</v>
      </c>
      <c r="G44" s="18">
        <f t="shared" si="30"/>
        <v>297282</v>
      </c>
      <c r="H44" s="18">
        <f t="shared" si="30"/>
        <v>278907.75</v>
      </c>
      <c r="I44" s="18">
        <f t="shared" si="30"/>
        <v>571320</v>
      </c>
      <c r="J44" s="18">
        <f t="shared" si="30"/>
        <v>85185</v>
      </c>
      <c r="K44" s="18">
        <f t="shared" si="30"/>
        <v>74342.700000000012</v>
      </c>
      <c r="L44" s="18">
        <f t="shared" si="30"/>
        <v>92082.45</v>
      </c>
      <c r="M44" s="18">
        <f t="shared" si="30"/>
        <v>173535</v>
      </c>
      <c r="N44" s="18">
        <f t="shared" si="30"/>
        <v>71205</v>
      </c>
      <c r="O44" s="18">
        <f t="shared" si="30"/>
        <v>110250</v>
      </c>
      <c r="P44" s="18">
        <f t="shared" si="30"/>
        <v>110181.3</v>
      </c>
      <c r="Q44" s="18">
        <f t="shared" si="1"/>
        <v>2185488</v>
      </c>
      <c r="R44" s="26"/>
      <c r="S44" s="65"/>
    </row>
    <row r="45" spans="1:19" ht="24.95" customHeight="1">
      <c r="A45" s="14" t="s">
        <v>127</v>
      </c>
      <c r="B45" s="24" t="s">
        <v>128</v>
      </c>
      <c r="C45" s="24"/>
      <c r="D45" s="45" t="s">
        <v>25</v>
      </c>
      <c r="E45" s="18">
        <f>E46</f>
        <v>14400</v>
      </c>
      <c r="F45" s="18">
        <f t="shared" ref="F45:P45" si="31">F46</f>
        <v>112080</v>
      </c>
      <c r="G45" s="18">
        <f t="shared" si="31"/>
        <v>97216</v>
      </c>
      <c r="H45" s="18">
        <f t="shared" si="31"/>
        <v>78568</v>
      </c>
      <c r="I45" s="18">
        <f t="shared" si="31"/>
        <v>163552</v>
      </c>
      <c r="J45" s="18">
        <f t="shared" si="31"/>
        <v>20904</v>
      </c>
      <c r="K45" s="18">
        <f t="shared" si="31"/>
        <v>15744</v>
      </c>
      <c r="L45" s="18">
        <f t="shared" si="31"/>
        <v>20616</v>
      </c>
      <c r="M45" s="18">
        <f t="shared" si="31"/>
        <v>37800</v>
      </c>
      <c r="N45" s="18">
        <f t="shared" si="31"/>
        <v>20480</v>
      </c>
      <c r="O45" s="18">
        <f t="shared" si="31"/>
        <v>25792</v>
      </c>
      <c r="P45" s="18">
        <f t="shared" si="31"/>
        <v>27218.400000000001</v>
      </c>
      <c r="Q45" s="18">
        <f t="shared" si="1"/>
        <v>634370.4</v>
      </c>
      <c r="R45" s="26"/>
      <c r="S45" s="65"/>
    </row>
    <row r="46" spans="1:19" s="44" customFormat="1" ht="24.95" customHeight="1">
      <c r="A46" s="14" t="s">
        <v>129</v>
      </c>
      <c r="B46" s="43" t="s">
        <v>130</v>
      </c>
      <c r="C46" s="43" t="s">
        <v>31</v>
      </c>
      <c r="D46" s="51" t="s">
        <v>131</v>
      </c>
      <c r="E46" s="18">
        <f>E73*8</f>
        <v>14400</v>
      </c>
      <c r="F46" s="18">
        <f t="shared" ref="F46:P46" si="32">F73*8</f>
        <v>112080</v>
      </c>
      <c r="G46" s="18">
        <f t="shared" si="32"/>
        <v>97216</v>
      </c>
      <c r="H46" s="18">
        <f t="shared" si="32"/>
        <v>78568</v>
      </c>
      <c r="I46" s="18">
        <f t="shared" si="32"/>
        <v>163552</v>
      </c>
      <c r="J46" s="18">
        <f t="shared" si="32"/>
        <v>20904</v>
      </c>
      <c r="K46" s="18">
        <f t="shared" si="32"/>
        <v>15744</v>
      </c>
      <c r="L46" s="18">
        <f t="shared" si="32"/>
        <v>20616</v>
      </c>
      <c r="M46" s="18">
        <f t="shared" si="32"/>
        <v>37800</v>
      </c>
      <c r="N46" s="18">
        <f t="shared" si="32"/>
        <v>20480</v>
      </c>
      <c r="O46" s="18">
        <f t="shared" si="32"/>
        <v>25792</v>
      </c>
      <c r="P46" s="18">
        <f t="shared" si="32"/>
        <v>27218.400000000001</v>
      </c>
      <c r="Q46" s="18">
        <f t="shared" si="1"/>
        <v>634370.4</v>
      </c>
      <c r="R46" s="26"/>
      <c r="S46" s="65"/>
    </row>
    <row r="47" spans="1:19" ht="24.95" customHeight="1">
      <c r="A47" s="14" t="s">
        <v>132</v>
      </c>
      <c r="B47" s="24" t="s">
        <v>216</v>
      </c>
      <c r="C47" s="24"/>
      <c r="D47" s="45" t="s">
        <v>25</v>
      </c>
      <c r="E47" s="18">
        <f>E48+E49</f>
        <v>73440</v>
      </c>
      <c r="F47" s="18">
        <f t="shared" ref="F47:P47" si="33">F48+F49</f>
        <v>453600</v>
      </c>
      <c r="G47" s="18">
        <f t="shared" si="33"/>
        <v>1429920</v>
      </c>
      <c r="H47" s="18">
        <f t="shared" si="33"/>
        <v>345600</v>
      </c>
      <c r="I47" s="18">
        <f t="shared" si="33"/>
        <v>872640</v>
      </c>
      <c r="J47" s="18">
        <f t="shared" si="33"/>
        <v>112320</v>
      </c>
      <c r="K47" s="18">
        <f t="shared" si="33"/>
        <v>99360</v>
      </c>
      <c r="L47" s="18">
        <f t="shared" si="33"/>
        <v>108000</v>
      </c>
      <c r="M47" s="18">
        <f t="shared" si="33"/>
        <v>220320</v>
      </c>
      <c r="N47" s="18">
        <f t="shared" si="33"/>
        <v>181440</v>
      </c>
      <c r="O47" s="18">
        <f t="shared" si="33"/>
        <v>103680</v>
      </c>
      <c r="P47" s="18">
        <f t="shared" si="33"/>
        <v>99360</v>
      </c>
      <c r="Q47" s="18">
        <f t="shared" si="1"/>
        <v>4099680</v>
      </c>
      <c r="R47" s="26"/>
      <c r="S47" s="65"/>
    </row>
    <row r="48" spans="1:19" s="44" customFormat="1" ht="24.95" customHeight="1">
      <c r="A48" s="14" t="s">
        <v>134</v>
      </c>
      <c r="B48" s="43" t="s">
        <v>217</v>
      </c>
      <c r="C48" s="43" t="s">
        <v>31</v>
      </c>
      <c r="D48" s="51" t="s">
        <v>136</v>
      </c>
      <c r="E48" s="18">
        <f>E61*4320</f>
        <v>34560</v>
      </c>
      <c r="F48" s="18">
        <f t="shared" ref="F48:P48" si="34">F61*4320</f>
        <v>444960</v>
      </c>
      <c r="G48" s="18">
        <f t="shared" si="34"/>
        <v>691200</v>
      </c>
      <c r="H48" s="18">
        <f t="shared" si="34"/>
        <v>336960</v>
      </c>
      <c r="I48" s="18">
        <f t="shared" si="34"/>
        <v>743040</v>
      </c>
      <c r="J48" s="18">
        <f t="shared" si="34"/>
        <v>112320</v>
      </c>
      <c r="K48" s="18">
        <f t="shared" si="34"/>
        <v>90720</v>
      </c>
      <c r="L48" s="18">
        <f t="shared" si="34"/>
        <v>108000</v>
      </c>
      <c r="M48" s="18">
        <f t="shared" si="34"/>
        <v>220320</v>
      </c>
      <c r="N48" s="18">
        <f t="shared" si="34"/>
        <v>125280</v>
      </c>
      <c r="O48" s="18">
        <f t="shared" si="34"/>
        <v>103680</v>
      </c>
      <c r="P48" s="18">
        <f t="shared" si="34"/>
        <v>99360</v>
      </c>
      <c r="Q48" s="18">
        <f t="shared" si="1"/>
        <v>3110400</v>
      </c>
      <c r="R48" s="26"/>
      <c r="S48" s="65"/>
    </row>
    <row r="49" spans="1:19" s="44" customFormat="1" ht="24.95" customHeight="1">
      <c r="A49" s="14" t="s">
        <v>137</v>
      </c>
      <c r="B49" s="43" t="s">
        <v>218</v>
      </c>
      <c r="C49" s="43" t="s">
        <v>31</v>
      </c>
      <c r="D49" s="51" t="s">
        <v>219</v>
      </c>
      <c r="E49" s="18">
        <f>E71*4320</f>
        <v>38880</v>
      </c>
      <c r="F49" s="18">
        <f t="shared" ref="F49:P49" si="35">F71*4320</f>
        <v>8640</v>
      </c>
      <c r="G49" s="18">
        <f t="shared" si="35"/>
        <v>738720</v>
      </c>
      <c r="H49" s="18">
        <f t="shared" si="35"/>
        <v>8640</v>
      </c>
      <c r="I49" s="18">
        <f t="shared" si="35"/>
        <v>129600</v>
      </c>
      <c r="J49" s="18">
        <f t="shared" si="35"/>
        <v>0</v>
      </c>
      <c r="K49" s="18">
        <f t="shared" si="35"/>
        <v>8640</v>
      </c>
      <c r="L49" s="18">
        <f t="shared" si="35"/>
        <v>0</v>
      </c>
      <c r="M49" s="18">
        <f t="shared" si="35"/>
        <v>0</v>
      </c>
      <c r="N49" s="18">
        <f t="shared" si="35"/>
        <v>56160</v>
      </c>
      <c r="O49" s="18">
        <f t="shared" si="35"/>
        <v>0</v>
      </c>
      <c r="P49" s="18">
        <f t="shared" si="35"/>
        <v>0</v>
      </c>
      <c r="Q49" s="18">
        <f t="shared" si="1"/>
        <v>989280</v>
      </c>
      <c r="R49" s="26"/>
      <c r="S49" s="65"/>
    </row>
    <row r="50" spans="1:19" ht="24.95" customHeight="1">
      <c r="A50" s="14" t="s">
        <v>140</v>
      </c>
      <c r="B50" s="24" t="s">
        <v>220</v>
      </c>
      <c r="C50" s="24"/>
      <c r="D50" s="45" t="s">
        <v>25</v>
      </c>
      <c r="E50" s="18">
        <f>E51</f>
        <v>46827.43</v>
      </c>
      <c r="F50" s="18">
        <f t="shared" ref="F50:P50" si="36">F51</f>
        <v>487566.86</v>
      </c>
      <c r="G50" s="18">
        <f t="shared" si="36"/>
        <v>825096</v>
      </c>
      <c r="H50" s="18">
        <f t="shared" si="36"/>
        <v>391038.86</v>
      </c>
      <c r="I50" s="18">
        <f t="shared" si="36"/>
        <v>839945.14</v>
      </c>
      <c r="J50" s="18">
        <f t="shared" si="36"/>
        <v>121488</v>
      </c>
      <c r="K50" s="18">
        <f t="shared" si="36"/>
        <v>93000</v>
      </c>
      <c r="L50" s="18">
        <f t="shared" si="36"/>
        <v>107670.86</v>
      </c>
      <c r="M50" s="18">
        <f t="shared" si="36"/>
        <v>211882.29</v>
      </c>
      <c r="N50" s="18">
        <f t="shared" si="36"/>
        <v>129384</v>
      </c>
      <c r="O50" s="18">
        <f t="shared" si="36"/>
        <v>99620.57</v>
      </c>
      <c r="P50" s="18">
        <f t="shared" si="36"/>
        <v>94978.29</v>
      </c>
      <c r="Q50" s="18">
        <f t="shared" si="1"/>
        <v>3448498.3</v>
      </c>
      <c r="R50" s="26"/>
      <c r="S50" s="65"/>
    </row>
    <row r="51" spans="1:19" s="44" customFormat="1" ht="24.95" customHeight="1">
      <c r="A51" s="14" t="s">
        <v>142</v>
      </c>
      <c r="B51" s="43" t="s">
        <v>143</v>
      </c>
      <c r="C51" s="43" t="s">
        <v>31</v>
      </c>
      <c r="D51" s="26" t="s">
        <v>48</v>
      </c>
      <c r="E51" s="18">
        <f>ROUND(E29/0.07*0.02,2)</f>
        <v>46827.43</v>
      </c>
      <c r="F51" s="18">
        <f t="shared" ref="F51:P51" si="37">ROUND(F29/0.07*0.02,2)</f>
        <v>487566.86</v>
      </c>
      <c r="G51" s="18">
        <f t="shared" si="37"/>
        <v>825096</v>
      </c>
      <c r="H51" s="18">
        <f t="shared" si="37"/>
        <v>391038.86</v>
      </c>
      <c r="I51" s="18">
        <f t="shared" si="37"/>
        <v>839945.14</v>
      </c>
      <c r="J51" s="18">
        <f t="shared" si="37"/>
        <v>121488</v>
      </c>
      <c r="K51" s="18">
        <f t="shared" si="37"/>
        <v>93000</v>
      </c>
      <c r="L51" s="18">
        <f t="shared" si="37"/>
        <v>107670.86</v>
      </c>
      <c r="M51" s="18">
        <f t="shared" si="37"/>
        <v>211882.29</v>
      </c>
      <c r="N51" s="18">
        <f t="shared" si="37"/>
        <v>129384</v>
      </c>
      <c r="O51" s="18">
        <f t="shared" si="37"/>
        <v>99620.57</v>
      </c>
      <c r="P51" s="18">
        <f t="shared" si="37"/>
        <v>94978.29</v>
      </c>
      <c r="Q51" s="18">
        <f t="shared" si="1"/>
        <v>3448498.3</v>
      </c>
      <c r="R51" s="26"/>
      <c r="S51" s="65"/>
    </row>
    <row r="52" spans="1:19" ht="24.95" customHeight="1">
      <c r="A52" s="14" t="s">
        <v>144</v>
      </c>
      <c r="B52" s="24" t="s">
        <v>221</v>
      </c>
      <c r="C52" s="24"/>
      <c r="D52" s="45" t="s">
        <v>25</v>
      </c>
      <c r="E52" s="18">
        <f>E53</f>
        <v>0</v>
      </c>
      <c r="F52" s="18">
        <f t="shared" ref="F52:P52" si="38">F53</f>
        <v>0</v>
      </c>
      <c r="G52" s="18">
        <f t="shared" si="38"/>
        <v>64000</v>
      </c>
      <c r="H52" s="18">
        <f t="shared" si="38"/>
        <v>0</v>
      </c>
      <c r="I52" s="18">
        <f t="shared" si="38"/>
        <v>0</v>
      </c>
      <c r="J52" s="18">
        <f t="shared" si="38"/>
        <v>0</v>
      </c>
      <c r="K52" s="18">
        <f t="shared" si="38"/>
        <v>0</v>
      </c>
      <c r="L52" s="18">
        <f t="shared" si="38"/>
        <v>0</v>
      </c>
      <c r="M52" s="18">
        <f t="shared" si="38"/>
        <v>0</v>
      </c>
      <c r="N52" s="18">
        <f t="shared" si="38"/>
        <v>0</v>
      </c>
      <c r="O52" s="18">
        <f t="shared" si="38"/>
        <v>0</v>
      </c>
      <c r="P52" s="18">
        <f t="shared" si="38"/>
        <v>0</v>
      </c>
      <c r="Q52" s="18">
        <f t="shared" si="1"/>
        <v>64000</v>
      </c>
      <c r="R52" s="26"/>
      <c r="S52" s="65"/>
    </row>
    <row r="53" spans="1:19" ht="24.95" customHeight="1">
      <c r="A53" s="14" t="s">
        <v>146</v>
      </c>
      <c r="B53" s="24" t="s">
        <v>147</v>
      </c>
      <c r="C53" s="24" t="s">
        <v>31</v>
      </c>
      <c r="D53" s="27" t="s">
        <v>148</v>
      </c>
      <c r="E53" s="25"/>
      <c r="F53" s="25"/>
      <c r="G53" s="25">
        <v>64000</v>
      </c>
      <c r="H53" s="25"/>
      <c r="I53" s="25"/>
      <c r="J53" s="25"/>
      <c r="K53" s="25"/>
      <c r="L53" s="25"/>
      <c r="M53" s="25"/>
      <c r="N53" s="25"/>
      <c r="O53" s="25"/>
      <c r="P53" s="25"/>
      <c r="Q53" s="18">
        <f t="shared" si="1"/>
        <v>64000</v>
      </c>
      <c r="R53" s="26"/>
      <c r="S53" s="65"/>
    </row>
    <row r="54" spans="1:19" ht="24.95" customHeight="1">
      <c r="A54" s="14" t="s">
        <v>149</v>
      </c>
      <c r="B54" s="24" t="s">
        <v>222</v>
      </c>
      <c r="C54" s="24"/>
      <c r="D54" s="45" t="s">
        <v>25</v>
      </c>
      <c r="E54" s="18">
        <f>E55+E57</f>
        <v>3600</v>
      </c>
      <c r="F54" s="18">
        <f t="shared" ref="F54:P54" si="39">F55+F57</f>
        <v>7000</v>
      </c>
      <c r="G54" s="18">
        <f t="shared" si="39"/>
        <v>73400</v>
      </c>
      <c r="H54" s="18">
        <f t="shared" si="39"/>
        <v>2925</v>
      </c>
      <c r="I54" s="18">
        <f t="shared" si="39"/>
        <v>19175</v>
      </c>
      <c r="J54" s="18">
        <f t="shared" si="39"/>
        <v>4675</v>
      </c>
      <c r="K54" s="18">
        <f t="shared" si="39"/>
        <v>2350</v>
      </c>
      <c r="L54" s="18">
        <f t="shared" si="39"/>
        <v>1175</v>
      </c>
      <c r="M54" s="18">
        <f t="shared" si="39"/>
        <v>6000</v>
      </c>
      <c r="N54" s="18">
        <f t="shared" si="39"/>
        <v>7625</v>
      </c>
      <c r="O54" s="18">
        <f t="shared" si="39"/>
        <v>0</v>
      </c>
      <c r="P54" s="18">
        <f t="shared" si="39"/>
        <v>2000</v>
      </c>
      <c r="Q54" s="18">
        <f t="shared" si="1"/>
        <v>129925</v>
      </c>
      <c r="R54" s="26"/>
      <c r="S54" s="65"/>
    </row>
    <row r="55" spans="1:19" ht="24.95" customHeight="1">
      <c r="A55" s="14" t="s">
        <v>151</v>
      </c>
      <c r="B55" s="24" t="s">
        <v>223</v>
      </c>
      <c r="C55" s="24" t="s">
        <v>31</v>
      </c>
      <c r="D55" s="45" t="s">
        <v>25</v>
      </c>
      <c r="E55" s="18">
        <f>E56</f>
        <v>3600</v>
      </c>
      <c r="F55" s="18">
        <f t="shared" ref="F55:P55" si="40">F56</f>
        <v>800</v>
      </c>
      <c r="G55" s="18">
        <f t="shared" si="40"/>
        <v>68400</v>
      </c>
      <c r="H55" s="18">
        <f t="shared" si="40"/>
        <v>800</v>
      </c>
      <c r="I55" s="18">
        <f t="shared" si="40"/>
        <v>12000</v>
      </c>
      <c r="J55" s="18">
        <f t="shared" si="40"/>
        <v>0</v>
      </c>
      <c r="K55" s="18">
        <f t="shared" si="40"/>
        <v>800</v>
      </c>
      <c r="L55" s="18">
        <f t="shared" si="40"/>
        <v>0</v>
      </c>
      <c r="M55" s="18">
        <f t="shared" si="40"/>
        <v>0</v>
      </c>
      <c r="N55" s="18">
        <f t="shared" si="40"/>
        <v>5200</v>
      </c>
      <c r="O55" s="18">
        <f t="shared" si="40"/>
        <v>0</v>
      </c>
      <c r="P55" s="18">
        <f t="shared" si="40"/>
        <v>0</v>
      </c>
      <c r="Q55" s="18">
        <f t="shared" si="1"/>
        <v>91600</v>
      </c>
      <c r="R55" s="26"/>
      <c r="S55" s="65"/>
    </row>
    <row r="56" spans="1:19" s="44" customFormat="1" ht="24.95" customHeight="1">
      <c r="A56" s="14" t="s">
        <v>153</v>
      </c>
      <c r="B56" s="43" t="s">
        <v>154</v>
      </c>
      <c r="C56" s="43" t="s">
        <v>31</v>
      </c>
      <c r="D56" s="51" t="s">
        <v>224</v>
      </c>
      <c r="E56" s="18">
        <f>E71*400</f>
        <v>3600</v>
      </c>
      <c r="F56" s="18">
        <f t="shared" ref="F56:P56" si="41">F71*400</f>
        <v>800</v>
      </c>
      <c r="G56" s="18">
        <f t="shared" si="41"/>
        <v>68400</v>
      </c>
      <c r="H56" s="18">
        <f t="shared" si="41"/>
        <v>800</v>
      </c>
      <c r="I56" s="18">
        <f t="shared" si="41"/>
        <v>12000</v>
      </c>
      <c r="J56" s="18">
        <f t="shared" si="41"/>
        <v>0</v>
      </c>
      <c r="K56" s="18">
        <f t="shared" si="41"/>
        <v>800</v>
      </c>
      <c r="L56" s="18">
        <f t="shared" si="41"/>
        <v>0</v>
      </c>
      <c r="M56" s="18">
        <f t="shared" si="41"/>
        <v>0</v>
      </c>
      <c r="N56" s="18">
        <f t="shared" si="41"/>
        <v>5200</v>
      </c>
      <c r="O56" s="18">
        <f t="shared" si="41"/>
        <v>0</v>
      </c>
      <c r="P56" s="18">
        <f t="shared" si="41"/>
        <v>0</v>
      </c>
      <c r="Q56" s="18">
        <f t="shared" si="1"/>
        <v>91600</v>
      </c>
      <c r="R56" s="26"/>
      <c r="S56" s="65"/>
    </row>
    <row r="57" spans="1:19" ht="24.95" customHeight="1">
      <c r="A57" s="14" t="s">
        <v>156</v>
      </c>
      <c r="B57" s="24" t="s">
        <v>225</v>
      </c>
      <c r="C57" s="24" t="s">
        <v>31</v>
      </c>
      <c r="D57" s="27" t="s">
        <v>158</v>
      </c>
      <c r="E57" s="52">
        <v>0</v>
      </c>
      <c r="F57" s="52">
        <v>6200</v>
      </c>
      <c r="G57" s="52">
        <v>5000</v>
      </c>
      <c r="H57" s="52">
        <v>2125</v>
      </c>
      <c r="I57" s="52">
        <v>7175</v>
      </c>
      <c r="J57" s="52">
        <v>4675</v>
      </c>
      <c r="K57" s="52">
        <v>1550</v>
      </c>
      <c r="L57" s="52">
        <v>1175</v>
      </c>
      <c r="M57" s="52">
        <v>6000</v>
      </c>
      <c r="N57" s="52">
        <v>2425</v>
      </c>
      <c r="O57" s="52"/>
      <c r="P57" s="52">
        <v>2000</v>
      </c>
      <c r="Q57" s="18">
        <f t="shared" si="1"/>
        <v>38325</v>
      </c>
      <c r="R57" s="16"/>
      <c r="S57" s="65"/>
    </row>
    <row r="58" spans="1:19" ht="24.95" customHeight="1">
      <c r="A58" s="14" t="s">
        <v>159</v>
      </c>
      <c r="B58" s="24" t="s">
        <v>226</v>
      </c>
      <c r="C58" s="24"/>
      <c r="D58" s="45" t="s">
        <v>25</v>
      </c>
      <c r="E58" s="18">
        <f>E59</f>
        <v>32000</v>
      </c>
      <c r="F58" s="18">
        <f t="shared" ref="F58:P58" si="42">F59</f>
        <v>32000</v>
      </c>
      <c r="G58" s="18">
        <f t="shared" si="42"/>
        <v>0</v>
      </c>
      <c r="H58" s="18">
        <f t="shared" si="42"/>
        <v>32000</v>
      </c>
      <c r="I58" s="18">
        <f t="shared" si="42"/>
        <v>32000</v>
      </c>
      <c r="J58" s="18">
        <f t="shared" si="42"/>
        <v>32000</v>
      </c>
      <c r="K58" s="18">
        <f t="shared" si="42"/>
        <v>32000</v>
      </c>
      <c r="L58" s="18">
        <f t="shared" si="42"/>
        <v>32000</v>
      </c>
      <c r="M58" s="18">
        <f t="shared" si="42"/>
        <v>32000</v>
      </c>
      <c r="N58" s="18">
        <f t="shared" si="42"/>
        <v>32000</v>
      </c>
      <c r="O58" s="18">
        <f t="shared" si="42"/>
        <v>32000</v>
      </c>
      <c r="P58" s="18">
        <f t="shared" si="42"/>
        <v>32000</v>
      </c>
      <c r="Q58" s="18">
        <f t="shared" si="1"/>
        <v>352000</v>
      </c>
      <c r="R58" s="26"/>
      <c r="S58" s="65"/>
    </row>
    <row r="59" spans="1:19" ht="24.95" customHeight="1" thickBot="1">
      <c r="A59" s="14" t="s">
        <v>161</v>
      </c>
      <c r="B59" s="53" t="s">
        <v>162</v>
      </c>
      <c r="C59" s="24" t="s">
        <v>31</v>
      </c>
      <c r="D59" s="54" t="s">
        <v>227</v>
      </c>
      <c r="E59" s="34">
        <v>32000</v>
      </c>
      <c r="F59" s="34">
        <v>32000</v>
      </c>
      <c r="G59" s="34"/>
      <c r="H59" s="34">
        <v>32000</v>
      </c>
      <c r="I59" s="34">
        <v>32000</v>
      </c>
      <c r="J59" s="34">
        <v>32000</v>
      </c>
      <c r="K59" s="34">
        <v>32000</v>
      </c>
      <c r="L59" s="34">
        <v>32000</v>
      </c>
      <c r="M59" s="34">
        <v>32000</v>
      </c>
      <c r="N59" s="34">
        <v>32000</v>
      </c>
      <c r="O59" s="34">
        <v>32000</v>
      </c>
      <c r="P59" s="34">
        <v>32000</v>
      </c>
      <c r="Q59" s="18">
        <f t="shared" si="1"/>
        <v>352000</v>
      </c>
      <c r="R59" s="55"/>
      <c r="S59" s="65"/>
    </row>
    <row r="60" spans="1:19" ht="24.95" customHeight="1" thickTop="1">
      <c r="A60" s="14" t="s">
        <v>164</v>
      </c>
      <c r="B60" s="56" t="s">
        <v>165</v>
      </c>
      <c r="C60" s="56"/>
      <c r="D60" s="57"/>
      <c r="E60" s="58"/>
      <c r="F60" s="58"/>
      <c r="G60" s="58"/>
      <c r="H60" s="58"/>
      <c r="I60" s="58"/>
      <c r="J60" s="58"/>
      <c r="K60" s="58"/>
      <c r="L60" s="58"/>
      <c r="M60" s="58"/>
      <c r="N60" s="58"/>
      <c r="O60" s="58"/>
      <c r="P60" s="58"/>
      <c r="Q60" s="18">
        <f t="shared" si="1"/>
        <v>0</v>
      </c>
      <c r="R60" s="59"/>
      <c r="S60" s="65"/>
    </row>
    <row r="61" spans="1:19" ht="24.95" customHeight="1">
      <c r="A61" s="14" t="s">
        <v>166</v>
      </c>
      <c r="B61" s="24" t="s">
        <v>167</v>
      </c>
      <c r="C61" s="24"/>
      <c r="D61" s="45" t="s">
        <v>228</v>
      </c>
      <c r="E61" s="18">
        <f>E62+E63+E64+E65</f>
        <v>8</v>
      </c>
      <c r="F61" s="18">
        <f t="shared" ref="F61:P61" si="43">F62+F63+F64+F65</f>
        <v>103</v>
      </c>
      <c r="G61" s="18">
        <f t="shared" si="43"/>
        <v>160</v>
      </c>
      <c r="H61" s="18">
        <f t="shared" si="43"/>
        <v>78</v>
      </c>
      <c r="I61" s="18">
        <f t="shared" si="43"/>
        <v>172</v>
      </c>
      <c r="J61" s="18">
        <f t="shared" si="43"/>
        <v>26</v>
      </c>
      <c r="K61" s="18">
        <f t="shared" si="43"/>
        <v>21</v>
      </c>
      <c r="L61" s="18">
        <f t="shared" si="43"/>
        <v>25</v>
      </c>
      <c r="M61" s="18">
        <f t="shared" si="43"/>
        <v>51</v>
      </c>
      <c r="N61" s="18">
        <f t="shared" si="43"/>
        <v>29</v>
      </c>
      <c r="O61" s="18">
        <f t="shared" si="43"/>
        <v>24</v>
      </c>
      <c r="P61" s="18">
        <f t="shared" si="43"/>
        <v>23</v>
      </c>
      <c r="Q61" s="18">
        <f t="shared" si="1"/>
        <v>720</v>
      </c>
      <c r="R61" s="26"/>
      <c r="S61" s="65"/>
    </row>
    <row r="62" spans="1:19" ht="24.95" customHeight="1">
      <c r="A62" s="14" t="s">
        <v>169</v>
      </c>
      <c r="B62" s="60" t="s">
        <v>170</v>
      </c>
      <c r="C62" s="60"/>
      <c r="D62" s="16"/>
      <c r="E62" s="17"/>
      <c r="F62" s="17">
        <v>31</v>
      </c>
      <c r="G62" s="17">
        <v>84</v>
      </c>
      <c r="H62" s="17">
        <v>78</v>
      </c>
      <c r="I62" s="17"/>
      <c r="J62" s="17"/>
      <c r="K62" s="17"/>
      <c r="L62" s="17"/>
      <c r="M62" s="17"/>
      <c r="N62" s="17"/>
      <c r="O62" s="17"/>
      <c r="P62" s="17"/>
      <c r="Q62" s="18">
        <f t="shared" si="1"/>
        <v>193</v>
      </c>
      <c r="R62" s="26"/>
      <c r="S62" s="65"/>
    </row>
    <row r="63" spans="1:19" ht="24.95" customHeight="1">
      <c r="A63" s="14" t="s">
        <v>171</v>
      </c>
      <c r="B63" s="60" t="s">
        <v>172</v>
      </c>
      <c r="C63" s="60"/>
      <c r="D63" s="45"/>
      <c r="E63" s="25"/>
      <c r="F63" s="25">
        <v>72</v>
      </c>
      <c r="G63" s="25">
        <v>76</v>
      </c>
      <c r="H63" s="25"/>
      <c r="I63" s="25">
        <v>172</v>
      </c>
      <c r="J63" s="25"/>
      <c r="K63" s="25"/>
      <c r="L63" s="25"/>
      <c r="M63" s="25"/>
      <c r="N63" s="25"/>
      <c r="O63" s="25"/>
      <c r="P63" s="25"/>
      <c r="Q63" s="18">
        <f t="shared" si="1"/>
        <v>320</v>
      </c>
      <c r="R63" s="26"/>
      <c r="S63" s="65"/>
    </row>
    <row r="64" spans="1:19" ht="24.95" customHeight="1">
      <c r="A64" s="14" t="s">
        <v>173</v>
      </c>
      <c r="B64" s="60" t="s">
        <v>174</v>
      </c>
      <c r="C64" s="60"/>
      <c r="D64" s="16"/>
      <c r="E64" s="17"/>
      <c r="F64" s="17"/>
      <c r="G64" s="17"/>
      <c r="H64" s="17"/>
      <c r="I64" s="17"/>
      <c r="J64" s="17">
        <v>26</v>
      </c>
      <c r="K64" s="17">
        <v>21</v>
      </c>
      <c r="L64" s="17">
        <v>25</v>
      </c>
      <c r="M64" s="17">
        <v>51</v>
      </c>
      <c r="N64" s="17">
        <v>29</v>
      </c>
      <c r="O64" s="17">
        <v>24</v>
      </c>
      <c r="P64" s="17">
        <v>23</v>
      </c>
      <c r="Q64" s="18">
        <f t="shared" si="1"/>
        <v>199</v>
      </c>
      <c r="R64" s="26"/>
      <c r="S64" s="65"/>
    </row>
    <row r="65" spans="1:19" ht="24.95" customHeight="1">
      <c r="A65" s="14" t="s">
        <v>175</v>
      </c>
      <c r="B65" s="60" t="s">
        <v>176</v>
      </c>
      <c r="C65" s="60"/>
      <c r="D65" s="16"/>
      <c r="E65" s="17">
        <v>8</v>
      </c>
      <c r="F65" s="17"/>
      <c r="G65" s="17"/>
      <c r="H65" s="17"/>
      <c r="I65" s="17"/>
      <c r="J65" s="17"/>
      <c r="K65" s="17"/>
      <c r="L65" s="17"/>
      <c r="M65" s="17"/>
      <c r="N65" s="17"/>
      <c r="O65" s="17"/>
      <c r="P65" s="17"/>
      <c r="Q65" s="18">
        <f t="shared" si="1"/>
        <v>8</v>
      </c>
      <c r="R65" s="26"/>
      <c r="S65" s="65"/>
    </row>
    <row r="66" spans="1:19" ht="24.95" customHeight="1">
      <c r="A66" s="14" t="s">
        <v>177</v>
      </c>
      <c r="B66" s="24" t="s">
        <v>178</v>
      </c>
      <c r="C66" s="24"/>
      <c r="D66" s="45" t="s">
        <v>229</v>
      </c>
      <c r="E66" s="18">
        <f>E67+E68+E69+E70</f>
        <v>0</v>
      </c>
      <c r="F66" s="18">
        <f t="shared" ref="F66:P66" si="44">F67+F68+F69+F70</f>
        <v>1681</v>
      </c>
      <c r="G66" s="18">
        <f t="shared" si="44"/>
        <v>1700</v>
      </c>
      <c r="H66" s="18">
        <f t="shared" si="44"/>
        <v>1173</v>
      </c>
      <c r="I66" s="18">
        <f t="shared" si="44"/>
        <v>2354</v>
      </c>
      <c r="J66" s="18">
        <f t="shared" si="44"/>
        <v>285</v>
      </c>
      <c r="K66" s="18">
        <f t="shared" si="44"/>
        <v>246</v>
      </c>
      <c r="L66" s="18">
        <f t="shared" si="44"/>
        <v>434</v>
      </c>
      <c r="M66" s="18">
        <f t="shared" si="44"/>
        <v>568</v>
      </c>
      <c r="N66" s="18">
        <f t="shared" si="44"/>
        <v>298</v>
      </c>
      <c r="O66" s="18">
        <f t="shared" si="44"/>
        <v>426</v>
      </c>
      <c r="P66" s="18">
        <f t="shared" si="44"/>
        <v>293</v>
      </c>
      <c r="Q66" s="18">
        <f t="shared" si="1"/>
        <v>9458</v>
      </c>
      <c r="R66" s="26"/>
      <c r="S66" s="65"/>
    </row>
    <row r="67" spans="1:19" ht="24.95" customHeight="1">
      <c r="A67" s="14" t="s">
        <v>180</v>
      </c>
      <c r="B67" s="60" t="s">
        <v>170</v>
      </c>
      <c r="C67" s="60"/>
      <c r="D67" s="16"/>
      <c r="E67" s="17"/>
      <c r="F67" s="17">
        <v>553</v>
      </c>
      <c r="G67" s="17">
        <v>788</v>
      </c>
      <c r="H67" s="17">
        <v>1173</v>
      </c>
      <c r="I67" s="17"/>
      <c r="J67" s="17"/>
      <c r="K67" s="17"/>
      <c r="L67" s="17"/>
      <c r="M67" s="17"/>
      <c r="N67" s="17"/>
      <c r="O67" s="17"/>
      <c r="P67" s="17"/>
      <c r="Q67" s="18">
        <f t="shared" ref="Q67:Q73" si="45">SUM(E67:P67)</f>
        <v>2514</v>
      </c>
      <c r="R67" s="26"/>
      <c r="S67" s="65"/>
    </row>
    <row r="68" spans="1:19" ht="24.95" customHeight="1">
      <c r="A68" s="14" t="s">
        <v>181</v>
      </c>
      <c r="B68" s="60" t="s">
        <v>172</v>
      </c>
      <c r="C68" s="60"/>
      <c r="D68" s="45"/>
      <c r="E68" s="25"/>
      <c r="F68" s="25">
        <v>1128</v>
      </c>
      <c r="G68" s="25">
        <v>912</v>
      </c>
      <c r="H68" s="25"/>
      <c r="I68" s="25">
        <v>2354</v>
      </c>
      <c r="J68" s="25"/>
      <c r="K68" s="25"/>
      <c r="L68" s="25"/>
      <c r="M68" s="25"/>
      <c r="N68" s="25"/>
      <c r="O68" s="25"/>
      <c r="P68" s="25"/>
      <c r="Q68" s="18">
        <f t="shared" si="45"/>
        <v>4394</v>
      </c>
      <c r="R68" s="26"/>
      <c r="S68" s="65"/>
    </row>
    <row r="69" spans="1:19" ht="24.95" customHeight="1">
      <c r="A69" s="14" t="s">
        <v>182</v>
      </c>
      <c r="B69" s="60" t="s">
        <v>174</v>
      </c>
      <c r="C69" s="60"/>
      <c r="D69" s="16"/>
      <c r="E69" s="17"/>
      <c r="F69" s="17"/>
      <c r="G69" s="17"/>
      <c r="H69" s="17"/>
      <c r="I69" s="17"/>
      <c r="J69" s="17">
        <v>285</v>
      </c>
      <c r="K69" s="17">
        <v>246</v>
      </c>
      <c r="L69" s="17">
        <v>434</v>
      </c>
      <c r="M69" s="17">
        <v>568</v>
      </c>
      <c r="N69" s="17">
        <v>298</v>
      </c>
      <c r="O69" s="17">
        <v>426</v>
      </c>
      <c r="P69" s="17">
        <v>293</v>
      </c>
      <c r="Q69" s="18">
        <f t="shared" si="45"/>
        <v>2550</v>
      </c>
      <c r="R69" s="26"/>
      <c r="S69" s="65"/>
    </row>
    <row r="70" spans="1:19" ht="24.95" customHeight="1">
      <c r="A70" s="14" t="s">
        <v>183</v>
      </c>
      <c r="B70" s="60" t="s">
        <v>176</v>
      </c>
      <c r="C70" s="60"/>
      <c r="D70" s="16"/>
      <c r="E70" s="17"/>
      <c r="F70" s="17"/>
      <c r="G70" s="17"/>
      <c r="H70" s="17"/>
      <c r="I70" s="17"/>
      <c r="J70" s="17"/>
      <c r="K70" s="17"/>
      <c r="L70" s="17"/>
      <c r="M70" s="17"/>
      <c r="N70" s="17"/>
      <c r="O70" s="17"/>
      <c r="P70" s="17"/>
      <c r="Q70" s="18">
        <f t="shared" si="45"/>
        <v>0</v>
      </c>
      <c r="R70" s="26"/>
      <c r="S70" s="65"/>
    </row>
    <row r="71" spans="1:19" ht="24.95" customHeight="1">
      <c r="A71" s="14" t="s">
        <v>184</v>
      </c>
      <c r="B71" s="24" t="s">
        <v>230</v>
      </c>
      <c r="C71" s="24"/>
      <c r="D71" s="45"/>
      <c r="E71" s="25">
        <v>9</v>
      </c>
      <c r="F71" s="25">
        <v>2</v>
      </c>
      <c r="G71" s="25">
        <v>171</v>
      </c>
      <c r="H71" s="25">
        <v>2</v>
      </c>
      <c r="I71" s="25">
        <v>30</v>
      </c>
      <c r="J71" s="25"/>
      <c r="K71" s="25">
        <v>2</v>
      </c>
      <c r="L71" s="25"/>
      <c r="M71" s="25"/>
      <c r="N71" s="25">
        <v>13</v>
      </c>
      <c r="O71" s="25"/>
      <c r="P71" s="25"/>
      <c r="Q71" s="18">
        <f t="shared" si="45"/>
        <v>229</v>
      </c>
      <c r="R71" s="26"/>
      <c r="S71" s="65"/>
    </row>
    <row r="72" spans="1:19" ht="24.95" customHeight="1">
      <c r="A72" s="14" t="s">
        <v>186</v>
      </c>
      <c r="B72" s="60" t="s">
        <v>231</v>
      </c>
      <c r="C72" s="60"/>
      <c r="D72" s="27"/>
      <c r="E72" s="25">
        <v>1355</v>
      </c>
      <c r="F72" s="25">
        <v>20058.12</v>
      </c>
      <c r="G72" s="25">
        <v>19818.8</v>
      </c>
      <c r="H72" s="25">
        <v>18593.849999999999</v>
      </c>
      <c r="I72" s="25">
        <v>38088</v>
      </c>
      <c r="J72" s="25">
        <v>5679</v>
      </c>
      <c r="K72" s="25">
        <v>4956.18</v>
      </c>
      <c r="L72" s="25">
        <v>6138.83</v>
      </c>
      <c r="M72" s="25">
        <v>11569</v>
      </c>
      <c r="N72" s="25">
        <v>4747</v>
      </c>
      <c r="O72" s="25">
        <v>7350</v>
      </c>
      <c r="P72" s="25">
        <v>7345.42</v>
      </c>
      <c r="Q72" s="18">
        <f t="shared" si="45"/>
        <v>145699.19999999998</v>
      </c>
      <c r="R72" s="26"/>
      <c r="S72" s="65"/>
    </row>
    <row r="73" spans="1:19" ht="24.95" customHeight="1">
      <c r="A73" s="14" t="s">
        <v>188</v>
      </c>
      <c r="B73" s="60" t="s">
        <v>232</v>
      </c>
      <c r="C73" s="60"/>
      <c r="D73" s="27"/>
      <c r="E73" s="25">
        <v>1800</v>
      </c>
      <c r="F73" s="25">
        <v>14010</v>
      </c>
      <c r="G73" s="25">
        <v>12152</v>
      </c>
      <c r="H73" s="25">
        <v>9821</v>
      </c>
      <c r="I73" s="25">
        <v>20444</v>
      </c>
      <c r="J73" s="25">
        <v>2613</v>
      </c>
      <c r="K73" s="25">
        <v>1968</v>
      </c>
      <c r="L73" s="25">
        <v>2577</v>
      </c>
      <c r="M73" s="25">
        <v>4725</v>
      </c>
      <c r="N73" s="25">
        <v>2560</v>
      </c>
      <c r="O73" s="25">
        <v>3224</v>
      </c>
      <c r="P73" s="25">
        <v>3402.3</v>
      </c>
      <c r="Q73" s="18">
        <f t="shared" si="45"/>
        <v>79296.3</v>
      </c>
      <c r="R73" s="26"/>
      <c r="S73" s="65"/>
    </row>
    <row r="74" spans="1:19">
      <c r="E74" s="19">
        <f>E4/E61</f>
        <v>420574.63125000003</v>
      </c>
      <c r="F74" s="19">
        <f t="shared" ref="F74:Q74" si="46">F4/F61</f>
        <v>370590.70737864077</v>
      </c>
      <c r="G74" s="19">
        <f t="shared" si="46"/>
        <v>398485.41431249998</v>
      </c>
      <c r="H74" s="19">
        <f t="shared" si="46"/>
        <v>376458.40089743584</v>
      </c>
      <c r="I74" s="19">
        <f t="shared" si="46"/>
        <v>376143.25976744189</v>
      </c>
      <c r="J74" s="19">
        <f t="shared" si="46"/>
        <v>343378.86384615389</v>
      </c>
      <c r="K74" s="19">
        <f t="shared" si="46"/>
        <v>341132.85714285716</v>
      </c>
      <c r="L74" s="19">
        <f t="shared" si="46"/>
        <v>334414.48680000001</v>
      </c>
      <c r="M74" s="19">
        <f t="shared" si="46"/>
        <v>329553.55627450981</v>
      </c>
      <c r="N74" s="19">
        <f t="shared" si="46"/>
        <v>349421.90172413795</v>
      </c>
      <c r="O74" s="19">
        <f t="shared" si="46"/>
        <v>327517.30375000002</v>
      </c>
      <c r="P74" s="19">
        <f t="shared" si="46"/>
        <v>327747.02869565214</v>
      </c>
      <c r="Q74" s="19">
        <f t="shared" si="46"/>
        <v>369645.23368055554</v>
      </c>
      <c r="S74" s="65"/>
    </row>
    <row r="75" spans="1:19">
      <c r="S75" s="65"/>
    </row>
    <row r="76" spans="1:19">
      <c r="S76" s="65"/>
    </row>
    <row r="77" spans="1:19">
      <c r="S77" s="65"/>
    </row>
    <row r="78" spans="1:19">
      <c r="S78" s="65"/>
    </row>
    <row r="79" spans="1:19">
      <c r="S79" s="65"/>
    </row>
    <row r="80" spans="1:19">
      <c r="S80" s="65"/>
    </row>
  </sheetData>
  <protectedRanges>
    <protectedRange password="E9C1" sqref="D29 C30 A4:D5 B6:D28 B31:D73 Q4:R73 A6:A73 A2:R3" name="区域1_1"/>
    <protectedRange password="E9C1" sqref="B29:C29 B30" name="区域1_1_1"/>
    <protectedRange password="E9C1" sqref="D30" name="区域1_2"/>
  </protectedRanges>
  <mergeCells count="1">
    <mergeCell ref="A1:R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8" scale="75" orientation="landscape" r:id="rId1"/>
  <headerFooter>
    <oddFooter>第 &amp;P 页，共 &amp;N 页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dimension ref="A1:N74"/>
  <sheetViews>
    <sheetView workbookViewId="0">
      <pane xSplit="4" ySplit="2" topLeftCell="E15" activePane="bottomRight" state="frozen"/>
      <selection pane="topRight" activeCell="E1" sqref="E1"/>
      <selection pane="bottomLeft" activeCell="A3" sqref="A3"/>
      <selection pane="bottomRight" activeCell="M33" activeCellId="4" sqref="M20 M25 M28 M29 M33"/>
    </sheetView>
  </sheetViews>
  <sheetFormatPr defaultColWidth="9" defaultRowHeight="11.25"/>
  <cols>
    <col min="1" max="1" width="9" style="61"/>
    <col min="2" max="2" width="27.5" style="19" customWidth="1"/>
    <col min="3" max="3" width="11.875" style="19" customWidth="1"/>
    <col min="4" max="4" width="15.25" style="62" customWidth="1"/>
    <col min="5" max="5" width="11.375" style="19" customWidth="1"/>
    <col min="6" max="6" width="12.5" style="19" customWidth="1"/>
    <col min="7" max="7" width="12" style="19" customWidth="1"/>
    <col min="8" max="8" width="11.75" style="19" customWidth="1"/>
    <col min="9" max="9" width="12.5" style="19" customWidth="1"/>
    <col min="10" max="10" width="12.625" style="19" customWidth="1"/>
    <col min="11" max="11" width="11.375" style="19" customWidth="1"/>
    <col min="12" max="12" width="10.375" style="19" customWidth="1"/>
    <col min="13" max="13" width="11.75" style="19" customWidth="1"/>
    <col min="14" max="16384" width="9" style="19"/>
  </cols>
  <sheetData>
    <row r="1" spans="1:14" ht="25.5">
      <c r="A1" s="574" t="s">
        <v>951</v>
      </c>
      <c r="B1" s="575"/>
      <c r="C1" s="575"/>
      <c r="D1" s="575"/>
      <c r="E1" s="575"/>
      <c r="F1" s="575"/>
      <c r="G1" s="575"/>
      <c r="H1" s="575"/>
      <c r="I1" s="575"/>
      <c r="J1" s="575"/>
      <c r="K1" s="575"/>
      <c r="L1" s="575"/>
      <c r="M1" s="575"/>
      <c r="N1" s="575"/>
    </row>
    <row r="2" spans="1:14" ht="20.100000000000001" customHeight="1">
      <c r="A2" s="46" t="s">
        <v>12</v>
      </c>
      <c r="B2" s="46" t="s">
        <v>13</v>
      </c>
      <c r="C2" s="46" t="s">
        <v>14</v>
      </c>
      <c r="D2" s="47" t="s">
        <v>15</v>
      </c>
      <c r="E2" s="47" t="s">
        <v>285</v>
      </c>
      <c r="F2" s="47" t="s">
        <v>286</v>
      </c>
      <c r="G2" s="47" t="s">
        <v>287</v>
      </c>
      <c r="H2" s="47" t="s">
        <v>288</v>
      </c>
      <c r="I2" s="47" t="s">
        <v>289</v>
      </c>
      <c r="J2" s="47" t="s">
        <v>290</v>
      </c>
      <c r="K2" s="47" t="s">
        <v>291</v>
      </c>
      <c r="L2" s="47" t="s">
        <v>19</v>
      </c>
      <c r="M2" s="47" t="s">
        <v>21</v>
      </c>
      <c r="N2" s="48" t="s">
        <v>22</v>
      </c>
    </row>
    <row r="3" spans="1:14" ht="20.100000000000001" customHeight="1">
      <c r="A3" s="14" t="s">
        <v>23</v>
      </c>
      <c r="B3" s="24" t="s">
        <v>24</v>
      </c>
      <c r="C3" s="24"/>
      <c r="D3" s="45" t="s">
        <v>25</v>
      </c>
      <c r="E3" s="18">
        <f t="shared" ref="E3:L3" si="0">E4+E31+E38</f>
        <v>68702041.179999992</v>
      </c>
      <c r="F3" s="18">
        <f t="shared" si="0"/>
        <v>68831304.670000002</v>
      </c>
      <c r="G3" s="18">
        <f t="shared" si="0"/>
        <v>53799859.059999995</v>
      </c>
      <c r="H3" s="18">
        <f t="shared" si="0"/>
        <v>11683651.780000001</v>
      </c>
      <c r="I3" s="18">
        <f t="shared" si="0"/>
        <v>23208573.460000001</v>
      </c>
      <c r="J3" s="18">
        <f t="shared" si="0"/>
        <v>14172289.609999999</v>
      </c>
      <c r="K3" s="18">
        <f t="shared" si="0"/>
        <v>16914354.670000002</v>
      </c>
      <c r="L3" s="18">
        <f t="shared" si="0"/>
        <v>3120070.07</v>
      </c>
      <c r="M3" s="18">
        <f t="shared" ref="M3:M66" si="1">SUM(E3:L3)</f>
        <v>260432144.5</v>
      </c>
      <c r="N3" s="26"/>
    </row>
    <row r="4" spans="1:14" ht="20.100000000000001" customHeight="1">
      <c r="A4" s="14" t="s">
        <v>26</v>
      </c>
      <c r="B4" s="24" t="s">
        <v>0</v>
      </c>
      <c r="C4" s="24"/>
      <c r="D4" s="45" t="s">
        <v>25</v>
      </c>
      <c r="E4" s="18">
        <f>E5+E8+E12+E15+E20+E25+E27+E29+E30</f>
        <v>55607120.839999996</v>
      </c>
      <c r="F4" s="18">
        <f t="shared" ref="F4:L4" si="2">F5+F8+F12+F15+F20+F25+F27+F29+F30</f>
        <v>56273170.369999997</v>
      </c>
      <c r="G4" s="18">
        <f t="shared" si="2"/>
        <v>45698121.769999996</v>
      </c>
      <c r="H4" s="18">
        <f t="shared" si="2"/>
        <v>10227416.780000001</v>
      </c>
      <c r="I4" s="18">
        <f t="shared" si="2"/>
        <v>20088344.02</v>
      </c>
      <c r="J4" s="18">
        <f t="shared" si="2"/>
        <v>12064339.289999999</v>
      </c>
      <c r="K4" s="18">
        <f t="shared" si="2"/>
        <v>14505958.67</v>
      </c>
      <c r="L4" s="18">
        <f t="shared" si="2"/>
        <v>2689777.5</v>
      </c>
      <c r="M4" s="18">
        <f t="shared" si="1"/>
        <v>217154249.23999998</v>
      </c>
      <c r="N4" s="26"/>
    </row>
    <row r="5" spans="1:14" ht="20.100000000000001" customHeight="1">
      <c r="A5" s="14" t="s">
        <v>27</v>
      </c>
      <c r="B5" s="24" t="s">
        <v>28</v>
      </c>
      <c r="C5" s="24"/>
      <c r="D5" s="45" t="s">
        <v>25</v>
      </c>
      <c r="E5" s="18">
        <f>E6+E7</f>
        <v>7620252</v>
      </c>
      <c r="F5" s="18">
        <f t="shared" ref="F5:L5" si="3">F6+F7</f>
        <v>7402080</v>
      </c>
      <c r="G5" s="18">
        <f t="shared" si="3"/>
        <v>6314352</v>
      </c>
      <c r="H5" s="18">
        <f t="shared" si="3"/>
        <v>1467408</v>
      </c>
      <c r="I5" s="18">
        <f t="shared" si="3"/>
        <v>2638548</v>
      </c>
      <c r="J5" s="18">
        <f t="shared" si="3"/>
        <v>1495704</v>
      </c>
      <c r="K5" s="18">
        <f t="shared" si="3"/>
        <v>1787076</v>
      </c>
      <c r="L5" s="18">
        <f t="shared" si="3"/>
        <v>408468</v>
      </c>
      <c r="M5" s="18">
        <f t="shared" si="1"/>
        <v>29133888</v>
      </c>
      <c r="N5" s="26"/>
    </row>
    <row r="6" spans="1:14" ht="20.100000000000001" customHeight="1">
      <c r="A6" s="14" t="s">
        <v>29</v>
      </c>
      <c r="B6" s="24" t="s">
        <v>30</v>
      </c>
      <c r="C6" s="24" t="s">
        <v>31</v>
      </c>
      <c r="D6" s="45" t="s">
        <v>32</v>
      </c>
      <c r="E6" s="25">
        <v>4049892</v>
      </c>
      <c r="F6" s="25">
        <v>4002576</v>
      </c>
      <c r="G6" s="25">
        <v>3224004</v>
      </c>
      <c r="H6" s="25">
        <f>65276*12</f>
        <v>783312</v>
      </c>
      <c r="I6" s="25">
        <v>1532040</v>
      </c>
      <c r="J6" s="25">
        <v>912036</v>
      </c>
      <c r="K6" s="25">
        <v>1095924</v>
      </c>
      <c r="L6" s="25">
        <v>185508</v>
      </c>
      <c r="M6" s="18">
        <f t="shared" si="1"/>
        <v>15785292</v>
      </c>
      <c r="N6" s="49"/>
    </row>
    <row r="7" spans="1:14" ht="20.100000000000001" customHeight="1">
      <c r="A7" s="14" t="s">
        <v>33</v>
      </c>
      <c r="B7" s="24" t="s">
        <v>34</v>
      </c>
      <c r="C7" s="24" t="s">
        <v>31</v>
      </c>
      <c r="D7" s="45" t="s">
        <v>32</v>
      </c>
      <c r="E7" s="25">
        <v>3570360</v>
      </c>
      <c r="F7" s="25">
        <v>3399504</v>
      </c>
      <c r="G7" s="25">
        <v>3090348</v>
      </c>
      <c r="H7" s="25">
        <f>57008*12</f>
        <v>684096</v>
      </c>
      <c r="I7" s="25">
        <v>1106508</v>
      </c>
      <c r="J7" s="25">
        <v>583668</v>
      </c>
      <c r="K7" s="25">
        <v>691152</v>
      </c>
      <c r="L7" s="25">
        <v>222960</v>
      </c>
      <c r="M7" s="18">
        <f t="shared" si="1"/>
        <v>13348596</v>
      </c>
      <c r="N7" s="26"/>
    </row>
    <row r="8" spans="1:14" ht="20.100000000000001" customHeight="1">
      <c r="A8" s="14" t="s">
        <v>35</v>
      </c>
      <c r="B8" s="24" t="s">
        <v>36</v>
      </c>
      <c r="C8" s="24"/>
      <c r="D8" s="45" t="s">
        <v>25</v>
      </c>
      <c r="E8" s="18">
        <f>E9+E10</f>
        <v>767820</v>
      </c>
      <c r="F8" s="18">
        <f t="shared" ref="F8:L8" si="4">F9+F10</f>
        <v>788568</v>
      </c>
      <c r="G8" s="18">
        <f t="shared" si="4"/>
        <v>629064</v>
      </c>
      <c r="H8" s="18">
        <f t="shared" si="4"/>
        <v>161028</v>
      </c>
      <c r="I8" s="18">
        <f t="shared" si="4"/>
        <v>315756</v>
      </c>
      <c r="J8" s="18">
        <f t="shared" si="4"/>
        <v>192504</v>
      </c>
      <c r="K8" s="18">
        <f t="shared" si="4"/>
        <v>239772</v>
      </c>
      <c r="L8" s="18">
        <f t="shared" si="4"/>
        <v>37644</v>
      </c>
      <c r="M8" s="18">
        <f t="shared" si="1"/>
        <v>3132156</v>
      </c>
      <c r="N8" s="26"/>
    </row>
    <row r="9" spans="1:14" ht="20.100000000000001" customHeight="1">
      <c r="A9" s="14" t="s">
        <v>37</v>
      </c>
      <c r="B9" s="24" t="s">
        <v>38</v>
      </c>
      <c r="C9" s="24" t="s">
        <v>31</v>
      </c>
      <c r="D9" s="45" t="s">
        <v>32</v>
      </c>
      <c r="E9" s="25">
        <v>12780</v>
      </c>
      <c r="F9" s="25">
        <v>12408</v>
      </c>
      <c r="G9" s="25">
        <v>11304</v>
      </c>
      <c r="H9" s="25">
        <f>219*12</f>
        <v>2628</v>
      </c>
      <c r="I9" s="25">
        <v>4236</v>
      </c>
      <c r="J9" s="25">
        <v>2424</v>
      </c>
      <c r="K9" s="25">
        <v>12732</v>
      </c>
      <c r="L9" s="25">
        <v>684</v>
      </c>
      <c r="M9" s="18">
        <f t="shared" si="1"/>
        <v>59196</v>
      </c>
      <c r="N9" s="26"/>
    </row>
    <row r="10" spans="1:14" ht="20.100000000000001" customHeight="1">
      <c r="A10" s="14" t="s">
        <v>39</v>
      </c>
      <c r="B10" s="24" t="s">
        <v>40</v>
      </c>
      <c r="C10" s="24"/>
      <c r="D10" s="45" t="s">
        <v>25</v>
      </c>
      <c r="E10" s="18">
        <f>E11</f>
        <v>755040</v>
      </c>
      <c r="F10" s="18">
        <f t="shared" ref="F10:L10" si="5">F11</f>
        <v>776160</v>
      </c>
      <c r="G10" s="18">
        <f t="shared" si="5"/>
        <v>617760</v>
      </c>
      <c r="H10" s="18">
        <f t="shared" si="5"/>
        <v>158400</v>
      </c>
      <c r="I10" s="18">
        <f t="shared" si="5"/>
        <v>311520</v>
      </c>
      <c r="J10" s="18">
        <f t="shared" si="5"/>
        <v>190080</v>
      </c>
      <c r="K10" s="18">
        <f t="shared" si="5"/>
        <v>227040</v>
      </c>
      <c r="L10" s="18">
        <f t="shared" si="5"/>
        <v>36960</v>
      </c>
      <c r="M10" s="18">
        <f t="shared" si="1"/>
        <v>3072960</v>
      </c>
      <c r="N10" s="26"/>
    </row>
    <row r="11" spans="1:14" s="44" customFormat="1" ht="20.100000000000001" customHeight="1">
      <c r="A11" s="14" t="s">
        <v>41</v>
      </c>
      <c r="B11" s="43" t="s">
        <v>42</v>
      </c>
      <c r="C11" s="43" t="s">
        <v>31</v>
      </c>
      <c r="D11" s="26" t="s">
        <v>25</v>
      </c>
      <c r="E11" s="18">
        <f>440*12*E61</f>
        <v>755040</v>
      </c>
      <c r="F11" s="18">
        <f t="shared" ref="F11:L11" si="6">440*12*F61</f>
        <v>776160</v>
      </c>
      <c r="G11" s="18">
        <f t="shared" si="6"/>
        <v>617760</v>
      </c>
      <c r="H11" s="18">
        <f t="shared" si="6"/>
        <v>158400</v>
      </c>
      <c r="I11" s="18">
        <f t="shared" si="6"/>
        <v>311520</v>
      </c>
      <c r="J11" s="18">
        <f t="shared" si="6"/>
        <v>190080</v>
      </c>
      <c r="K11" s="18">
        <f t="shared" si="6"/>
        <v>227040</v>
      </c>
      <c r="L11" s="18">
        <f t="shared" si="6"/>
        <v>36960</v>
      </c>
      <c r="M11" s="18">
        <f t="shared" si="1"/>
        <v>3072960</v>
      </c>
      <c r="N11" s="26"/>
    </row>
    <row r="12" spans="1:14" ht="20.100000000000001" customHeight="1">
      <c r="A12" s="14" t="s">
        <v>43</v>
      </c>
      <c r="B12" s="24" t="s">
        <v>44</v>
      </c>
      <c r="C12" s="24"/>
      <c r="D12" s="45" t="s">
        <v>45</v>
      </c>
      <c r="E12" s="18">
        <f>E13+E14</f>
        <v>266757.40000000002</v>
      </c>
      <c r="F12" s="18">
        <f t="shared" ref="F12:L12" si="7">F13+F14</f>
        <v>266662.37</v>
      </c>
      <c r="G12" s="18">
        <f t="shared" si="7"/>
        <v>220254.33000000002</v>
      </c>
      <c r="H12" s="18">
        <f t="shared" si="7"/>
        <v>47600.78</v>
      </c>
      <c r="I12" s="18">
        <f t="shared" si="7"/>
        <v>97294.32</v>
      </c>
      <c r="J12" s="18">
        <f t="shared" si="7"/>
        <v>58068.43</v>
      </c>
      <c r="K12" s="18">
        <f t="shared" si="7"/>
        <v>70770.67</v>
      </c>
      <c r="L12" s="18">
        <f t="shared" si="7"/>
        <v>13742.64</v>
      </c>
      <c r="M12" s="18">
        <f t="shared" si="1"/>
        <v>1041150.9400000003</v>
      </c>
      <c r="N12" s="26"/>
    </row>
    <row r="13" spans="1:14" s="44" customFormat="1" ht="20.100000000000001" customHeight="1">
      <c r="A13" s="14" t="s">
        <v>46</v>
      </c>
      <c r="B13" s="43" t="s">
        <v>47</v>
      </c>
      <c r="C13" s="43" t="s">
        <v>31</v>
      </c>
      <c r="D13" s="26" t="s">
        <v>48</v>
      </c>
      <c r="E13" s="18">
        <f>ROUND(E29/0.07*0.00256,2)</f>
        <v>90330.4</v>
      </c>
      <c r="F13" s="18">
        <f t="shared" ref="F13:L13" si="8">ROUND(F29/0.07*0.00256,2)</f>
        <v>90298.37</v>
      </c>
      <c r="G13" s="18">
        <f t="shared" si="8"/>
        <v>74583.33</v>
      </c>
      <c r="H13" s="18">
        <f t="shared" si="8"/>
        <v>16118.78</v>
      </c>
      <c r="I13" s="18">
        <f t="shared" si="8"/>
        <v>32946.32</v>
      </c>
      <c r="J13" s="18">
        <f t="shared" si="8"/>
        <v>19663.43</v>
      </c>
      <c r="K13" s="18">
        <f t="shared" si="8"/>
        <v>23964.67</v>
      </c>
      <c r="L13" s="18">
        <f t="shared" si="8"/>
        <v>4653.6400000000003</v>
      </c>
      <c r="M13" s="18">
        <f t="shared" si="1"/>
        <v>352558.94</v>
      </c>
      <c r="N13" s="26"/>
    </row>
    <row r="14" spans="1:14" s="44" customFormat="1" ht="20.100000000000001" customHeight="1">
      <c r="A14" s="14" t="s">
        <v>49</v>
      </c>
      <c r="B14" s="43" t="s">
        <v>50</v>
      </c>
      <c r="C14" s="43" t="s">
        <v>31</v>
      </c>
      <c r="D14" s="26" t="s">
        <v>48</v>
      </c>
      <c r="E14" s="18">
        <f>ROUND(E29/0.07*0.005,0)</f>
        <v>176427</v>
      </c>
      <c r="F14" s="18">
        <f t="shared" ref="F14:L14" si="9">ROUND(F29/0.07*0.005,0)</f>
        <v>176364</v>
      </c>
      <c r="G14" s="18">
        <f t="shared" si="9"/>
        <v>145671</v>
      </c>
      <c r="H14" s="18">
        <f t="shared" si="9"/>
        <v>31482</v>
      </c>
      <c r="I14" s="18">
        <f t="shared" si="9"/>
        <v>64348</v>
      </c>
      <c r="J14" s="18">
        <f t="shared" si="9"/>
        <v>38405</v>
      </c>
      <c r="K14" s="18">
        <f t="shared" si="9"/>
        <v>46806</v>
      </c>
      <c r="L14" s="18">
        <f t="shared" si="9"/>
        <v>9089</v>
      </c>
      <c r="M14" s="18">
        <f t="shared" si="1"/>
        <v>688592</v>
      </c>
      <c r="N14" s="26"/>
    </row>
    <row r="15" spans="1:14" ht="20.100000000000001" customHeight="1">
      <c r="A15" s="14" t="s">
        <v>51</v>
      </c>
      <c r="B15" s="24" t="s">
        <v>52</v>
      </c>
      <c r="C15" s="24"/>
      <c r="D15" s="45" t="s">
        <v>25</v>
      </c>
      <c r="E15" s="18">
        <f>E16+E17+E18+E19</f>
        <v>31073900</v>
      </c>
      <c r="F15" s="18">
        <f t="shared" ref="F15:L15" si="10">F16+F17+F18+F19</f>
        <v>31943100</v>
      </c>
      <c r="G15" s="18">
        <f t="shared" si="10"/>
        <v>25424100</v>
      </c>
      <c r="H15" s="18">
        <f t="shared" si="10"/>
        <v>5718000</v>
      </c>
      <c r="I15" s="18">
        <f t="shared" si="10"/>
        <v>11245400</v>
      </c>
      <c r="J15" s="18">
        <f t="shared" si="10"/>
        <v>6861600</v>
      </c>
      <c r="K15" s="18">
        <f t="shared" si="10"/>
        <v>8195800</v>
      </c>
      <c r="L15" s="18">
        <f t="shared" si="10"/>
        <v>1411900</v>
      </c>
      <c r="M15" s="18">
        <f t="shared" si="1"/>
        <v>121873800</v>
      </c>
      <c r="N15" s="26"/>
    </row>
    <row r="16" spans="1:14" ht="20.100000000000001" customHeight="1">
      <c r="A16" s="14" t="s">
        <v>53</v>
      </c>
      <c r="B16" s="15" t="s">
        <v>54</v>
      </c>
      <c r="C16" s="15" t="s">
        <v>31</v>
      </c>
      <c r="D16" s="16" t="s">
        <v>55</v>
      </c>
      <c r="E16" s="17">
        <v>28214136</v>
      </c>
      <c r="F16" s="17">
        <v>29272776</v>
      </c>
      <c r="G16" s="17">
        <v>22993568</v>
      </c>
      <c r="H16" s="17">
        <v>5369470</v>
      </c>
      <c r="I16" s="17">
        <v>10589884</v>
      </c>
      <c r="J16" s="17">
        <v>6403956</v>
      </c>
      <c r="K16" s="17">
        <v>7699636</v>
      </c>
      <c r="L16" s="17">
        <v>1369900</v>
      </c>
      <c r="M16" s="18">
        <f t="shared" si="1"/>
        <v>111913326</v>
      </c>
      <c r="N16" s="16"/>
    </row>
    <row r="17" spans="1:14" ht="20.100000000000001" customHeight="1">
      <c r="A17" s="14" t="s">
        <v>56</v>
      </c>
      <c r="B17" s="15" t="s">
        <v>57</v>
      </c>
      <c r="C17" s="15" t="s">
        <v>31</v>
      </c>
      <c r="D17" s="16" t="s">
        <v>58</v>
      </c>
      <c r="E17" s="17">
        <v>571764</v>
      </c>
      <c r="F17" s="17">
        <v>318324</v>
      </c>
      <c r="G17" s="17">
        <v>558532</v>
      </c>
      <c r="H17" s="17">
        <v>168530</v>
      </c>
      <c r="I17" s="17">
        <v>301516</v>
      </c>
      <c r="J17" s="17">
        <v>241644</v>
      </c>
      <c r="K17" s="17">
        <v>238164</v>
      </c>
      <c r="L17" s="17"/>
      <c r="M17" s="18">
        <f t="shared" si="1"/>
        <v>2398474</v>
      </c>
      <c r="N17" s="16"/>
    </row>
    <row r="18" spans="1:14" ht="20.100000000000001" customHeight="1">
      <c r="A18" s="14" t="s">
        <v>59</v>
      </c>
      <c r="B18" s="15" t="s">
        <v>60</v>
      </c>
      <c r="C18" s="15" t="s">
        <v>31</v>
      </c>
      <c r="D18" s="45" t="s">
        <v>25</v>
      </c>
      <c r="E18" s="50">
        <f>E61*500*12</f>
        <v>858000</v>
      </c>
      <c r="F18" s="50">
        <f t="shared" ref="F18:L18" si="11">F61*500*12</f>
        <v>882000</v>
      </c>
      <c r="G18" s="50">
        <f t="shared" si="11"/>
        <v>702000</v>
      </c>
      <c r="H18" s="50">
        <f t="shared" si="11"/>
        <v>180000</v>
      </c>
      <c r="I18" s="50">
        <f t="shared" si="11"/>
        <v>354000</v>
      </c>
      <c r="J18" s="50">
        <f t="shared" si="11"/>
        <v>216000</v>
      </c>
      <c r="K18" s="50">
        <f t="shared" si="11"/>
        <v>258000</v>
      </c>
      <c r="L18" s="50">
        <f t="shared" si="11"/>
        <v>42000</v>
      </c>
      <c r="M18" s="18">
        <f t="shared" si="1"/>
        <v>3492000</v>
      </c>
      <c r="N18" s="16"/>
    </row>
    <row r="19" spans="1:14" ht="20.100000000000001" customHeight="1">
      <c r="A19" s="14" t="s">
        <v>61</v>
      </c>
      <c r="B19" s="15" t="s">
        <v>62</v>
      </c>
      <c r="C19" s="15" t="s">
        <v>31</v>
      </c>
      <c r="D19" s="45" t="s">
        <v>32</v>
      </c>
      <c r="E19" s="17">
        <f>10000*E61</f>
        <v>1430000</v>
      </c>
      <c r="F19" s="17">
        <f t="shared" ref="F19:G19" si="12">10000*F61</f>
        <v>1470000</v>
      </c>
      <c r="G19" s="17">
        <f t="shared" si="12"/>
        <v>1170000</v>
      </c>
      <c r="H19" s="17"/>
      <c r="I19" s="17"/>
      <c r="J19" s="17"/>
      <c r="K19" s="17"/>
      <c r="L19" s="17"/>
      <c r="M19" s="18">
        <f t="shared" si="1"/>
        <v>4070000</v>
      </c>
      <c r="N19" s="16"/>
    </row>
    <row r="20" spans="1:14" ht="20.100000000000001" customHeight="1">
      <c r="A20" s="14" t="s">
        <v>63</v>
      </c>
      <c r="B20" s="24" t="s">
        <v>64</v>
      </c>
      <c r="C20" s="24"/>
      <c r="D20" s="16" t="s">
        <v>25</v>
      </c>
      <c r="E20" s="50">
        <f>E21+E22</f>
        <v>4939944.01</v>
      </c>
      <c r="F20" s="50">
        <f t="shared" ref="F20:L20" si="13">F21+F22</f>
        <v>4938192</v>
      </c>
      <c r="G20" s="50">
        <f t="shared" si="13"/>
        <v>4078776.0100000002</v>
      </c>
      <c r="H20" s="50">
        <f t="shared" si="13"/>
        <v>881496</v>
      </c>
      <c r="I20" s="50">
        <f t="shared" si="13"/>
        <v>1801751.99</v>
      </c>
      <c r="J20" s="50">
        <f t="shared" si="13"/>
        <v>1075344</v>
      </c>
      <c r="K20" s="50">
        <f t="shared" si="13"/>
        <v>1310568</v>
      </c>
      <c r="L20" s="50">
        <f t="shared" si="13"/>
        <v>254496</v>
      </c>
      <c r="M20" s="18">
        <f t="shared" si="1"/>
        <v>19280568.009999998</v>
      </c>
      <c r="N20" s="16"/>
    </row>
    <row r="21" spans="1:14" ht="20.100000000000001" customHeight="1">
      <c r="A21" s="14" t="s">
        <v>65</v>
      </c>
      <c r="B21" s="24" t="s">
        <v>66</v>
      </c>
      <c r="C21" s="24" t="s">
        <v>67</v>
      </c>
      <c r="D21" s="16" t="s">
        <v>25</v>
      </c>
      <c r="E21" s="50">
        <f>ROUND(E29/0.07*0.1,2)</f>
        <v>3528531.43</v>
      </c>
      <c r="F21" s="50">
        <f t="shared" ref="F21:L21" si="14">ROUND(F29/0.07*0.1,2)</f>
        <v>3527280</v>
      </c>
      <c r="G21" s="50">
        <f t="shared" si="14"/>
        <v>2913411.43</v>
      </c>
      <c r="H21" s="50">
        <f t="shared" si="14"/>
        <v>629640</v>
      </c>
      <c r="I21" s="50">
        <f t="shared" si="14"/>
        <v>1286965.71</v>
      </c>
      <c r="J21" s="50">
        <f t="shared" si="14"/>
        <v>768102.86</v>
      </c>
      <c r="K21" s="50">
        <f t="shared" si="14"/>
        <v>936120</v>
      </c>
      <c r="L21" s="50">
        <f t="shared" si="14"/>
        <v>181782.86</v>
      </c>
      <c r="M21" s="18">
        <f t="shared" si="1"/>
        <v>13771834.289999999</v>
      </c>
      <c r="N21" s="16"/>
    </row>
    <row r="22" spans="1:14" ht="20.100000000000001" customHeight="1">
      <c r="A22" s="14" t="s">
        <v>68</v>
      </c>
      <c r="B22" s="24" t="s">
        <v>69</v>
      </c>
      <c r="C22" s="24" t="s">
        <v>67</v>
      </c>
      <c r="D22" s="16" t="s">
        <v>48</v>
      </c>
      <c r="E22" s="50">
        <f>E23+E24</f>
        <v>1411412.58</v>
      </c>
      <c r="F22" s="50">
        <f t="shared" ref="F22:L22" si="15">F23+F24</f>
        <v>1410912</v>
      </c>
      <c r="G22" s="50">
        <f t="shared" si="15"/>
        <v>1165364.58</v>
      </c>
      <c r="H22" s="50">
        <f t="shared" si="15"/>
        <v>251856</v>
      </c>
      <c r="I22" s="50">
        <f t="shared" si="15"/>
        <v>514786.28</v>
      </c>
      <c r="J22" s="50">
        <f t="shared" si="15"/>
        <v>307241.14</v>
      </c>
      <c r="K22" s="50">
        <f t="shared" si="15"/>
        <v>374448</v>
      </c>
      <c r="L22" s="50">
        <f t="shared" si="15"/>
        <v>72713.14</v>
      </c>
      <c r="M22" s="18">
        <f t="shared" si="1"/>
        <v>5508733.7199999997</v>
      </c>
      <c r="N22" s="16"/>
    </row>
    <row r="23" spans="1:14" ht="20.100000000000001" customHeight="1">
      <c r="A23" s="14" t="s">
        <v>70</v>
      </c>
      <c r="B23" s="24" t="s">
        <v>71</v>
      </c>
      <c r="C23" s="24" t="s">
        <v>67</v>
      </c>
      <c r="D23" s="16" t="s">
        <v>48</v>
      </c>
      <c r="E23" s="50">
        <f>ROUND(E29/0.07*0.02,2)</f>
        <v>705706.29</v>
      </c>
      <c r="F23" s="50">
        <f t="shared" ref="F23:L23" si="16">ROUND(F29/0.07*0.02,2)</f>
        <v>705456</v>
      </c>
      <c r="G23" s="50">
        <f t="shared" si="16"/>
        <v>582682.29</v>
      </c>
      <c r="H23" s="50">
        <f t="shared" si="16"/>
        <v>125928</v>
      </c>
      <c r="I23" s="50">
        <f t="shared" si="16"/>
        <v>257393.14</v>
      </c>
      <c r="J23" s="50">
        <f t="shared" si="16"/>
        <v>153620.57</v>
      </c>
      <c r="K23" s="50">
        <f t="shared" si="16"/>
        <v>187224</v>
      </c>
      <c r="L23" s="50">
        <f t="shared" si="16"/>
        <v>36356.57</v>
      </c>
      <c r="M23" s="18">
        <f t="shared" si="1"/>
        <v>2754366.86</v>
      </c>
      <c r="N23" s="16"/>
    </row>
    <row r="24" spans="1:14" ht="20.100000000000001" customHeight="1">
      <c r="A24" s="14" t="s">
        <v>72</v>
      </c>
      <c r="B24" s="24" t="s">
        <v>73</v>
      </c>
      <c r="C24" s="24" t="s">
        <v>67</v>
      </c>
      <c r="D24" s="16" t="s">
        <v>48</v>
      </c>
      <c r="E24" s="50">
        <f>ROUND(E29/0.07*0.02,2)</f>
        <v>705706.29</v>
      </c>
      <c r="F24" s="50">
        <f t="shared" ref="F24:L24" si="17">ROUND(F29/0.07*0.02,2)</f>
        <v>705456</v>
      </c>
      <c r="G24" s="50">
        <f t="shared" si="17"/>
        <v>582682.29</v>
      </c>
      <c r="H24" s="50">
        <f t="shared" si="17"/>
        <v>125928</v>
      </c>
      <c r="I24" s="50">
        <f t="shared" si="17"/>
        <v>257393.14</v>
      </c>
      <c r="J24" s="50">
        <f t="shared" si="17"/>
        <v>153620.57</v>
      </c>
      <c r="K24" s="50">
        <f t="shared" si="17"/>
        <v>187224</v>
      </c>
      <c r="L24" s="50">
        <f t="shared" si="17"/>
        <v>36356.57</v>
      </c>
      <c r="M24" s="18">
        <f t="shared" si="1"/>
        <v>2754366.86</v>
      </c>
      <c r="N24" s="16"/>
    </row>
    <row r="25" spans="1:14" ht="20.100000000000001" customHeight="1">
      <c r="A25" s="14" t="s">
        <v>74</v>
      </c>
      <c r="B25" s="24" t="s">
        <v>75</v>
      </c>
      <c r="C25" s="24"/>
      <c r="D25" s="45" t="s">
        <v>25</v>
      </c>
      <c r="E25" s="18">
        <f t="shared" ref="E25:L25" si="18">E26</f>
        <v>5645650.29</v>
      </c>
      <c r="F25" s="18">
        <f t="shared" si="18"/>
        <v>5643648</v>
      </c>
      <c r="G25" s="18">
        <f t="shared" si="18"/>
        <v>4661458.29</v>
      </c>
      <c r="H25" s="18">
        <f t="shared" si="18"/>
        <v>1007424</v>
      </c>
      <c r="I25" s="18">
        <f t="shared" si="18"/>
        <v>2059145.14</v>
      </c>
      <c r="J25" s="18">
        <f t="shared" si="18"/>
        <v>1228964.57</v>
      </c>
      <c r="K25" s="18">
        <f t="shared" si="18"/>
        <v>1497792</v>
      </c>
      <c r="L25" s="18">
        <f t="shared" si="18"/>
        <v>290852.57</v>
      </c>
      <c r="M25" s="18">
        <f t="shared" si="1"/>
        <v>22034934.859999999</v>
      </c>
      <c r="N25" s="26"/>
    </row>
    <row r="26" spans="1:14" s="44" customFormat="1" ht="20.100000000000001" customHeight="1">
      <c r="A26" s="14" t="s">
        <v>76</v>
      </c>
      <c r="B26" s="43" t="s">
        <v>77</v>
      </c>
      <c r="C26" s="43" t="s">
        <v>78</v>
      </c>
      <c r="D26" s="26" t="s">
        <v>48</v>
      </c>
      <c r="E26" s="18">
        <f>ROUND(E29/0.07*0.16,2)</f>
        <v>5645650.29</v>
      </c>
      <c r="F26" s="18">
        <f t="shared" ref="F26:L26" si="19">ROUND(F29/0.07*0.16,2)</f>
        <v>5643648</v>
      </c>
      <c r="G26" s="18">
        <f t="shared" si="19"/>
        <v>4661458.29</v>
      </c>
      <c r="H26" s="18">
        <f t="shared" si="19"/>
        <v>1007424</v>
      </c>
      <c r="I26" s="18">
        <f t="shared" si="19"/>
        <v>2059145.14</v>
      </c>
      <c r="J26" s="18">
        <f t="shared" si="19"/>
        <v>1228964.57</v>
      </c>
      <c r="K26" s="18">
        <f t="shared" si="19"/>
        <v>1497792</v>
      </c>
      <c r="L26" s="18">
        <f t="shared" si="19"/>
        <v>290852.57</v>
      </c>
      <c r="M26" s="18">
        <f t="shared" si="1"/>
        <v>22034934.859999999</v>
      </c>
      <c r="N26" s="26"/>
    </row>
    <row r="27" spans="1:14" ht="20.100000000000001" customHeight="1">
      <c r="A27" s="14" t="s">
        <v>79</v>
      </c>
      <c r="B27" s="24" t="s">
        <v>80</v>
      </c>
      <c r="C27" s="24"/>
      <c r="D27" s="45" t="s">
        <v>25</v>
      </c>
      <c r="E27" s="18">
        <f t="shared" ref="E27:L27" si="20">E28</f>
        <v>2822825.14</v>
      </c>
      <c r="F27" s="18">
        <f t="shared" si="20"/>
        <v>2821824</v>
      </c>
      <c r="G27" s="18">
        <f t="shared" si="20"/>
        <v>2330729.14</v>
      </c>
      <c r="H27" s="18">
        <f t="shared" si="20"/>
        <v>503712</v>
      </c>
      <c r="I27" s="18">
        <f t="shared" si="20"/>
        <v>1029572.57</v>
      </c>
      <c r="J27" s="18">
        <f t="shared" si="20"/>
        <v>614482.29</v>
      </c>
      <c r="K27" s="18">
        <f t="shared" si="20"/>
        <v>748896</v>
      </c>
      <c r="L27" s="18">
        <f t="shared" si="20"/>
        <v>145426.29</v>
      </c>
      <c r="M27" s="18">
        <f t="shared" si="1"/>
        <v>11017467.43</v>
      </c>
      <c r="N27" s="26"/>
    </row>
    <row r="28" spans="1:14" s="44" customFormat="1" ht="20.100000000000001" customHeight="1">
      <c r="A28" s="14" t="s">
        <v>81</v>
      </c>
      <c r="B28" s="43" t="s">
        <v>82</v>
      </c>
      <c r="C28" s="43" t="s">
        <v>83</v>
      </c>
      <c r="D28" s="26" t="s">
        <v>48</v>
      </c>
      <c r="E28" s="18">
        <f>ROUND(E29/0.07*0.08,2)</f>
        <v>2822825.14</v>
      </c>
      <c r="F28" s="18">
        <f t="shared" ref="F28:L28" si="21">ROUND(F29/0.07*0.08,2)</f>
        <v>2821824</v>
      </c>
      <c r="G28" s="18">
        <f t="shared" si="21"/>
        <v>2330729.14</v>
      </c>
      <c r="H28" s="18">
        <f t="shared" si="21"/>
        <v>503712</v>
      </c>
      <c r="I28" s="18">
        <f t="shared" si="21"/>
        <v>1029572.57</v>
      </c>
      <c r="J28" s="18">
        <f t="shared" si="21"/>
        <v>614482.29</v>
      </c>
      <c r="K28" s="18">
        <f t="shared" si="21"/>
        <v>748896</v>
      </c>
      <c r="L28" s="18">
        <f t="shared" si="21"/>
        <v>145426.29</v>
      </c>
      <c r="M28" s="18">
        <f t="shared" si="1"/>
        <v>11017467.43</v>
      </c>
      <c r="N28" s="26"/>
    </row>
    <row r="29" spans="1:14" ht="20.100000000000001" customHeight="1">
      <c r="A29" s="14" t="s">
        <v>84</v>
      </c>
      <c r="B29" s="24" t="s">
        <v>85</v>
      </c>
      <c r="C29" s="24" t="s">
        <v>86</v>
      </c>
      <c r="D29" s="45" t="s">
        <v>87</v>
      </c>
      <c r="E29" s="17">
        <v>2469972</v>
      </c>
      <c r="F29" s="17">
        <v>2469096</v>
      </c>
      <c r="G29" s="17">
        <f>169949*12</f>
        <v>2039388</v>
      </c>
      <c r="H29" s="17">
        <v>440748</v>
      </c>
      <c r="I29" s="17">
        <v>900876</v>
      </c>
      <c r="J29" s="17">
        <v>537672</v>
      </c>
      <c r="K29" s="17">
        <v>655284</v>
      </c>
      <c r="L29" s="17">
        <v>127248</v>
      </c>
      <c r="M29" s="18">
        <f t="shared" si="1"/>
        <v>9640284</v>
      </c>
      <c r="N29" s="16"/>
    </row>
    <row r="30" spans="1:14" ht="20.100000000000001" customHeight="1">
      <c r="A30" s="14" t="s">
        <v>88</v>
      </c>
      <c r="B30" s="24" t="s">
        <v>89</v>
      </c>
      <c r="C30" s="15" t="s">
        <v>31</v>
      </c>
      <c r="D30" s="26" t="s">
        <v>90</v>
      </c>
      <c r="E30" s="17"/>
      <c r="F30" s="17"/>
      <c r="G30" s="17"/>
      <c r="H30" s="17"/>
      <c r="I30" s="17"/>
      <c r="J30" s="17"/>
      <c r="K30" s="17"/>
      <c r="L30" s="17"/>
      <c r="M30" s="18">
        <f t="shared" si="1"/>
        <v>0</v>
      </c>
      <c r="N30" s="16"/>
    </row>
    <row r="31" spans="1:14" ht="20.100000000000001" customHeight="1">
      <c r="A31" s="14" t="s">
        <v>91</v>
      </c>
      <c r="B31" s="24" t="s">
        <v>92</v>
      </c>
      <c r="C31" s="24"/>
      <c r="D31" s="45" t="s">
        <v>25</v>
      </c>
      <c r="E31" s="18">
        <f>E32+E34+E36</f>
        <v>3162780</v>
      </c>
      <c r="F31" s="18">
        <f t="shared" ref="F31:L31" si="22">F32+F34+F36</f>
        <v>2266260</v>
      </c>
      <c r="G31" s="18">
        <f t="shared" si="22"/>
        <v>1561470</v>
      </c>
      <c r="H31" s="18">
        <f t="shared" si="22"/>
        <v>160620</v>
      </c>
      <c r="I31" s="18">
        <f t="shared" si="22"/>
        <v>217200</v>
      </c>
      <c r="J31" s="18">
        <f t="shared" si="22"/>
        <v>259980</v>
      </c>
      <c r="K31" s="18">
        <f t="shared" si="22"/>
        <v>31980</v>
      </c>
      <c r="L31" s="18">
        <f t="shared" si="22"/>
        <v>69960</v>
      </c>
      <c r="M31" s="18">
        <f t="shared" si="1"/>
        <v>7730250</v>
      </c>
      <c r="N31" s="26"/>
    </row>
    <row r="32" spans="1:14" ht="20.100000000000001" customHeight="1">
      <c r="A32" s="14" t="s">
        <v>93</v>
      </c>
      <c r="B32" s="24" t="s">
        <v>94</v>
      </c>
      <c r="C32" s="24" t="s">
        <v>95</v>
      </c>
      <c r="D32" s="16" t="s">
        <v>96</v>
      </c>
      <c r="E32" s="50">
        <f>E33</f>
        <v>3157740</v>
      </c>
      <c r="F32" s="50">
        <f t="shared" ref="F32:L32" si="23">F33</f>
        <v>2260500</v>
      </c>
      <c r="G32" s="50">
        <f t="shared" si="23"/>
        <v>1555260</v>
      </c>
      <c r="H32" s="50">
        <f t="shared" si="23"/>
        <v>159900</v>
      </c>
      <c r="I32" s="50">
        <f t="shared" si="23"/>
        <v>213600</v>
      </c>
      <c r="J32" s="50">
        <f t="shared" si="23"/>
        <v>256380</v>
      </c>
      <c r="K32" s="50">
        <f t="shared" si="23"/>
        <v>30180</v>
      </c>
      <c r="L32" s="50">
        <f t="shared" si="23"/>
        <v>69960</v>
      </c>
      <c r="M32" s="18">
        <f t="shared" si="1"/>
        <v>7703520</v>
      </c>
      <c r="N32" s="16"/>
    </row>
    <row r="33" spans="1:14" ht="20.100000000000001" customHeight="1">
      <c r="A33" s="14" t="s">
        <v>97</v>
      </c>
      <c r="B33" s="24" t="s">
        <v>98</v>
      </c>
      <c r="C33" s="24" t="s">
        <v>95</v>
      </c>
      <c r="D33" s="16" t="s">
        <v>96</v>
      </c>
      <c r="E33" s="25">
        <v>3157740</v>
      </c>
      <c r="F33" s="25">
        <v>2260500</v>
      </c>
      <c r="G33" s="25">
        <v>1555260</v>
      </c>
      <c r="H33" s="25">
        <v>159900</v>
      </c>
      <c r="I33" s="25">
        <v>213600</v>
      </c>
      <c r="J33" s="25">
        <v>256380</v>
      </c>
      <c r="K33" s="25">
        <v>30180</v>
      </c>
      <c r="L33" s="25">
        <v>69960</v>
      </c>
      <c r="M33" s="18">
        <f t="shared" si="1"/>
        <v>7703520</v>
      </c>
      <c r="N33" s="26"/>
    </row>
    <row r="34" spans="1:14" ht="20.100000000000001" customHeight="1">
      <c r="A34" s="14" t="s">
        <v>99</v>
      </c>
      <c r="B34" s="24" t="s">
        <v>100</v>
      </c>
      <c r="C34" s="24"/>
      <c r="D34" s="45" t="s">
        <v>25</v>
      </c>
      <c r="E34" s="18">
        <f>E35</f>
        <v>5040</v>
      </c>
      <c r="F34" s="18">
        <f t="shared" ref="F34:L34" si="24">F35</f>
        <v>5760</v>
      </c>
      <c r="G34" s="18">
        <f t="shared" si="24"/>
        <v>6210</v>
      </c>
      <c r="H34" s="18">
        <f t="shared" si="24"/>
        <v>720</v>
      </c>
      <c r="I34" s="18">
        <f t="shared" si="24"/>
        <v>3600</v>
      </c>
      <c r="J34" s="18">
        <f t="shared" si="24"/>
        <v>3600</v>
      </c>
      <c r="K34" s="18">
        <f t="shared" si="24"/>
        <v>1800</v>
      </c>
      <c r="L34" s="18">
        <f t="shared" si="24"/>
        <v>0</v>
      </c>
      <c r="M34" s="18">
        <f t="shared" si="1"/>
        <v>26730</v>
      </c>
      <c r="N34" s="26"/>
    </row>
    <row r="35" spans="1:14" ht="20.100000000000001" customHeight="1">
      <c r="A35" s="14" t="s">
        <v>101</v>
      </c>
      <c r="B35" s="24" t="s">
        <v>102</v>
      </c>
      <c r="C35" s="24" t="s">
        <v>31</v>
      </c>
      <c r="D35" s="45" t="s">
        <v>32</v>
      </c>
      <c r="E35" s="25">
        <v>5040</v>
      </c>
      <c r="F35" s="25">
        <v>5760</v>
      </c>
      <c r="G35" s="25">
        <v>6210</v>
      </c>
      <c r="H35" s="25">
        <f>60*12</f>
        <v>720</v>
      </c>
      <c r="I35" s="25">
        <v>3600</v>
      </c>
      <c r="J35" s="25">
        <v>3600</v>
      </c>
      <c r="K35" s="25">
        <v>1800</v>
      </c>
      <c r="L35" s="25"/>
      <c r="M35" s="18">
        <f t="shared" si="1"/>
        <v>26730</v>
      </c>
      <c r="N35" s="26"/>
    </row>
    <row r="36" spans="1:14" ht="20.100000000000001" customHeight="1">
      <c r="A36" s="14" t="s">
        <v>103</v>
      </c>
      <c r="B36" s="24" t="s">
        <v>104</v>
      </c>
      <c r="C36" s="24"/>
      <c r="D36" s="45" t="s">
        <v>25</v>
      </c>
      <c r="E36" s="18">
        <f>E37</f>
        <v>0</v>
      </c>
      <c r="F36" s="18">
        <f t="shared" ref="F36:L36" si="25">F37</f>
        <v>0</v>
      </c>
      <c r="G36" s="18">
        <f t="shared" si="25"/>
        <v>0</v>
      </c>
      <c r="H36" s="18">
        <f t="shared" si="25"/>
        <v>0</v>
      </c>
      <c r="I36" s="18">
        <f t="shared" si="25"/>
        <v>0</v>
      </c>
      <c r="J36" s="18">
        <f t="shared" si="25"/>
        <v>0</v>
      </c>
      <c r="K36" s="18">
        <f t="shared" si="25"/>
        <v>0</v>
      </c>
      <c r="L36" s="18">
        <f t="shared" si="25"/>
        <v>0</v>
      </c>
      <c r="M36" s="18">
        <f t="shared" si="1"/>
        <v>0</v>
      </c>
      <c r="N36" s="26"/>
    </row>
    <row r="37" spans="1:14" ht="20.100000000000001" customHeight="1">
      <c r="A37" s="14" t="s">
        <v>105</v>
      </c>
      <c r="B37" s="24" t="s">
        <v>106</v>
      </c>
      <c r="C37" s="24" t="s">
        <v>31</v>
      </c>
      <c r="D37" s="16" t="s">
        <v>107</v>
      </c>
      <c r="E37" s="17"/>
      <c r="F37" s="17"/>
      <c r="G37" s="17"/>
      <c r="H37" s="17"/>
      <c r="I37" s="17"/>
      <c r="J37" s="17"/>
      <c r="K37" s="17"/>
      <c r="L37" s="17"/>
      <c r="M37" s="18">
        <f t="shared" si="1"/>
        <v>0</v>
      </c>
      <c r="N37" s="16"/>
    </row>
    <row r="38" spans="1:14" ht="20.100000000000001" customHeight="1">
      <c r="A38" s="14" t="s">
        <v>108</v>
      </c>
      <c r="B38" s="24" t="s">
        <v>109</v>
      </c>
      <c r="C38" s="24"/>
      <c r="D38" s="45" t="s">
        <v>25</v>
      </c>
      <c r="E38" s="18">
        <f>E39+E41+E43+E45+E47+E50+E52+E54+E58</f>
        <v>9932140.3399999999</v>
      </c>
      <c r="F38" s="18">
        <f t="shared" ref="F38:L38" si="26">F39+F41+F43+F45+F47+F50+F52+F54+F58</f>
        <v>10291874.300000001</v>
      </c>
      <c r="G38" s="18">
        <f t="shared" si="26"/>
        <v>6540267.29</v>
      </c>
      <c r="H38" s="18">
        <f t="shared" si="26"/>
        <v>1295615</v>
      </c>
      <c r="I38" s="18">
        <f t="shared" si="26"/>
        <v>2903029.44</v>
      </c>
      <c r="J38" s="18">
        <f t="shared" si="26"/>
        <v>1847970.32</v>
      </c>
      <c r="K38" s="18">
        <f t="shared" si="26"/>
        <v>2376416</v>
      </c>
      <c r="L38" s="18">
        <f t="shared" si="26"/>
        <v>360332.57</v>
      </c>
      <c r="M38" s="18">
        <f t="shared" si="1"/>
        <v>35547645.259999998</v>
      </c>
      <c r="N38" s="26"/>
    </row>
    <row r="39" spans="1:14" ht="20.100000000000001" customHeight="1">
      <c r="A39" s="14" t="s">
        <v>110</v>
      </c>
      <c r="B39" s="24" t="s">
        <v>111</v>
      </c>
      <c r="C39" s="24"/>
      <c r="D39" s="45" t="s">
        <v>112</v>
      </c>
      <c r="E39" s="25">
        <v>7302350</v>
      </c>
      <c r="F39" s="25">
        <v>7731150</v>
      </c>
      <c r="G39" s="25">
        <v>4703640</v>
      </c>
      <c r="H39" s="25">
        <v>865140</v>
      </c>
      <c r="I39" s="25">
        <v>2124980</v>
      </c>
      <c r="J39" s="25">
        <v>1287000</v>
      </c>
      <c r="K39" s="25">
        <v>1730280</v>
      </c>
      <c r="L39" s="25">
        <v>156800</v>
      </c>
      <c r="M39" s="18">
        <f t="shared" si="1"/>
        <v>25901340</v>
      </c>
      <c r="N39" s="26"/>
    </row>
    <row r="40" spans="1:14" ht="20.100000000000001" customHeight="1">
      <c r="A40" s="14" t="s">
        <v>113</v>
      </c>
      <c r="B40" s="24" t="s">
        <v>114</v>
      </c>
      <c r="C40" s="24" t="s">
        <v>115</v>
      </c>
      <c r="D40" s="27" t="s">
        <v>116</v>
      </c>
      <c r="E40" s="25">
        <v>365117.5</v>
      </c>
      <c r="F40" s="25">
        <v>386557.5</v>
      </c>
      <c r="G40" s="25">
        <v>235182</v>
      </c>
      <c r="H40" s="25">
        <v>39682</v>
      </c>
      <c r="I40" s="25">
        <v>106249</v>
      </c>
      <c r="J40" s="25">
        <v>52195</v>
      </c>
      <c r="K40" s="25">
        <v>68210</v>
      </c>
      <c r="L40" s="25">
        <v>7840</v>
      </c>
      <c r="M40" s="18">
        <f t="shared" si="1"/>
        <v>1261033</v>
      </c>
      <c r="N40" s="26"/>
    </row>
    <row r="41" spans="1:14" ht="20.100000000000001" customHeight="1">
      <c r="A41" s="14" t="s">
        <v>117</v>
      </c>
      <c r="B41" s="24" t="s">
        <v>118</v>
      </c>
      <c r="C41" s="24"/>
      <c r="D41" s="45"/>
      <c r="E41" s="18">
        <f>E42</f>
        <v>57200</v>
      </c>
      <c r="F41" s="18">
        <f t="shared" ref="F41:L41" si="27">F42</f>
        <v>58800</v>
      </c>
      <c r="G41" s="18">
        <f t="shared" si="27"/>
        <v>46800</v>
      </c>
      <c r="H41" s="18">
        <f t="shared" si="27"/>
        <v>12000</v>
      </c>
      <c r="I41" s="18">
        <f t="shared" si="27"/>
        <v>23600</v>
      </c>
      <c r="J41" s="18">
        <f t="shared" si="27"/>
        <v>14400</v>
      </c>
      <c r="K41" s="18">
        <f t="shared" si="27"/>
        <v>17200</v>
      </c>
      <c r="L41" s="18">
        <f t="shared" si="27"/>
        <v>2800</v>
      </c>
      <c r="M41" s="18">
        <f t="shared" si="1"/>
        <v>232800</v>
      </c>
      <c r="N41" s="26"/>
    </row>
    <row r="42" spans="1:14" s="44" customFormat="1" ht="20.100000000000001" customHeight="1">
      <c r="A42" s="14" t="s">
        <v>119</v>
      </c>
      <c r="B42" s="43" t="s">
        <v>120</v>
      </c>
      <c r="C42" s="43" t="s">
        <v>31</v>
      </c>
      <c r="D42" s="51" t="s">
        <v>121</v>
      </c>
      <c r="E42" s="18">
        <f>E61*400</f>
        <v>57200</v>
      </c>
      <c r="F42" s="18">
        <f t="shared" ref="F42:L42" si="28">F61*400</f>
        <v>58800</v>
      </c>
      <c r="G42" s="18">
        <f t="shared" si="28"/>
        <v>46800</v>
      </c>
      <c r="H42" s="18">
        <f t="shared" si="28"/>
        <v>12000</v>
      </c>
      <c r="I42" s="18">
        <f t="shared" si="28"/>
        <v>23600</v>
      </c>
      <c r="J42" s="18">
        <f t="shared" si="28"/>
        <v>14400</v>
      </c>
      <c r="K42" s="18">
        <f t="shared" si="28"/>
        <v>17200</v>
      </c>
      <c r="L42" s="18">
        <f t="shared" si="28"/>
        <v>2800</v>
      </c>
      <c r="M42" s="18">
        <f t="shared" si="1"/>
        <v>232800</v>
      </c>
      <c r="N42" s="26"/>
    </row>
    <row r="43" spans="1:14" ht="20.100000000000001" customHeight="1">
      <c r="A43" s="14" t="s">
        <v>122</v>
      </c>
      <c r="B43" s="24" t="s">
        <v>123</v>
      </c>
      <c r="C43" s="24"/>
      <c r="D43" s="45" t="s">
        <v>25</v>
      </c>
      <c r="E43" s="18">
        <f>E44</f>
        <v>281524.05</v>
      </c>
      <c r="F43" s="18">
        <f t="shared" ref="F43:L43" si="29">F44</f>
        <v>436567.5</v>
      </c>
      <c r="G43" s="18">
        <f t="shared" si="29"/>
        <v>174225</v>
      </c>
      <c r="H43" s="18">
        <f t="shared" si="29"/>
        <v>64068.6</v>
      </c>
      <c r="I43" s="18">
        <f t="shared" si="29"/>
        <v>117936.3</v>
      </c>
      <c r="J43" s="18">
        <f t="shared" si="29"/>
        <v>97749.75</v>
      </c>
      <c r="K43" s="18">
        <f t="shared" si="29"/>
        <v>162938.4</v>
      </c>
      <c r="L43" s="18">
        <f t="shared" si="29"/>
        <v>33240</v>
      </c>
      <c r="M43" s="18">
        <f t="shared" si="1"/>
        <v>1368249.5999999999</v>
      </c>
      <c r="N43" s="26"/>
    </row>
    <row r="44" spans="1:14" s="44" customFormat="1" ht="20.100000000000001" customHeight="1">
      <c r="A44" s="14" t="s">
        <v>124</v>
      </c>
      <c r="B44" s="43" t="s">
        <v>125</v>
      </c>
      <c r="C44" s="43" t="s">
        <v>31</v>
      </c>
      <c r="D44" s="51" t="s">
        <v>126</v>
      </c>
      <c r="E44" s="18">
        <f>E72*15</f>
        <v>281524.05</v>
      </c>
      <c r="F44" s="18">
        <f t="shared" ref="F44:L44" si="30">F72*15</f>
        <v>436567.5</v>
      </c>
      <c r="G44" s="18">
        <f t="shared" si="30"/>
        <v>174225</v>
      </c>
      <c r="H44" s="18">
        <f t="shared" si="30"/>
        <v>64068.6</v>
      </c>
      <c r="I44" s="18">
        <f t="shared" si="30"/>
        <v>117936.3</v>
      </c>
      <c r="J44" s="18">
        <f t="shared" si="30"/>
        <v>97749.75</v>
      </c>
      <c r="K44" s="18">
        <f t="shared" si="30"/>
        <v>162938.4</v>
      </c>
      <c r="L44" s="18">
        <f t="shared" si="30"/>
        <v>33240</v>
      </c>
      <c r="M44" s="18">
        <f t="shared" si="1"/>
        <v>1368249.5999999999</v>
      </c>
      <c r="N44" s="26"/>
    </row>
    <row r="45" spans="1:14" ht="20.100000000000001" customHeight="1">
      <c r="A45" s="14" t="s">
        <v>127</v>
      </c>
      <c r="B45" s="24" t="s">
        <v>128</v>
      </c>
      <c r="C45" s="24"/>
      <c r="D45" s="45" t="s">
        <v>25</v>
      </c>
      <c r="E45" s="18">
        <f>E46</f>
        <v>144000</v>
      </c>
      <c r="F45" s="18">
        <f t="shared" ref="F45:L45" si="31">F46</f>
        <v>100900.8</v>
      </c>
      <c r="G45" s="18">
        <f t="shared" si="31"/>
        <v>96000</v>
      </c>
      <c r="H45" s="18">
        <f t="shared" si="31"/>
        <v>23898.400000000001</v>
      </c>
      <c r="I45" s="18">
        <f t="shared" si="31"/>
        <v>33100</v>
      </c>
      <c r="J45" s="18">
        <f t="shared" si="31"/>
        <v>37600</v>
      </c>
      <c r="K45" s="18">
        <f t="shared" si="31"/>
        <v>50073.599999999999</v>
      </c>
      <c r="L45" s="18">
        <f t="shared" si="31"/>
        <v>50016</v>
      </c>
      <c r="M45" s="18">
        <f t="shared" si="1"/>
        <v>535588.80000000005</v>
      </c>
      <c r="N45" s="26"/>
    </row>
    <row r="46" spans="1:14" s="44" customFormat="1" ht="20.100000000000001" customHeight="1">
      <c r="A46" s="14" t="s">
        <v>129</v>
      </c>
      <c r="B46" s="43" t="s">
        <v>130</v>
      </c>
      <c r="C46" s="43" t="s">
        <v>31</v>
      </c>
      <c r="D46" s="51" t="s">
        <v>131</v>
      </c>
      <c r="E46" s="18">
        <f>E73*8</f>
        <v>144000</v>
      </c>
      <c r="F46" s="18">
        <f t="shared" ref="F46:L46" si="32">F73*8</f>
        <v>100900.8</v>
      </c>
      <c r="G46" s="18">
        <f t="shared" si="32"/>
        <v>96000</v>
      </c>
      <c r="H46" s="18">
        <f t="shared" si="32"/>
        <v>23898.400000000001</v>
      </c>
      <c r="I46" s="18">
        <f t="shared" si="32"/>
        <v>33100</v>
      </c>
      <c r="J46" s="18">
        <f t="shared" si="32"/>
        <v>37600</v>
      </c>
      <c r="K46" s="18">
        <f t="shared" si="32"/>
        <v>50073.599999999999</v>
      </c>
      <c r="L46" s="18">
        <f t="shared" si="32"/>
        <v>50016</v>
      </c>
      <c r="M46" s="18">
        <f t="shared" si="1"/>
        <v>535588.80000000005</v>
      </c>
      <c r="N46" s="26"/>
    </row>
    <row r="47" spans="1:14" ht="20.100000000000001" customHeight="1">
      <c r="A47" s="14" t="s">
        <v>132</v>
      </c>
      <c r="B47" s="24" t="s">
        <v>133</v>
      </c>
      <c r="C47" s="24"/>
      <c r="D47" s="45" t="s">
        <v>25</v>
      </c>
      <c r="E47" s="18">
        <f>E48+E49</f>
        <v>1330560</v>
      </c>
      <c r="F47" s="18">
        <f t="shared" ref="F47:L47" si="33">F48+F49</f>
        <v>1144800</v>
      </c>
      <c r="G47" s="18">
        <f t="shared" si="33"/>
        <v>868320</v>
      </c>
      <c r="H47" s="18">
        <f t="shared" si="33"/>
        <v>168480</v>
      </c>
      <c r="I47" s="18">
        <f t="shared" si="33"/>
        <v>306720</v>
      </c>
      <c r="J47" s="18">
        <f t="shared" si="33"/>
        <v>216000</v>
      </c>
      <c r="K47" s="18">
        <f t="shared" si="33"/>
        <v>194400</v>
      </c>
      <c r="L47" s="18">
        <f t="shared" si="33"/>
        <v>47520</v>
      </c>
      <c r="M47" s="18">
        <f t="shared" si="1"/>
        <v>4276800</v>
      </c>
      <c r="N47" s="26"/>
    </row>
    <row r="48" spans="1:14" s="44" customFormat="1" ht="20.100000000000001" customHeight="1">
      <c r="A48" s="14" t="s">
        <v>134</v>
      </c>
      <c r="B48" s="43" t="s">
        <v>135</v>
      </c>
      <c r="C48" s="43" t="s">
        <v>31</v>
      </c>
      <c r="D48" s="51" t="s">
        <v>136</v>
      </c>
      <c r="E48" s="18">
        <f>E61*4320</f>
        <v>617760</v>
      </c>
      <c r="F48" s="18">
        <f t="shared" ref="F48:L48" si="34">F61*4320</f>
        <v>635040</v>
      </c>
      <c r="G48" s="18">
        <f t="shared" si="34"/>
        <v>505440</v>
      </c>
      <c r="H48" s="18">
        <f t="shared" si="34"/>
        <v>129600</v>
      </c>
      <c r="I48" s="18">
        <f t="shared" si="34"/>
        <v>254880</v>
      </c>
      <c r="J48" s="18">
        <f t="shared" si="34"/>
        <v>155520</v>
      </c>
      <c r="K48" s="18">
        <f t="shared" si="34"/>
        <v>185760</v>
      </c>
      <c r="L48" s="18">
        <f t="shared" si="34"/>
        <v>30240</v>
      </c>
      <c r="M48" s="18">
        <f t="shared" si="1"/>
        <v>2514240</v>
      </c>
      <c r="N48" s="26"/>
    </row>
    <row r="49" spans="1:14" s="44" customFormat="1" ht="20.100000000000001" customHeight="1">
      <c r="A49" s="14" t="s">
        <v>137</v>
      </c>
      <c r="B49" s="43" t="s">
        <v>138</v>
      </c>
      <c r="C49" s="43" t="s">
        <v>31</v>
      </c>
      <c r="D49" s="51" t="s">
        <v>139</v>
      </c>
      <c r="E49" s="18">
        <f>E71*4320</f>
        <v>712800</v>
      </c>
      <c r="F49" s="18">
        <f t="shared" ref="F49:L49" si="35">F71*4320</f>
        <v>509760</v>
      </c>
      <c r="G49" s="18">
        <f t="shared" si="35"/>
        <v>362880</v>
      </c>
      <c r="H49" s="18">
        <f t="shared" si="35"/>
        <v>38880</v>
      </c>
      <c r="I49" s="18">
        <f t="shared" si="35"/>
        <v>51840</v>
      </c>
      <c r="J49" s="18">
        <f t="shared" si="35"/>
        <v>60480</v>
      </c>
      <c r="K49" s="18">
        <f t="shared" si="35"/>
        <v>8640</v>
      </c>
      <c r="L49" s="18">
        <f t="shared" si="35"/>
        <v>17280</v>
      </c>
      <c r="M49" s="18">
        <f t="shared" si="1"/>
        <v>1762560</v>
      </c>
      <c r="N49" s="26"/>
    </row>
    <row r="50" spans="1:14" ht="20.100000000000001" customHeight="1">
      <c r="A50" s="14" t="s">
        <v>140</v>
      </c>
      <c r="B50" s="24" t="s">
        <v>141</v>
      </c>
      <c r="C50" s="24"/>
      <c r="D50" s="45" t="s">
        <v>25</v>
      </c>
      <c r="E50" s="18">
        <f>E51</f>
        <v>705706.29</v>
      </c>
      <c r="F50" s="18">
        <f t="shared" ref="F50:L50" si="36">F51</f>
        <v>705456</v>
      </c>
      <c r="G50" s="18">
        <f t="shared" si="36"/>
        <v>582682.29</v>
      </c>
      <c r="H50" s="18">
        <f t="shared" si="36"/>
        <v>125928</v>
      </c>
      <c r="I50" s="18">
        <f t="shared" si="36"/>
        <v>257393.14</v>
      </c>
      <c r="J50" s="18">
        <f t="shared" si="36"/>
        <v>153620.57</v>
      </c>
      <c r="K50" s="18">
        <f t="shared" si="36"/>
        <v>187224</v>
      </c>
      <c r="L50" s="18">
        <f t="shared" si="36"/>
        <v>36356.57</v>
      </c>
      <c r="M50" s="18">
        <f t="shared" si="1"/>
        <v>2754366.86</v>
      </c>
      <c r="N50" s="26"/>
    </row>
    <row r="51" spans="1:14" s="44" customFormat="1" ht="20.100000000000001" customHeight="1">
      <c r="A51" s="14" t="s">
        <v>142</v>
      </c>
      <c r="B51" s="43" t="s">
        <v>143</v>
      </c>
      <c r="C51" s="43" t="s">
        <v>31</v>
      </c>
      <c r="D51" s="26" t="s">
        <v>48</v>
      </c>
      <c r="E51" s="18">
        <f>ROUND(E29/0.07*0.02,2)</f>
        <v>705706.29</v>
      </c>
      <c r="F51" s="18">
        <f t="shared" ref="F51:L51" si="37">ROUND(F29/0.07*0.02,2)</f>
        <v>705456</v>
      </c>
      <c r="G51" s="18">
        <f t="shared" si="37"/>
        <v>582682.29</v>
      </c>
      <c r="H51" s="18">
        <f t="shared" si="37"/>
        <v>125928</v>
      </c>
      <c r="I51" s="18">
        <f t="shared" si="37"/>
        <v>257393.14</v>
      </c>
      <c r="J51" s="18">
        <f t="shared" si="37"/>
        <v>153620.57</v>
      </c>
      <c r="K51" s="18">
        <f t="shared" si="37"/>
        <v>187224</v>
      </c>
      <c r="L51" s="18">
        <f t="shared" si="37"/>
        <v>36356.57</v>
      </c>
      <c r="M51" s="18">
        <f t="shared" si="1"/>
        <v>2754366.86</v>
      </c>
      <c r="N51" s="26"/>
    </row>
    <row r="52" spans="1:14" ht="20.100000000000001" customHeight="1">
      <c r="A52" s="14" t="s">
        <v>144</v>
      </c>
      <c r="B52" s="24" t="s">
        <v>145</v>
      </c>
      <c r="C52" s="24"/>
      <c r="D52" s="45" t="s">
        <v>25</v>
      </c>
      <c r="E52" s="18">
        <f>E53</f>
        <v>32000</v>
      </c>
      <c r="F52" s="18">
        <f t="shared" ref="F52:L52" si="38">F53</f>
        <v>64000</v>
      </c>
      <c r="G52" s="18">
        <f t="shared" si="38"/>
        <v>32000</v>
      </c>
      <c r="H52" s="18">
        <f t="shared" si="38"/>
        <v>0</v>
      </c>
      <c r="I52" s="18">
        <f t="shared" si="38"/>
        <v>0</v>
      </c>
      <c r="J52" s="18">
        <f t="shared" si="38"/>
        <v>0</v>
      </c>
      <c r="K52" s="18">
        <f t="shared" si="38"/>
        <v>0</v>
      </c>
      <c r="L52" s="18">
        <f t="shared" si="38"/>
        <v>0</v>
      </c>
      <c r="M52" s="18">
        <f t="shared" si="1"/>
        <v>128000</v>
      </c>
      <c r="N52" s="26"/>
    </row>
    <row r="53" spans="1:14" ht="20.100000000000001" customHeight="1">
      <c r="A53" s="14" t="s">
        <v>146</v>
      </c>
      <c r="B53" s="24" t="s">
        <v>147</v>
      </c>
      <c r="C53" s="24" t="s">
        <v>31</v>
      </c>
      <c r="D53" s="27" t="s">
        <v>148</v>
      </c>
      <c r="E53" s="25">
        <v>32000</v>
      </c>
      <c r="F53" s="25">
        <v>64000</v>
      </c>
      <c r="G53" s="25">
        <v>32000</v>
      </c>
      <c r="H53" s="25"/>
      <c r="I53" s="25"/>
      <c r="J53" s="25"/>
      <c r="K53" s="25"/>
      <c r="L53" s="25"/>
      <c r="M53" s="18">
        <f t="shared" si="1"/>
        <v>128000</v>
      </c>
      <c r="N53" s="26"/>
    </row>
    <row r="54" spans="1:14" ht="20.100000000000001" customHeight="1">
      <c r="A54" s="14" t="s">
        <v>149</v>
      </c>
      <c r="B54" s="24" t="s">
        <v>150</v>
      </c>
      <c r="C54" s="24"/>
      <c r="D54" s="45" t="s">
        <v>25</v>
      </c>
      <c r="E54" s="18">
        <f>E55+E57</f>
        <v>78800</v>
      </c>
      <c r="F54" s="18">
        <f t="shared" ref="F54:L54" si="39">F55+F57</f>
        <v>50200</v>
      </c>
      <c r="G54" s="18">
        <f t="shared" si="39"/>
        <v>36600</v>
      </c>
      <c r="H54" s="18">
        <f t="shared" si="39"/>
        <v>4100</v>
      </c>
      <c r="I54" s="18">
        <f t="shared" si="39"/>
        <v>7300</v>
      </c>
      <c r="J54" s="18">
        <f t="shared" si="39"/>
        <v>9600</v>
      </c>
      <c r="K54" s="18">
        <f t="shared" si="39"/>
        <v>2300</v>
      </c>
      <c r="L54" s="18">
        <f t="shared" si="39"/>
        <v>1600</v>
      </c>
      <c r="M54" s="18">
        <f t="shared" si="1"/>
        <v>190500</v>
      </c>
      <c r="N54" s="26"/>
    </row>
    <row r="55" spans="1:14" ht="20.100000000000001" customHeight="1">
      <c r="A55" s="14" t="s">
        <v>151</v>
      </c>
      <c r="B55" s="24" t="s">
        <v>152</v>
      </c>
      <c r="C55" s="24" t="s">
        <v>31</v>
      </c>
      <c r="D55" s="45" t="s">
        <v>25</v>
      </c>
      <c r="E55" s="18">
        <f>E56</f>
        <v>66000</v>
      </c>
      <c r="F55" s="18">
        <f t="shared" ref="F55:L55" si="40">F56</f>
        <v>47200</v>
      </c>
      <c r="G55" s="18">
        <f t="shared" si="40"/>
        <v>33600</v>
      </c>
      <c r="H55" s="18">
        <f t="shared" si="40"/>
        <v>3600</v>
      </c>
      <c r="I55" s="18">
        <f t="shared" si="40"/>
        <v>4800</v>
      </c>
      <c r="J55" s="18">
        <f t="shared" si="40"/>
        <v>5600</v>
      </c>
      <c r="K55" s="18">
        <f t="shared" si="40"/>
        <v>800</v>
      </c>
      <c r="L55" s="18">
        <f t="shared" si="40"/>
        <v>1600</v>
      </c>
      <c r="M55" s="18">
        <f t="shared" si="1"/>
        <v>163200</v>
      </c>
      <c r="N55" s="26"/>
    </row>
    <row r="56" spans="1:14" s="44" customFormat="1" ht="20.100000000000001" customHeight="1">
      <c r="A56" s="14" t="s">
        <v>153</v>
      </c>
      <c r="B56" s="43" t="s">
        <v>154</v>
      </c>
      <c r="C56" s="43" t="s">
        <v>31</v>
      </c>
      <c r="D56" s="51" t="s">
        <v>155</v>
      </c>
      <c r="E56" s="18">
        <f>E71*400</f>
        <v>66000</v>
      </c>
      <c r="F56" s="18">
        <f t="shared" ref="F56:L56" si="41">F71*400</f>
        <v>47200</v>
      </c>
      <c r="G56" s="18">
        <f t="shared" si="41"/>
        <v>33600</v>
      </c>
      <c r="H56" s="18">
        <f t="shared" si="41"/>
        <v>3600</v>
      </c>
      <c r="I56" s="18">
        <f t="shared" si="41"/>
        <v>4800</v>
      </c>
      <c r="J56" s="18">
        <f t="shared" si="41"/>
        <v>5600</v>
      </c>
      <c r="K56" s="18">
        <f t="shared" si="41"/>
        <v>800</v>
      </c>
      <c r="L56" s="18">
        <f t="shared" si="41"/>
        <v>1600</v>
      </c>
      <c r="M56" s="18">
        <f t="shared" si="1"/>
        <v>163200</v>
      </c>
      <c r="N56" s="26"/>
    </row>
    <row r="57" spans="1:14" ht="20.100000000000001" customHeight="1">
      <c r="A57" s="14" t="s">
        <v>156</v>
      </c>
      <c r="B57" s="24" t="s">
        <v>157</v>
      </c>
      <c r="C57" s="24" t="s">
        <v>31</v>
      </c>
      <c r="D57" s="27" t="s">
        <v>158</v>
      </c>
      <c r="E57" s="52">
        <v>12800</v>
      </c>
      <c r="F57" s="52">
        <v>3000</v>
      </c>
      <c r="G57" s="52">
        <v>3000</v>
      </c>
      <c r="H57" s="52">
        <v>500</v>
      </c>
      <c r="I57" s="52">
        <v>2500</v>
      </c>
      <c r="J57" s="52">
        <v>4000</v>
      </c>
      <c r="K57" s="52">
        <v>1500</v>
      </c>
      <c r="L57" s="52"/>
      <c r="M57" s="18">
        <f t="shared" si="1"/>
        <v>27300</v>
      </c>
      <c r="N57" s="16"/>
    </row>
    <row r="58" spans="1:14" ht="20.100000000000001" customHeight="1">
      <c r="A58" s="14" t="s">
        <v>159</v>
      </c>
      <c r="B58" s="24" t="s">
        <v>160</v>
      </c>
      <c r="C58" s="24"/>
      <c r="D58" s="45" t="s">
        <v>25</v>
      </c>
      <c r="E58" s="18">
        <f>E59</f>
        <v>0</v>
      </c>
      <c r="F58" s="18">
        <f t="shared" ref="F58:L58" si="42">F59</f>
        <v>0</v>
      </c>
      <c r="G58" s="18">
        <f t="shared" si="42"/>
        <v>0</v>
      </c>
      <c r="H58" s="18">
        <f t="shared" si="42"/>
        <v>32000</v>
      </c>
      <c r="I58" s="18">
        <f t="shared" si="42"/>
        <v>32000</v>
      </c>
      <c r="J58" s="18">
        <f t="shared" si="42"/>
        <v>32000</v>
      </c>
      <c r="K58" s="18">
        <f t="shared" si="42"/>
        <v>32000</v>
      </c>
      <c r="L58" s="18">
        <f t="shared" si="42"/>
        <v>32000</v>
      </c>
      <c r="M58" s="18">
        <f t="shared" si="1"/>
        <v>160000</v>
      </c>
      <c r="N58" s="26"/>
    </row>
    <row r="59" spans="1:14" ht="20.100000000000001" customHeight="1" thickBot="1">
      <c r="A59" s="14" t="s">
        <v>161</v>
      </c>
      <c r="B59" s="53" t="s">
        <v>162</v>
      </c>
      <c r="C59" s="24" t="s">
        <v>31</v>
      </c>
      <c r="D59" s="54" t="s">
        <v>163</v>
      </c>
      <c r="E59" s="34"/>
      <c r="F59" s="34"/>
      <c r="G59" s="34"/>
      <c r="H59" s="34">
        <v>32000</v>
      </c>
      <c r="I59" s="34">
        <v>32000</v>
      </c>
      <c r="J59" s="34">
        <v>32000</v>
      </c>
      <c r="K59" s="34">
        <v>32000</v>
      </c>
      <c r="L59" s="34">
        <v>32000</v>
      </c>
      <c r="M59" s="18">
        <f t="shared" si="1"/>
        <v>160000</v>
      </c>
      <c r="N59" s="55"/>
    </row>
    <row r="60" spans="1:14" ht="20.100000000000001" customHeight="1" thickTop="1">
      <c r="A60" s="14" t="s">
        <v>164</v>
      </c>
      <c r="B60" s="56" t="s">
        <v>165</v>
      </c>
      <c r="C60" s="56"/>
      <c r="D60" s="57"/>
      <c r="E60" s="58"/>
      <c r="F60" s="58"/>
      <c r="G60" s="58"/>
      <c r="H60" s="58"/>
      <c r="I60" s="58"/>
      <c r="J60" s="58"/>
      <c r="K60" s="58"/>
      <c r="L60" s="58"/>
      <c r="M60" s="18">
        <f t="shared" si="1"/>
        <v>0</v>
      </c>
      <c r="N60" s="59"/>
    </row>
    <row r="61" spans="1:14" ht="20.100000000000001" customHeight="1">
      <c r="A61" s="14" t="s">
        <v>166</v>
      </c>
      <c r="B61" s="24" t="s">
        <v>167</v>
      </c>
      <c r="C61" s="24"/>
      <c r="D61" s="45" t="s">
        <v>168</v>
      </c>
      <c r="E61" s="18">
        <f>E62+E63+E64+E65</f>
        <v>143</v>
      </c>
      <c r="F61" s="18">
        <f t="shared" ref="F61:L61" si="43">F62+F63+F64+F65</f>
        <v>147</v>
      </c>
      <c r="G61" s="18">
        <f t="shared" si="43"/>
        <v>117</v>
      </c>
      <c r="H61" s="18">
        <f t="shared" si="43"/>
        <v>30</v>
      </c>
      <c r="I61" s="18">
        <f t="shared" si="43"/>
        <v>59</v>
      </c>
      <c r="J61" s="18">
        <f t="shared" si="43"/>
        <v>36</v>
      </c>
      <c r="K61" s="18">
        <f t="shared" si="43"/>
        <v>43</v>
      </c>
      <c r="L61" s="18">
        <f t="shared" si="43"/>
        <v>7</v>
      </c>
      <c r="M61" s="18">
        <f t="shared" si="1"/>
        <v>582</v>
      </c>
      <c r="N61" s="26"/>
    </row>
    <row r="62" spans="1:14" ht="20.100000000000001" customHeight="1">
      <c r="A62" s="14" t="s">
        <v>169</v>
      </c>
      <c r="B62" s="60" t="s">
        <v>170</v>
      </c>
      <c r="C62" s="60"/>
      <c r="D62" s="16"/>
      <c r="E62" s="17">
        <v>77</v>
      </c>
      <c r="F62" s="17">
        <v>69</v>
      </c>
      <c r="G62" s="17">
        <v>54</v>
      </c>
      <c r="H62" s="17"/>
      <c r="I62" s="17"/>
      <c r="J62" s="17"/>
      <c r="K62" s="17"/>
      <c r="L62" s="17"/>
      <c r="M62" s="18">
        <f t="shared" si="1"/>
        <v>200</v>
      </c>
      <c r="N62" s="26"/>
    </row>
    <row r="63" spans="1:14" ht="20.100000000000001" customHeight="1">
      <c r="A63" s="14" t="s">
        <v>171</v>
      </c>
      <c r="B63" s="60" t="s">
        <v>172</v>
      </c>
      <c r="C63" s="60"/>
      <c r="D63" s="45"/>
      <c r="E63" s="25">
        <v>66</v>
      </c>
      <c r="F63" s="25">
        <v>78</v>
      </c>
      <c r="G63" s="25">
        <v>63</v>
      </c>
      <c r="H63" s="25"/>
      <c r="I63" s="25"/>
      <c r="J63" s="25"/>
      <c r="K63" s="25"/>
      <c r="L63" s="25"/>
      <c r="M63" s="18">
        <f t="shared" si="1"/>
        <v>207</v>
      </c>
      <c r="N63" s="26"/>
    </row>
    <row r="64" spans="1:14" ht="20.100000000000001" customHeight="1">
      <c r="A64" s="14" t="s">
        <v>173</v>
      </c>
      <c r="B64" s="60" t="s">
        <v>174</v>
      </c>
      <c r="C64" s="60"/>
      <c r="D64" s="16"/>
      <c r="E64" s="17"/>
      <c r="F64" s="17"/>
      <c r="G64" s="17"/>
      <c r="H64" s="17">
        <v>30</v>
      </c>
      <c r="I64" s="17">
        <v>59</v>
      </c>
      <c r="J64" s="17">
        <v>36</v>
      </c>
      <c r="K64" s="17">
        <v>43</v>
      </c>
      <c r="L64" s="17"/>
      <c r="M64" s="18">
        <f t="shared" si="1"/>
        <v>168</v>
      </c>
      <c r="N64" s="26"/>
    </row>
    <row r="65" spans="1:14" ht="20.100000000000001" customHeight="1">
      <c r="A65" s="14" t="s">
        <v>175</v>
      </c>
      <c r="B65" s="60" t="s">
        <v>176</v>
      </c>
      <c r="C65" s="60"/>
      <c r="D65" s="16"/>
      <c r="E65" s="17"/>
      <c r="F65" s="17"/>
      <c r="G65" s="17"/>
      <c r="H65" s="17"/>
      <c r="I65" s="17"/>
      <c r="J65" s="17"/>
      <c r="K65" s="17"/>
      <c r="L65" s="17">
        <v>7</v>
      </c>
      <c r="M65" s="18">
        <f t="shared" si="1"/>
        <v>7</v>
      </c>
      <c r="N65" s="26"/>
    </row>
    <row r="66" spans="1:14" ht="20.100000000000001" customHeight="1">
      <c r="A66" s="14" t="s">
        <v>177</v>
      </c>
      <c r="B66" s="24" t="s">
        <v>178</v>
      </c>
      <c r="C66" s="24"/>
      <c r="D66" s="45" t="s">
        <v>179</v>
      </c>
      <c r="E66" s="18">
        <f>E67+E68+E69+E70</f>
        <v>2062</v>
      </c>
      <c r="F66" s="18">
        <f t="shared" ref="F66:L66" si="44">F67+F68+F69+F70</f>
        <v>2204</v>
      </c>
      <c r="G66" s="18">
        <f t="shared" si="44"/>
        <v>1293</v>
      </c>
      <c r="H66" s="18">
        <f t="shared" si="44"/>
        <v>275</v>
      </c>
      <c r="I66" s="18">
        <f t="shared" si="44"/>
        <v>743</v>
      </c>
      <c r="J66" s="18">
        <f t="shared" si="44"/>
        <v>365</v>
      </c>
      <c r="K66" s="18">
        <f t="shared" si="44"/>
        <v>472</v>
      </c>
      <c r="L66" s="18">
        <f t="shared" si="44"/>
        <v>0</v>
      </c>
      <c r="M66" s="18">
        <f t="shared" si="1"/>
        <v>7414</v>
      </c>
      <c r="N66" s="26"/>
    </row>
    <row r="67" spans="1:14" ht="20.100000000000001" customHeight="1">
      <c r="A67" s="14" t="s">
        <v>180</v>
      </c>
      <c r="B67" s="60" t="s">
        <v>170</v>
      </c>
      <c r="C67" s="60"/>
      <c r="D67" s="16"/>
      <c r="E67" s="17">
        <v>959</v>
      </c>
      <c r="F67" s="17">
        <v>935</v>
      </c>
      <c r="G67" s="17">
        <v>621</v>
      </c>
      <c r="H67" s="17"/>
      <c r="I67" s="17"/>
      <c r="J67" s="17"/>
      <c r="K67" s="17"/>
      <c r="L67" s="17"/>
      <c r="M67" s="18">
        <f t="shared" ref="M67:M73" si="45">SUM(E67:L67)</f>
        <v>2515</v>
      </c>
      <c r="N67" s="26"/>
    </row>
    <row r="68" spans="1:14" ht="20.100000000000001" customHeight="1">
      <c r="A68" s="14" t="s">
        <v>181</v>
      </c>
      <c r="B68" s="60" t="s">
        <v>172</v>
      </c>
      <c r="C68" s="60"/>
      <c r="D68" s="45"/>
      <c r="E68" s="25">
        <v>1103</v>
      </c>
      <c r="F68" s="25">
        <v>1269</v>
      </c>
      <c r="G68" s="25">
        <v>672</v>
      </c>
      <c r="H68" s="25"/>
      <c r="I68" s="25"/>
      <c r="J68" s="25"/>
      <c r="K68" s="25"/>
      <c r="L68" s="25"/>
      <c r="M68" s="18">
        <f t="shared" si="45"/>
        <v>3044</v>
      </c>
      <c r="N68" s="26"/>
    </row>
    <row r="69" spans="1:14" ht="20.100000000000001" customHeight="1">
      <c r="A69" s="14" t="s">
        <v>182</v>
      </c>
      <c r="B69" s="60" t="s">
        <v>174</v>
      </c>
      <c r="C69" s="60"/>
      <c r="D69" s="16"/>
      <c r="E69" s="17"/>
      <c r="F69" s="17"/>
      <c r="G69" s="17"/>
      <c r="H69" s="17">
        <v>275</v>
      </c>
      <c r="I69" s="17">
        <v>743</v>
      </c>
      <c r="J69" s="17">
        <v>365</v>
      </c>
      <c r="K69" s="17">
        <v>472</v>
      </c>
      <c r="L69" s="17"/>
      <c r="M69" s="18">
        <f t="shared" si="45"/>
        <v>1855</v>
      </c>
      <c r="N69" s="26"/>
    </row>
    <row r="70" spans="1:14" ht="20.100000000000001" customHeight="1">
      <c r="A70" s="14" t="s">
        <v>183</v>
      </c>
      <c r="B70" s="60" t="s">
        <v>176</v>
      </c>
      <c r="C70" s="60"/>
      <c r="D70" s="16"/>
      <c r="E70" s="17"/>
      <c r="F70" s="17"/>
      <c r="G70" s="17"/>
      <c r="H70" s="17"/>
      <c r="I70" s="17"/>
      <c r="J70" s="17"/>
      <c r="K70" s="17"/>
      <c r="L70" s="17"/>
      <c r="M70" s="18">
        <f t="shared" si="45"/>
        <v>0</v>
      </c>
      <c r="N70" s="26"/>
    </row>
    <row r="71" spans="1:14" ht="20.100000000000001" customHeight="1">
      <c r="A71" s="14" t="s">
        <v>184</v>
      </c>
      <c r="B71" s="24" t="s">
        <v>185</v>
      </c>
      <c r="C71" s="24"/>
      <c r="D71" s="45"/>
      <c r="E71" s="25">
        <v>165</v>
      </c>
      <c r="F71" s="25">
        <v>118</v>
      </c>
      <c r="G71" s="25">
        <v>84</v>
      </c>
      <c r="H71" s="25">
        <v>9</v>
      </c>
      <c r="I71" s="25">
        <v>12</v>
      </c>
      <c r="J71" s="25">
        <v>14</v>
      </c>
      <c r="K71" s="25">
        <v>2</v>
      </c>
      <c r="L71" s="25">
        <v>4</v>
      </c>
      <c r="M71" s="18">
        <f t="shared" si="45"/>
        <v>408</v>
      </c>
      <c r="N71" s="26"/>
    </row>
    <row r="72" spans="1:14" ht="20.100000000000001" customHeight="1">
      <c r="A72" s="14" t="s">
        <v>186</v>
      </c>
      <c r="B72" s="60" t="s">
        <v>187</v>
      </c>
      <c r="C72" s="60"/>
      <c r="D72" s="27"/>
      <c r="E72" s="25">
        <v>18768.27</v>
      </c>
      <c r="F72" s="25">
        <v>29104.5</v>
      </c>
      <c r="G72" s="25">
        <v>11615</v>
      </c>
      <c r="H72" s="25">
        <v>4271.24</v>
      </c>
      <c r="I72" s="25">
        <v>7862.42</v>
      </c>
      <c r="J72" s="25">
        <v>6516.65</v>
      </c>
      <c r="K72" s="25">
        <v>10862.56</v>
      </c>
      <c r="L72" s="25">
        <v>2216</v>
      </c>
      <c r="M72" s="18">
        <f t="shared" si="45"/>
        <v>91216.639999999999</v>
      </c>
      <c r="N72" s="26"/>
    </row>
    <row r="73" spans="1:14" ht="20.100000000000001" customHeight="1">
      <c r="A73" s="14" t="s">
        <v>188</v>
      </c>
      <c r="B73" s="60" t="s">
        <v>189</v>
      </c>
      <c r="C73" s="60"/>
      <c r="D73" s="27"/>
      <c r="E73" s="25">
        <v>18000</v>
      </c>
      <c r="F73" s="25">
        <v>12612.6</v>
      </c>
      <c r="G73" s="25">
        <v>12000</v>
      </c>
      <c r="H73" s="25">
        <v>2987.3</v>
      </c>
      <c r="I73" s="25">
        <v>4137.5</v>
      </c>
      <c r="J73" s="25">
        <v>4700</v>
      </c>
      <c r="K73" s="25">
        <v>6259.2</v>
      </c>
      <c r="L73" s="25">
        <v>6252</v>
      </c>
      <c r="M73" s="18">
        <f t="shared" si="45"/>
        <v>66948.600000000006</v>
      </c>
      <c r="N73" s="26"/>
    </row>
    <row r="74" spans="1:14">
      <c r="E74" s="19">
        <f t="shared" ref="E74:L74" si="46">E4/E61</f>
        <v>388860.98489510489</v>
      </c>
      <c r="F74" s="19">
        <f t="shared" si="46"/>
        <v>382810.68278911564</v>
      </c>
      <c r="G74" s="19">
        <f t="shared" si="46"/>
        <v>390582.23735042731</v>
      </c>
      <c r="H74" s="19">
        <f t="shared" si="46"/>
        <v>340913.89266666671</v>
      </c>
      <c r="I74" s="19">
        <f t="shared" si="46"/>
        <v>340480.40711864404</v>
      </c>
      <c r="J74" s="19">
        <f t="shared" si="46"/>
        <v>335120.53583333333</v>
      </c>
      <c r="K74" s="19">
        <f t="shared" si="46"/>
        <v>337347.87604651164</v>
      </c>
      <c r="L74" s="19">
        <f t="shared" si="46"/>
        <v>384253.92857142858</v>
      </c>
      <c r="M74" s="19">
        <f>M4/M61</f>
        <v>373117.26673539513</v>
      </c>
    </row>
  </sheetData>
  <protectedRanges>
    <protectedRange password="E9C1" sqref="D29 C30 A4:D5 B6:D28 B31:D73 M4:N73 A6:A73 A2:N3" name="区域1_1"/>
    <protectedRange password="E9C1" sqref="B29:C29 B30" name="区域1_1_1"/>
    <protectedRange password="E9C1" sqref="D30" name="区域1_2"/>
  </protectedRanges>
  <mergeCells count="1">
    <mergeCell ref="A1:N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8" scale="85" orientation="landscape" r:id="rId1"/>
  <headerFooter>
    <oddFooter>第 &amp;P 页，共 &amp;N 页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dimension ref="A1:U73"/>
  <sheetViews>
    <sheetView workbookViewId="0">
      <pane xSplit="4" ySplit="2" topLeftCell="G15" activePane="bottomRight" state="frozen"/>
      <selection pane="topRight" activeCell="E1" sqref="E1"/>
      <selection pane="bottomLeft" activeCell="A3" sqref="A3"/>
      <selection pane="bottomRight" activeCell="T33" activeCellId="4" sqref="T20 T25 T28 T29 T33"/>
    </sheetView>
  </sheetViews>
  <sheetFormatPr defaultColWidth="9" defaultRowHeight="11.25"/>
  <cols>
    <col min="1" max="1" width="4.625" style="61" customWidth="1"/>
    <col min="2" max="2" width="15.5" style="19" customWidth="1"/>
    <col min="3" max="3" width="5.875" style="19" customWidth="1"/>
    <col min="4" max="4" width="9" style="62"/>
    <col min="5" max="5" width="11.5" style="19" customWidth="1"/>
    <col min="6" max="6" width="12.375" style="19" customWidth="1"/>
    <col min="7" max="7" width="11.375" style="19" customWidth="1"/>
    <col min="8" max="8" width="11.875" style="19" customWidth="1"/>
    <col min="9" max="9" width="10.5" style="19" customWidth="1"/>
    <col min="10" max="10" width="12" style="19" customWidth="1"/>
    <col min="11" max="11" width="11.25" style="19" customWidth="1"/>
    <col min="12" max="12" width="11.125" style="19" customWidth="1"/>
    <col min="13" max="13" width="12.625" style="19" customWidth="1"/>
    <col min="14" max="14" width="11.5" style="19" customWidth="1"/>
    <col min="15" max="15" width="10.375" style="19" customWidth="1"/>
    <col min="16" max="16" width="11.75" style="19" customWidth="1"/>
    <col min="17" max="17" width="13.125" style="19" customWidth="1"/>
    <col min="18" max="19" width="12" style="19" customWidth="1"/>
    <col min="20" max="20" width="12.75" style="19" customWidth="1"/>
    <col min="21" max="16384" width="9" style="19"/>
  </cols>
  <sheetData>
    <row r="1" spans="1:21" ht="25.5">
      <c r="A1" s="574" t="s">
        <v>952</v>
      </c>
      <c r="B1" s="575"/>
      <c r="C1" s="575"/>
      <c r="D1" s="575"/>
      <c r="E1" s="575"/>
      <c r="F1" s="575"/>
      <c r="G1" s="575"/>
      <c r="H1" s="575"/>
      <c r="I1" s="575"/>
      <c r="J1" s="575"/>
      <c r="K1" s="575"/>
      <c r="L1" s="575"/>
      <c r="M1" s="575"/>
      <c r="N1" s="575"/>
      <c r="O1" s="575"/>
      <c r="P1" s="575"/>
      <c r="Q1" s="575"/>
      <c r="R1" s="575"/>
      <c r="S1" s="575"/>
      <c r="T1" s="575"/>
      <c r="U1" s="575"/>
    </row>
    <row r="2" spans="1:21" ht="23.1" customHeight="1">
      <c r="A2" s="46" t="s">
        <v>12</v>
      </c>
      <c r="B2" s="46" t="s">
        <v>13</v>
      </c>
      <c r="C2" s="46" t="s">
        <v>14</v>
      </c>
      <c r="D2" s="47" t="s">
        <v>15</v>
      </c>
      <c r="E2" s="47" t="s">
        <v>292</v>
      </c>
      <c r="F2" s="47" t="s">
        <v>293</v>
      </c>
      <c r="G2" s="47" t="s">
        <v>294</v>
      </c>
      <c r="H2" s="47" t="s">
        <v>295</v>
      </c>
      <c r="I2" s="47" t="s">
        <v>296</v>
      </c>
      <c r="J2" s="47" t="s">
        <v>297</v>
      </c>
      <c r="K2" s="47" t="s">
        <v>298</v>
      </c>
      <c r="L2" s="47" t="s">
        <v>299</v>
      </c>
      <c r="M2" s="47" t="s">
        <v>300</v>
      </c>
      <c r="N2" s="47" t="s">
        <v>301</v>
      </c>
      <c r="O2" s="47" t="s">
        <v>302</v>
      </c>
      <c r="P2" s="47" t="s">
        <v>303</v>
      </c>
      <c r="Q2" s="47" t="s">
        <v>304</v>
      </c>
      <c r="R2" s="47" t="s">
        <v>305</v>
      </c>
      <c r="S2" s="47" t="s">
        <v>306</v>
      </c>
      <c r="T2" s="47" t="s">
        <v>21</v>
      </c>
      <c r="U2" s="48" t="s">
        <v>22</v>
      </c>
    </row>
    <row r="3" spans="1:21" ht="23.1" customHeight="1">
      <c r="A3" s="14" t="s">
        <v>23</v>
      </c>
      <c r="B3" s="24" t="s">
        <v>24</v>
      </c>
      <c r="C3" s="24"/>
      <c r="D3" s="45" t="s">
        <v>25</v>
      </c>
      <c r="E3" s="18">
        <f t="shared" ref="E3:S3" si="0">E4+E31+E38</f>
        <v>54272522.960000001</v>
      </c>
      <c r="F3" s="18">
        <f t="shared" si="0"/>
        <v>33775745.550000004</v>
      </c>
      <c r="G3" s="18">
        <f t="shared" si="0"/>
        <v>35863509.719999999</v>
      </c>
      <c r="H3" s="18">
        <f t="shared" si="0"/>
        <v>40349935.300000004</v>
      </c>
      <c r="I3" s="18">
        <f t="shared" si="0"/>
        <v>84799192.86999999</v>
      </c>
      <c r="J3" s="18">
        <f t="shared" si="0"/>
        <v>22635308.509999998</v>
      </c>
      <c r="K3" s="18">
        <f t="shared" si="0"/>
        <v>22025791.830000002</v>
      </c>
      <c r="L3" s="18">
        <f t="shared" si="0"/>
        <v>18420572.870000001</v>
      </c>
      <c r="M3" s="18">
        <f t="shared" si="0"/>
        <v>16721217.57</v>
      </c>
      <c r="N3" s="18">
        <f t="shared" si="0"/>
        <v>16924299.030000001</v>
      </c>
      <c r="O3" s="18">
        <f t="shared" si="0"/>
        <v>58006647.799999997</v>
      </c>
      <c r="P3" s="18">
        <f t="shared" si="0"/>
        <v>2113051.36</v>
      </c>
      <c r="Q3" s="18">
        <f t="shared" si="0"/>
        <v>6058424.3399999999</v>
      </c>
      <c r="R3" s="18">
        <f t="shared" si="0"/>
        <v>34164022.660000004</v>
      </c>
      <c r="S3" s="18">
        <f t="shared" si="0"/>
        <v>12333184.620000001</v>
      </c>
      <c r="T3" s="18">
        <f t="shared" ref="T3:T66" si="1">SUM(E3:S3)</f>
        <v>458463426.98999995</v>
      </c>
      <c r="U3" s="26"/>
    </row>
    <row r="4" spans="1:21" ht="23.1" customHeight="1">
      <c r="A4" s="14" t="s">
        <v>26</v>
      </c>
      <c r="B4" s="24" t="s">
        <v>0</v>
      </c>
      <c r="C4" s="24"/>
      <c r="D4" s="45" t="s">
        <v>25</v>
      </c>
      <c r="E4" s="18">
        <f>E5+E8+E12+E15+E20+E25+E27+E29+E30</f>
        <v>45157635.25</v>
      </c>
      <c r="F4" s="18">
        <f t="shared" ref="F4:S4" si="2">F5+F8+F12+F15+F20+F25+F27+F29+F30</f>
        <v>28016017.410000004</v>
      </c>
      <c r="G4" s="18">
        <f t="shared" si="2"/>
        <v>30087862.149999999</v>
      </c>
      <c r="H4" s="18">
        <f t="shared" si="2"/>
        <v>34833602.590000004</v>
      </c>
      <c r="I4" s="18">
        <f t="shared" si="2"/>
        <v>71410535.269999996</v>
      </c>
      <c r="J4" s="18">
        <f t="shared" si="2"/>
        <v>19275063.149999999</v>
      </c>
      <c r="K4" s="18">
        <f t="shared" si="2"/>
        <v>19131246.370000001</v>
      </c>
      <c r="L4" s="18">
        <f t="shared" si="2"/>
        <v>15552721.5</v>
      </c>
      <c r="M4" s="18">
        <f t="shared" si="2"/>
        <v>14240320.390000001</v>
      </c>
      <c r="N4" s="18">
        <f t="shared" si="2"/>
        <v>14762684.369999999</v>
      </c>
      <c r="O4" s="18">
        <f t="shared" si="2"/>
        <v>49721546.589999996</v>
      </c>
      <c r="P4" s="18">
        <f t="shared" si="2"/>
        <v>1806618.22</v>
      </c>
      <c r="Q4" s="18">
        <f t="shared" si="2"/>
        <v>4958171.63</v>
      </c>
      <c r="R4" s="18">
        <f t="shared" si="2"/>
        <v>28601524.390000001</v>
      </c>
      <c r="S4" s="18">
        <f t="shared" si="2"/>
        <v>10335122.680000002</v>
      </c>
      <c r="T4" s="18">
        <f t="shared" si="1"/>
        <v>387890671.96000004</v>
      </c>
      <c r="U4" s="26"/>
    </row>
    <row r="5" spans="1:21" ht="23.1" customHeight="1">
      <c r="A5" s="14" t="s">
        <v>27</v>
      </c>
      <c r="B5" s="24" t="s">
        <v>28</v>
      </c>
      <c r="C5" s="24"/>
      <c r="D5" s="45" t="s">
        <v>25</v>
      </c>
      <c r="E5" s="18">
        <f>E6+E7</f>
        <v>5726592</v>
      </c>
      <c r="F5" s="18">
        <f t="shared" ref="F5:S5" si="3">F6+F7</f>
        <v>3683256</v>
      </c>
      <c r="G5" s="18">
        <f t="shared" si="3"/>
        <v>4229808</v>
      </c>
      <c r="H5" s="18">
        <f t="shared" si="3"/>
        <v>4565568</v>
      </c>
      <c r="I5" s="18">
        <f t="shared" si="3"/>
        <v>8718456</v>
      </c>
      <c r="J5" s="18">
        <f t="shared" si="3"/>
        <v>2332272</v>
      </c>
      <c r="K5" s="18">
        <f t="shared" si="3"/>
        <v>2539476</v>
      </c>
      <c r="L5" s="18">
        <f t="shared" si="3"/>
        <v>2092500</v>
      </c>
      <c r="M5" s="18">
        <f t="shared" si="3"/>
        <v>1813080</v>
      </c>
      <c r="N5" s="18">
        <f t="shared" si="3"/>
        <v>2206176</v>
      </c>
      <c r="O5" s="18">
        <f t="shared" si="3"/>
        <v>5991648</v>
      </c>
      <c r="P5" s="18">
        <f t="shared" si="3"/>
        <v>215664</v>
      </c>
      <c r="Q5" s="18">
        <f t="shared" si="3"/>
        <v>573984</v>
      </c>
      <c r="R5" s="18">
        <f t="shared" si="3"/>
        <v>3085716</v>
      </c>
      <c r="S5" s="18">
        <f t="shared" si="3"/>
        <v>1338528</v>
      </c>
      <c r="T5" s="18">
        <f t="shared" si="1"/>
        <v>49112724</v>
      </c>
      <c r="U5" s="26"/>
    </row>
    <row r="6" spans="1:21" ht="23.1" customHeight="1">
      <c r="A6" s="14" t="s">
        <v>29</v>
      </c>
      <c r="B6" s="24" t="s">
        <v>30</v>
      </c>
      <c r="C6" s="24" t="s">
        <v>31</v>
      </c>
      <c r="D6" s="45" t="s">
        <v>32</v>
      </c>
      <c r="E6" s="25">
        <f>266320*12</f>
        <v>3195840</v>
      </c>
      <c r="F6" s="25">
        <f>172467*12</f>
        <v>2069604</v>
      </c>
      <c r="G6" s="25">
        <f>181677*12</f>
        <v>2180124</v>
      </c>
      <c r="H6" s="25">
        <f>205491*12</f>
        <v>2465892</v>
      </c>
      <c r="I6" s="25">
        <f>443348*12</f>
        <v>5320176</v>
      </c>
      <c r="J6" s="25">
        <f>128335*12</f>
        <v>1540020</v>
      </c>
      <c r="K6" s="25">
        <f>120838*12</f>
        <v>1450056</v>
      </c>
      <c r="L6" s="25">
        <f>99936*12</f>
        <v>1199232</v>
      </c>
      <c r="M6" s="25">
        <f>92532*12</f>
        <v>1110384</v>
      </c>
      <c r="N6" s="25">
        <f>92203*12</f>
        <v>1106436</v>
      </c>
      <c r="O6" s="25">
        <f>302045*12</f>
        <v>3624540</v>
      </c>
      <c r="P6" s="25">
        <f>9449*12</f>
        <v>113388</v>
      </c>
      <c r="Q6" s="25">
        <f>33389*12</f>
        <v>400668</v>
      </c>
      <c r="R6" s="25">
        <f>175232*12</f>
        <v>2102784</v>
      </c>
      <c r="S6" s="25">
        <f>67289*12</f>
        <v>807468</v>
      </c>
      <c r="T6" s="18">
        <f t="shared" si="1"/>
        <v>28686612</v>
      </c>
      <c r="U6" s="49"/>
    </row>
    <row r="7" spans="1:21" ht="23.1" customHeight="1">
      <c r="A7" s="14" t="s">
        <v>33</v>
      </c>
      <c r="B7" s="24" t="s">
        <v>34</v>
      </c>
      <c r="C7" s="24" t="s">
        <v>31</v>
      </c>
      <c r="D7" s="45" t="s">
        <v>32</v>
      </c>
      <c r="E7" s="25">
        <f>210896*12</f>
        <v>2530752</v>
      </c>
      <c r="F7" s="25">
        <f>134471*12</f>
        <v>1613652</v>
      </c>
      <c r="G7" s="25">
        <f>170807*12</f>
        <v>2049684</v>
      </c>
      <c r="H7" s="25">
        <f>174973*12</f>
        <v>2099676</v>
      </c>
      <c r="I7" s="25">
        <f>283190*12</f>
        <v>3398280</v>
      </c>
      <c r="J7" s="25">
        <f>66021*12</f>
        <v>792252</v>
      </c>
      <c r="K7" s="25">
        <f>90785*12</f>
        <v>1089420</v>
      </c>
      <c r="L7" s="25">
        <f>74439*12</f>
        <v>893268</v>
      </c>
      <c r="M7" s="25">
        <f>58558*12</f>
        <v>702696</v>
      </c>
      <c r="N7" s="25">
        <f>91645*12</f>
        <v>1099740</v>
      </c>
      <c r="O7" s="25">
        <v>2367108</v>
      </c>
      <c r="P7" s="25">
        <f>8523*12</f>
        <v>102276</v>
      </c>
      <c r="Q7" s="25">
        <f>14443*12</f>
        <v>173316</v>
      </c>
      <c r="R7" s="25">
        <f>81911*12</f>
        <v>982932</v>
      </c>
      <c r="S7" s="25">
        <f>44255*12</f>
        <v>531060</v>
      </c>
      <c r="T7" s="18">
        <f t="shared" si="1"/>
        <v>20426112</v>
      </c>
      <c r="U7" s="26"/>
    </row>
    <row r="8" spans="1:21" ht="23.1" customHeight="1">
      <c r="A8" s="14" t="s">
        <v>35</v>
      </c>
      <c r="B8" s="24" t="s">
        <v>36</v>
      </c>
      <c r="C8" s="24"/>
      <c r="D8" s="45" t="s">
        <v>25</v>
      </c>
      <c r="E8" s="18">
        <f>E9+E10</f>
        <v>615780</v>
      </c>
      <c r="F8" s="18">
        <f t="shared" ref="F8:S8" si="4">F9+F10</f>
        <v>385716</v>
      </c>
      <c r="G8" s="18">
        <f t="shared" si="4"/>
        <v>419256</v>
      </c>
      <c r="H8" s="18">
        <f t="shared" si="4"/>
        <v>497556</v>
      </c>
      <c r="I8" s="18">
        <f t="shared" si="4"/>
        <v>1045644</v>
      </c>
      <c r="J8" s="18">
        <f t="shared" si="4"/>
        <v>313872</v>
      </c>
      <c r="K8" s="18">
        <f t="shared" si="4"/>
        <v>300000</v>
      </c>
      <c r="L8" s="18">
        <f t="shared" si="4"/>
        <v>246132</v>
      </c>
      <c r="M8" s="18">
        <f t="shared" si="4"/>
        <v>229176</v>
      </c>
      <c r="N8" s="18">
        <f t="shared" si="4"/>
        <v>229608</v>
      </c>
      <c r="O8" s="18">
        <f t="shared" si="4"/>
        <v>710004</v>
      </c>
      <c r="P8" s="18">
        <f t="shared" si="4"/>
        <v>26676</v>
      </c>
      <c r="Q8" s="18">
        <f t="shared" si="4"/>
        <v>85044</v>
      </c>
      <c r="R8" s="18">
        <f t="shared" si="4"/>
        <v>429912</v>
      </c>
      <c r="S8" s="18">
        <f t="shared" si="4"/>
        <v>170448</v>
      </c>
      <c r="T8" s="18">
        <f t="shared" si="1"/>
        <v>5704824</v>
      </c>
      <c r="U8" s="26"/>
    </row>
    <row r="9" spans="1:21" ht="23.1" customHeight="1">
      <c r="A9" s="14" t="s">
        <v>37</v>
      </c>
      <c r="B9" s="24" t="s">
        <v>38</v>
      </c>
      <c r="C9" s="24" t="s">
        <v>31</v>
      </c>
      <c r="D9" s="45" t="s">
        <v>32</v>
      </c>
      <c r="E9" s="25">
        <f>715*12</f>
        <v>8580</v>
      </c>
      <c r="F9" s="25">
        <f>463*12</f>
        <v>5556</v>
      </c>
      <c r="G9" s="25">
        <f>618*12</f>
        <v>7416</v>
      </c>
      <c r="H9" s="25">
        <f>543*12</f>
        <v>6516</v>
      </c>
      <c r="I9" s="25">
        <f>897*12</f>
        <v>10764</v>
      </c>
      <c r="J9" s="25">
        <f>196*12</f>
        <v>2352</v>
      </c>
      <c r="K9" s="25">
        <f>360*12</f>
        <v>4320</v>
      </c>
      <c r="L9" s="25">
        <f>271*12</f>
        <v>3252</v>
      </c>
      <c r="M9" s="25">
        <f>178*12</f>
        <v>2136</v>
      </c>
      <c r="N9" s="25">
        <f>214*12</f>
        <v>2568</v>
      </c>
      <c r="O9" s="25">
        <f>647*12</f>
        <v>7764</v>
      </c>
      <c r="P9" s="25">
        <f>23*12</f>
        <v>276</v>
      </c>
      <c r="Q9" s="25">
        <f>47*12</f>
        <v>564</v>
      </c>
      <c r="R9" s="25">
        <f>186*12</f>
        <v>2232</v>
      </c>
      <c r="S9" s="25">
        <f>124*12</f>
        <v>1488</v>
      </c>
      <c r="T9" s="18">
        <f t="shared" si="1"/>
        <v>65784</v>
      </c>
      <c r="U9" s="26"/>
    </row>
    <row r="10" spans="1:21" ht="23.1" customHeight="1">
      <c r="A10" s="14" t="s">
        <v>39</v>
      </c>
      <c r="B10" s="24" t="s">
        <v>40</v>
      </c>
      <c r="C10" s="24"/>
      <c r="D10" s="45" t="s">
        <v>25</v>
      </c>
      <c r="E10" s="18">
        <f>E11</f>
        <v>607200</v>
      </c>
      <c r="F10" s="18">
        <f t="shared" ref="F10:S10" si="5">F11</f>
        <v>380160</v>
      </c>
      <c r="G10" s="18">
        <f t="shared" si="5"/>
        <v>411840</v>
      </c>
      <c r="H10" s="18">
        <f t="shared" si="5"/>
        <v>491040</v>
      </c>
      <c r="I10" s="18">
        <f t="shared" si="5"/>
        <v>1034880</v>
      </c>
      <c r="J10" s="18">
        <f t="shared" si="5"/>
        <v>311520</v>
      </c>
      <c r="K10" s="18">
        <f t="shared" si="5"/>
        <v>295680</v>
      </c>
      <c r="L10" s="18">
        <f t="shared" si="5"/>
        <v>242880</v>
      </c>
      <c r="M10" s="18">
        <f t="shared" si="5"/>
        <v>227040</v>
      </c>
      <c r="N10" s="18">
        <f t="shared" si="5"/>
        <v>227040</v>
      </c>
      <c r="O10" s="18">
        <f t="shared" si="5"/>
        <v>702240</v>
      </c>
      <c r="P10" s="18">
        <f t="shared" si="5"/>
        <v>26400</v>
      </c>
      <c r="Q10" s="18">
        <f t="shared" si="5"/>
        <v>84480</v>
      </c>
      <c r="R10" s="18">
        <f t="shared" si="5"/>
        <v>427680</v>
      </c>
      <c r="S10" s="18">
        <f t="shared" si="5"/>
        <v>168960</v>
      </c>
      <c r="T10" s="18">
        <f t="shared" si="1"/>
        <v>5639040</v>
      </c>
      <c r="U10" s="26"/>
    </row>
    <row r="11" spans="1:21" s="44" customFormat="1" ht="23.1" customHeight="1">
      <c r="A11" s="14" t="s">
        <v>41</v>
      </c>
      <c r="B11" s="43" t="s">
        <v>42</v>
      </c>
      <c r="C11" s="43" t="s">
        <v>31</v>
      </c>
      <c r="D11" s="26" t="s">
        <v>25</v>
      </c>
      <c r="E11" s="18">
        <f>440*12*E61</f>
        <v>607200</v>
      </c>
      <c r="F11" s="18">
        <f t="shared" ref="F11:S11" si="6">440*12*F61</f>
        <v>380160</v>
      </c>
      <c r="G11" s="18">
        <f t="shared" si="6"/>
        <v>411840</v>
      </c>
      <c r="H11" s="18">
        <f t="shared" si="6"/>
        <v>491040</v>
      </c>
      <c r="I11" s="18">
        <f t="shared" si="6"/>
        <v>1034880</v>
      </c>
      <c r="J11" s="18">
        <f t="shared" si="6"/>
        <v>311520</v>
      </c>
      <c r="K11" s="18">
        <f t="shared" si="6"/>
        <v>295680</v>
      </c>
      <c r="L11" s="18">
        <f t="shared" si="6"/>
        <v>242880</v>
      </c>
      <c r="M11" s="18">
        <f t="shared" si="6"/>
        <v>227040</v>
      </c>
      <c r="N11" s="18">
        <f t="shared" si="6"/>
        <v>227040</v>
      </c>
      <c r="O11" s="18">
        <f t="shared" si="6"/>
        <v>702240</v>
      </c>
      <c r="P11" s="18">
        <f t="shared" si="6"/>
        <v>26400</v>
      </c>
      <c r="Q11" s="18">
        <f t="shared" si="6"/>
        <v>84480</v>
      </c>
      <c r="R11" s="18">
        <f t="shared" si="6"/>
        <v>427680</v>
      </c>
      <c r="S11" s="18">
        <f t="shared" si="6"/>
        <v>168960</v>
      </c>
      <c r="T11" s="18">
        <f t="shared" si="1"/>
        <v>5639040</v>
      </c>
      <c r="U11" s="26"/>
    </row>
    <row r="12" spans="1:21" ht="23.1" customHeight="1">
      <c r="A12" s="14" t="s">
        <v>43</v>
      </c>
      <c r="B12" s="24" t="s">
        <v>44</v>
      </c>
      <c r="C12" s="24"/>
      <c r="D12" s="45" t="s">
        <v>45</v>
      </c>
      <c r="E12" s="18">
        <f>E13+E14</f>
        <v>228434.69</v>
      </c>
      <c r="F12" s="18">
        <f t="shared" ref="F12:S12" si="7">F13+F14</f>
        <v>137159.71</v>
      </c>
      <c r="G12" s="18">
        <f t="shared" si="7"/>
        <v>140265.29</v>
      </c>
      <c r="H12" s="18">
        <f t="shared" si="7"/>
        <v>157980.03</v>
      </c>
      <c r="I12" s="18">
        <f t="shared" si="7"/>
        <v>314845.27</v>
      </c>
      <c r="J12" s="18">
        <f t="shared" si="7"/>
        <v>62920.59</v>
      </c>
      <c r="K12" s="18">
        <f t="shared" si="7"/>
        <v>92826.07</v>
      </c>
      <c r="L12" s="18">
        <f t="shared" si="7"/>
        <v>73466.64</v>
      </c>
      <c r="M12" s="18">
        <f t="shared" si="7"/>
        <v>66127.25</v>
      </c>
      <c r="N12" s="18">
        <f t="shared" si="7"/>
        <v>68256.070000000007</v>
      </c>
      <c r="O12" s="18">
        <f t="shared" si="7"/>
        <v>233280.28999999998</v>
      </c>
      <c r="P12" s="18">
        <f t="shared" si="7"/>
        <v>9182.52</v>
      </c>
      <c r="Q12" s="18">
        <f t="shared" si="7"/>
        <v>20645.07</v>
      </c>
      <c r="R12" s="18">
        <f t="shared" si="7"/>
        <v>123663.53</v>
      </c>
      <c r="S12" s="18">
        <f t="shared" si="7"/>
        <v>45055.979999999996</v>
      </c>
      <c r="T12" s="18">
        <f t="shared" si="1"/>
        <v>1774109.0000000002</v>
      </c>
      <c r="U12" s="26"/>
    </row>
    <row r="13" spans="1:21" s="44" customFormat="1" ht="23.1" customHeight="1">
      <c r="A13" s="14" t="s">
        <v>46</v>
      </c>
      <c r="B13" s="43" t="s">
        <v>47</v>
      </c>
      <c r="C13" s="43" t="s">
        <v>31</v>
      </c>
      <c r="D13" s="26" t="s">
        <v>48</v>
      </c>
      <c r="E13" s="18">
        <f>ROUND(E29/0.07*0.00256,2)</f>
        <v>77353.69</v>
      </c>
      <c r="F13" s="18">
        <f t="shared" ref="F13:S13" si="8">ROUND(F29/0.07*0.00256,2)</f>
        <v>46445.71</v>
      </c>
      <c r="G13" s="18">
        <f t="shared" si="8"/>
        <v>47497.29</v>
      </c>
      <c r="H13" s="18">
        <f t="shared" si="8"/>
        <v>53496.03</v>
      </c>
      <c r="I13" s="18">
        <f t="shared" si="8"/>
        <v>106614.27</v>
      </c>
      <c r="J13" s="18">
        <f t="shared" si="8"/>
        <v>21306.59</v>
      </c>
      <c r="K13" s="18">
        <f t="shared" si="8"/>
        <v>31433.07</v>
      </c>
      <c r="L13" s="18">
        <f t="shared" si="8"/>
        <v>24877.64</v>
      </c>
      <c r="M13" s="18">
        <f t="shared" si="8"/>
        <v>22392.25</v>
      </c>
      <c r="N13" s="18">
        <f t="shared" si="8"/>
        <v>23113.07</v>
      </c>
      <c r="O13" s="18">
        <f t="shared" si="8"/>
        <v>78994.289999999994</v>
      </c>
      <c r="P13" s="18">
        <f t="shared" si="8"/>
        <v>3109.52</v>
      </c>
      <c r="Q13" s="18">
        <f t="shared" si="8"/>
        <v>6991.07</v>
      </c>
      <c r="R13" s="18">
        <f t="shared" si="8"/>
        <v>41875.53</v>
      </c>
      <c r="S13" s="18">
        <f t="shared" si="8"/>
        <v>15256.98</v>
      </c>
      <c r="T13" s="18">
        <f t="shared" si="1"/>
        <v>600757</v>
      </c>
      <c r="U13" s="26"/>
    </row>
    <row r="14" spans="1:21" s="44" customFormat="1" ht="23.1" customHeight="1">
      <c r="A14" s="14" t="s">
        <v>49</v>
      </c>
      <c r="B14" s="43" t="s">
        <v>50</v>
      </c>
      <c r="C14" s="43" t="s">
        <v>31</v>
      </c>
      <c r="D14" s="26" t="s">
        <v>48</v>
      </c>
      <c r="E14" s="18">
        <f>ROUND(E29/0.07*0.005,0)</f>
        <v>151081</v>
      </c>
      <c r="F14" s="18">
        <f t="shared" ref="F14:S14" si="9">ROUND(F29/0.07*0.005,0)</f>
        <v>90714</v>
      </c>
      <c r="G14" s="18">
        <f t="shared" si="9"/>
        <v>92768</v>
      </c>
      <c r="H14" s="18">
        <f t="shared" si="9"/>
        <v>104484</v>
      </c>
      <c r="I14" s="18">
        <f t="shared" si="9"/>
        <v>208231</v>
      </c>
      <c r="J14" s="18">
        <f t="shared" si="9"/>
        <v>41614</v>
      </c>
      <c r="K14" s="18">
        <f t="shared" si="9"/>
        <v>61393</v>
      </c>
      <c r="L14" s="18">
        <f t="shared" si="9"/>
        <v>48589</v>
      </c>
      <c r="M14" s="18">
        <f t="shared" si="9"/>
        <v>43735</v>
      </c>
      <c r="N14" s="18">
        <f t="shared" si="9"/>
        <v>45143</v>
      </c>
      <c r="O14" s="18">
        <f t="shared" si="9"/>
        <v>154286</v>
      </c>
      <c r="P14" s="18">
        <f t="shared" si="9"/>
        <v>6073</v>
      </c>
      <c r="Q14" s="18">
        <f t="shared" si="9"/>
        <v>13654</v>
      </c>
      <c r="R14" s="18">
        <f t="shared" si="9"/>
        <v>81788</v>
      </c>
      <c r="S14" s="18">
        <f t="shared" si="9"/>
        <v>29799</v>
      </c>
      <c r="T14" s="18">
        <f t="shared" si="1"/>
        <v>1173352</v>
      </c>
      <c r="U14" s="26"/>
    </row>
    <row r="15" spans="1:21" ht="23.1" customHeight="1">
      <c r="A15" s="14" t="s">
        <v>51</v>
      </c>
      <c r="B15" s="24" t="s">
        <v>52</v>
      </c>
      <c r="C15" s="24"/>
      <c r="D15" s="45" t="s">
        <v>25</v>
      </c>
      <c r="E15" s="18">
        <f>E16+E17+E18+E19</f>
        <v>24989500</v>
      </c>
      <c r="F15" s="18">
        <f t="shared" ref="F15:S15" si="10">F16+F17+F18+F19</f>
        <v>15645600</v>
      </c>
      <c r="G15" s="18">
        <f t="shared" si="10"/>
        <v>16949400</v>
      </c>
      <c r="H15" s="18">
        <f t="shared" si="10"/>
        <v>20208900</v>
      </c>
      <c r="I15" s="18">
        <f t="shared" si="10"/>
        <v>42590800</v>
      </c>
      <c r="J15" s="18">
        <f t="shared" si="10"/>
        <v>12820700</v>
      </c>
      <c r="K15" s="18">
        <f t="shared" si="10"/>
        <v>10673600</v>
      </c>
      <c r="L15" s="18">
        <f t="shared" si="10"/>
        <v>8767600</v>
      </c>
      <c r="M15" s="18">
        <f t="shared" si="10"/>
        <v>8195800</v>
      </c>
      <c r="N15" s="18">
        <f t="shared" si="10"/>
        <v>8195800</v>
      </c>
      <c r="O15" s="18">
        <f t="shared" si="10"/>
        <v>28900900</v>
      </c>
      <c r="P15" s="18">
        <f t="shared" si="10"/>
        <v>1008500</v>
      </c>
      <c r="Q15" s="18">
        <f t="shared" si="10"/>
        <v>3049600</v>
      </c>
      <c r="R15" s="18">
        <f t="shared" si="10"/>
        <v>17601300</v>
      </c>
      <c r="S15" s="18">
        <f t="shared" si="10"/>
        <v>6099200</v>
      </c>
      <c r="T15" s="18">
        <f t="shared" si="1"/>
        <v>225697200</v>
      </c>
      <c r="U15" s="26"/>
    </row>
    <row r="16" spans="1:21" ht="23.1" customHeight="1">
      <c r="A16" s="14" t="s">
        <v>53</v>
      </c>
      <c r="B16" s="15" t="s">
        <v>54</v>
      </c>
      <c r="C16" s="15" t="s">
        <v>31</v>
      </c>
      <c r="D16" s="16" t="s">
        <v>55</v>
      </c>
      <c r="E16" s="17">
        <v>22632576</v>
      </c>
      <c r="F16" s="17">
        <v>14283648</v>
      </c>
      <c r="G16" s="17">
        <v>15164220</v>
      </c>
      <c r="H16" s="17">
        <v>18217092</v>
      </c>
      <c r="I16" s="17">
        <v>38866392</v>
      </c>
      <c r="J16" s="17">
        <v>11666868</v>
      </c>
      <c r="K16" s="17">
        <v>10115048</v>
      </c>
      <c r="L16" s="17">
        <v>8248960</v>
      </c>
      <c r="M16" s="17">
        <v>7706884</v>
      </c>
      <c r="N16" s="17">
        <v>7725628</v>
      </c>
      <c r="O16" s="17">
        <v>26233044</v>
      </c>
      <c r="P16" s="17">
        <v>978500</v>
      </c>
      <c r="Q16" s="17">
        <v>2758744</v>
      </c>
      <c r="R16" s="17">
        <v>16080348</v>
      </c>
      <c r="S16" s="17">
        <v>5696876</v>
      </c>
      <c r="T16" s="18">
        <f t="shared" si="1"/>
        <v>206374828</v>
      </c>
      <c r="U16" s="16"/>
    </row>
    <row r="17" spans="1:21" ht="23.1" customHeight="1">
      <c r="A17" s="14" t="s">
        <v>56</v>
      </c>
      <c r="B17" s="15" t="s">
        <v>57</v>
      </c>
      <c r="C17" s="15" t="s">
        <v>31</v>
      </c>
      <c r="D17" s="16" t="s">
        <v>58</v>
      </c>
      <c r="E17" s="17">
        <v>516924</v>
      </c>
      <c r="F17" s="17">
        <v>209952</v>
      </c>
      <c r="G17" s="17">
        <v>537180</v>
      </c>
      <c r="H17" s="17">
        <v>503808</v>
      </c>
      <c r="I17" s="17">
        <v>588408</v>
      </c>
      <c r="J17" s="17">
        <v>209832</v>
      </c>
      <c r="K17" s="17">
        <v>222552</v>
      </c>
      <c r="L17" s="17">
        <v>242640</v>
      </c>
      <c r="M17" s="17">
        <v>230916</v>
      </c>
      <c r="N17" s="17">
        <v>212172</v>
      </c>
      <c r="O17" s="17">
        <v>539856</v>
      </c>
      <c r="P17" s="17"/>
      <c r="Q17" s="17">
        <v>194856</v>
      </c>
      <c r="R17" s="17">
        <v>224952</v>
      </c>
      <c r="S17" s="17">
        <v>210324</v>
      </c>
      <c r="T17" s="18">
        <f t="shared" si="1"/>
        <v>4644372</v>
      </c>
      <c r="U17" s="16"/>
    </row>
    <row r="18" spans="1:21" ht="23.1" customHeight="1">
      <c r="A18" s="14" t="s">
        <v>59</v>
      </c>
      <c r="B18" s="15" t="s">
        <v>60</v>
      </c>
      <c r="C18" s="15" t="s">
        <v>31</v>
      </c>
      <c r="D18" s="45" t="s">
        <v>25</v>
      </c>
      <c r="E18" s="50">
        <f>E61*500*12</f>
        <v>690000</v>
      </c>
      <c r="F18" s="50">
        <f t="shared" ref="F18:S18" si="11">F61*500*12</f>
        <v>432000</v>
      </c>
      <c r="G18" s="50">
        <f t="shared" si="11"/>
        <v>468000</v>
      </c>
      <c r="H18" s="50">
        <f t="shared" si="11"/>
        <v>558000</v>
      </c>
      <c r="I18" s="50">
        <f t="shared" si="11"/>
        <v>1176000</v>
      </c>
      <c r="J18" s="50">
        <f t="shared" si="11"/>
        <v>354000</v>
      </c>
      <c r="K18" s="50">
        <f t="shared" si="11"/>
        <v>336000</v>
      </c>
      <c r="L18" s="50">
        <f t="shared" si="11"/>
        <v>276000</v>
      </c>
      <c r="M18" s="50">
        <f t="shared" si="11"/>
        <v>258000</v>
      </c>
      <c r="N18" s="50">
        <f t="shared" si="11"/>
        <v>258000</v>
      </c>
      <c r="O18" s="50">
        <f t="shared" si="11"/>
        <v>798000</v>
      </c>
      <c r="P18" s="50">
        <f t="shared" si="11"/>
        <v>30000</v>
      </c>
      <c r="Q18" s="50">
        <f t="shared" si="11"/>
        <v>96000</v>
      </c>
      <c r="R18" s="50">
        <f t="shared" si="11"/>
        <v>486000</v>
      </c>
      <c r="S18" s="50">
        <f t="shared" si="11"/>
        <v>192000</v>
      </c>
      <c r="T18" s="18">
        <f t="shared" si="1"/>
        <v>6408000</v>
      </c>
      <c r="U18" s="16"/>
    </row>
    <row r="19" spans="1:21" ht="23.1" customHeight="1">
      <c r="A19" s="14" t="s">
        <v>61</v>
      </c>
      <c r="B19" s="15" t="s">
        <v>62</v>
      </c>
      <c r="C19" s="15" t="s">
        <v>31</v>
      </c>
      <c r="D19" s="45" t="s">
        <v>32</v>
      </c>
      <c r="E19" s="17">
        <f>10000*E61</f>
        <v>1150000</v>
      </c>
      <c r="F19" s="17">
        <f t="shared" ref="F19:J19" si="12">10000*F61</f>
        <v>720000</v>
      </c>
      <c r="G19" s="17">
        <f t="shared" si="12"/>
        <v>780000</v>
      </c>
      <c r="H19" s="17">
        <f t="shared" si="12"/>
        <v>930000</v>
      </c>
      <c r="I19" s="17">
        <f t="shared" si="12"/>
        <v>1960000</v>
      </c>
      <c r="J19" s="17">
        <f t="shared" si="12"/>
        <v>590000</v>
      </c>
      <c r="K19" s="17"/>
      <c r="L19" s="17"/>
      <c r="M19" s="17"/>
      <c r="N19" s="17"/>
      <c r="O19" s="17">
        <f>10000*O61</f>
        <v>1330000</v>
      </c>
      <c r="P19" s="17"/>
      <c r="Q19" s="17"/>
      <c r="R19" s="17">
        <f>10000*R61</f>
        <v>810000</v>
      </c>
      <c r="S19" s="17"/>
      <c r="T19" s="18">
        <f t="shared" si="1"/>
        <v>8270000</v>
      </c>
      <c r="U19" s="16"/>
    </row>
    <row r="20" spans="1:21" ht="23.1" customHeight="1">
      <c r="A20" s="14" t="s">
        <v>63</v>
      </c>
      <c r="B20" s="24" t="s">
        <v>64</v>
      </c>
      <c r="C20" s="24"/>
      <c r="D20" s="16" t="s">
        <v>25</v>
      </c>
      <c r="E20" s="50">
        <f>E21+E22</f>
        <v>4230279.99</v>
      </c>
      <c r="F20" s="50">
        <f t="shared" ref="F20:S20" si="13">F21+F22</f>
        <v>2539999.9900000002</v>
      </c>
      <c r="G20" s="50">
        <f t="shared" si="13"/>
        <v>2597508</v>
      </c>
      <c r="H20" s="50">
        <f t="shared" si="13"/>
        <v>2925563.99</v>
      </c>
      <c r="I20" s="50">
        <f t="shared" si="13"/>
        <v>5830468</v>
      </c>
      <c r="J20" s="50">
        <f t="shared" si="13"/>
        <v>1165203.99</v>
      </c>
      <c r="K20" s="50">
        <f t="shared" si="13"/>
        <v>1718996.01</v>
      </c>
      <c r="L20" s="50">
        <f t="shared" si="13"/>
        <v>1360496</v>
      </c>
      <c r="M20" s="50">
        <f t="shared" si="13"/>
        <v>1224576</v>
      </c>
      <c r="N20" s="50">
        <f t="shared" si="13"/>
        <v>1263996.01</v>
      </c>
      <c r="O20" s="50">
        <f t="shared" si="13"/>
        <v>4320000.01</v>
      </c>
      <c r="P20" s="50">
        <f t="shared" si="13"/>
        <v>170051.99</v>
      </c>
      <c r="Q20" s="50">
        <f t="shared" si="13"/>
        <v>382323.99</v>
      </c>
      <c r="R20" s="50">
        <f t="shared" si="13"/>
        <v>2290068</v>
      </c>
      <c r="S20" s="50">
        <f t="shared" si="13"/>
        <v>834365.99</v>
      </c>
      <c r="T20" s="18">
        <f t="shared" si="1"/>
        <v>32853897.959999997</v>
      </c>
      <c r="U20" s="16"/>
    </row>
    <row r="21" spans="1:21" ht="23.1" customHeight="1">
      <c r="A21" s="14" t="s">
        <v>65</v>
      </c>
      <c r="B21" s="24" t="s">
        <v>66</v>
      </c>
      <c r="C21" s="24" t="s">
        <v>67</v>
      </c>
      <c r="D21" s="16" t="s">
        <v>25</v>
      </c>
      <c r="E21" s="50">
        <f>ROUND(E29/0.07*0.1,2)</f>
        <v>3021628.57</v>
      </c>
      <c r="F21" s="50">
        <f t="shared" ref="F21:S21" si="14">ROUND(F29/0.07*0.1,2)</f>
        <v>1814285.71</v>
      </c>
      <c r="G21" s="50">
        <f t="shared" si="14"/>
        <v>1855362.86</v>
      </c>
      <c r="H21" s="50">
        <f t="shared" si="14"/>
        <v>2089688.57</v>
      </c>
      <c r="I21" s="50">
        <f t="shared" si="14"/>
        <v>4164620</v>
      </c>
      <c r="J21" s="50">
        <f t="shared" si="14"/>
        <v>832288.57</v>
      </c>
      <c r="K21" s="50">
        <f t="shared" si="14"/>
        <v>1227854.29</v>
      </c>
      <c r="L21" s="50">
        <f t="shared" si="14"/>
        <v>971782.86</v>
      </c>
      <c r="M21" s="50">
        <f t="shared" si="14"/>
        <v>874697.14</v>
      </c>
      <c r="N21" s="50">
        <f t="shared" si="14"/>
        <v>902854.29</v>
      </c>
      <c r="O21" s="50">
        <f t="shared" si="14"/>
        <v>3085714.29</v>
      </c>
      <c r="P21" s="50">
        <f t="shared" si="14"/>
        <v>121465.71</v>
      </c>
      <c r="Q21" s="50">
        <f t="shared" si="14"/>
        <v>273088.57</v>
      </c>
      <c r="R21" s="50">
        <f t="shared" si="14"/>
        <v>1635762.86</v>
      </c>
      <c r="S21" s="50">
        <f t="shared" si="14"/>
        <v>595975.71</v>
      </c>
      <c r="T21" s="18">
        <f t="shared" si="1"/>
        <v>23467070</v>
      </c>
      <c r="U21" s="16"/>
    </row>
    <row r="22" spans="1:21" ht="23.1" customHeight="1">
      <c r="A22" s="14" t="s">
        <v>68</v>
      </c>
      <c r="B22" s="24" t="s">
        <v>69</v>
      </c>
      <c r="C22" s="24" t="s">
        <v>67</v>
      </c>
      <c r="D22" s="16" t="s">
        <v>48</v>
      </c>
      <c r="E22" s="50">
        <f>E23+E24</f>
        <v>1208651.42</v>
      </c>
      <c r="F22" s="50">
        <f t="shared" ref="F22:S22" si="15">F23+F24</f>
        <v>725714.28</v>
      </c>
      <c r="G22" s="50">
        <f t="shared" si="15"/>
        <v>742145.14</v>
      </c>
      <c r="H22" s="50">
        <f t="shared" si="15"/>
        <v>835875.42</v>
      </c>
      <c r="I22" s="50">
        <f t="shared" si="15"/>
        <v>1665848</v>
      </c>
      <c r="J22" s="50">
        <f t="shared" si="15"/>
        <v>332915.42</v>
      </c>
      <c r="K22" s="50">
        <f t="shared" si="15"/>
        <v>491141.72</v>
      </c>
      <c r="L22" s="50">
        <f t="shared" si="15"/>
        <v>388713.14</v>
      </c>
      <c r="M22" s="50">
        <f t="shared" si="15"/>
        <v>349878.86</v>
      </c>
      <c r="N22" s="50">
        <f t="shared" si="15"/>
        <v>361141.72</v>
      </c>
      <c r="O22" s="50">
        <f t="shared" si="15"/>
        <v>1234285.72</v>
      </c>
      <c r="P22" s="50">
        <f t="shared" si="15"/>
        <v>48586.28</v>
      </c>
      <c r="Q22" s="50">
        <f t="shared" si="15"/>
        <v>109235.42</v>
      </c>
      <c r="R22" s="50">
        <f t="shared" si="15"/>
        <v>654305.14</v>
      </c>
      <c r="S22" s="50">
        <f t="shared" si="15"/>
        <v>238390.28</v>
      </c>
      <c r="T22" s="18">
        <f t="shared" si="1"/>
        <v>9386827.959999999</v>
      </c>
      <c r="U22" s="16"/>
    </row>
    <row r="23" spans="1:21" ht="23.1" customHeight="1">
      <c r="A23" s="14" t="s">
        <v>70</v>
      </c>
      <c r="B23" s="24" t="s">
        <v>71</v>
      </c>
      <c r="C23" s="24" t="s">
        <v>67</v>
      </c>
      <c r="D23" s="16" t="s">
        <v>48</v>
      </c>
      <c r="E23" s="50">
        <f>ROUND(E29/0.07*0.02,2)</f>
        <v>604325.71</v>
      </c>
      <c r="F23" s="50">
        <f t="shared" ref="F23:S23" si="16">ROUND(F29/0.07*0.02,2)</f>
        <v>362857.14</v>
      </c>
      <c r="G23" s="50">
        <f t="shared" si="16"/>
        <v>371072.57</v>
      </c>
      <c r="H23" s="50">
        <f t="shared" si="16"/>
        <v>417937.71</v>
      </c>
      <c r="I23" s="50">
        <f t="shared" si="16"/>
        <v>832924</v>
      </c>
      <c r="J23" s="50">
        <f t="shared" si="16"/>
        <v>166457.71</v>
      </c>
      <c r="K23" s="50">
        <f t="shared" si="16"/>
        <v>245570.86</v>
      </c>
      <c r="L23" s="50">
        <f t="shared" si="16"/>
        <v>194356.57</v>
      </c>
      <c r="M23" s="50">
        <f t="shared" si="16"/>
        <v>174939.43</v>
      </c>
      <c r="N23" s="50">
        <f t="shared" si="16"/>
        <v>180570.86</v>
      </c>
      <c r="O23" s="50">
        <f t="shared" si="16"/>
        <v>617142.86</v>
      </c>
      <c r="P23" s="50">
        <f t="shared" si="16"/>
        <v>24293.14</v>
      </c>
      <c r="Q23" s="50">
        <f t="shared" si="16"/>
        <v>54617.71</v>
      </c>
      <c r="R23" s="50">
        <f t="shared" si="16"/>
        <v>327152.57</v>
      </c>
      <c r="S23" s="50">
        <f t="shared" si="16"/>
        <v>119195.14</v>
      </c>
      <c r="T23" s="18">
        <f t="shared" si="1"/>
        <v>4693413.9799999995</v>
      </c>
      <c r="U23" s="16"/>
    </row>
    <row r="24" spans="1:21" ht="23.1" customHeight="1">
      <c r="A24" s="14" t="s">
        <v>72</v>
      </c>
      <c r="B24" s="24" t="s">
        <v>73</v>
      </c>
      <c r="C24" s="24" t="s">
        <v>67</v>
      </c>
      <c r="D24" s="16" t="s">
        <v>48</v>
      </c>
      <c r="E24" s="50">
        <f>ROUND(E29/0.07*0.02,2)</f>
        <v>604325.71</v>
      </c>
      <c r="F24" s="50">
        <f t="shared" ref="F24:S24" si="17">ROUND(F29/0.07*0.02,2)</f>
        <v>362857.14</v>
      </c>
      <c r="G24" s="50">
        <f t="shared" si="17"/>
        <v>371072.57</v>
      </c>
      <c r="H24" s="50">
        <f t="shared" si="17"/>
        <v>417937.71</v>
      </c>
      <c r="I24" s="50">
        <f t="shared" si="17"/>
        <v>832924</v>
      </c>
      <c r="J24" s="50">
        <f t="shared" si="17"/>
        <v>166457.71</v>
      </c>
      <c r="K24" s="50">
        <f t="shared" si="17"/>
        <v>245570.86</v>
      </c>
      <c r="L24" s="50">
        <f t="shared" si="17"/>
        <v>194356.57</v>
      </c>
      <c r="M24" s="50">
        <f t="shared" si="17"/>
        <v>174939.43</v>
      </c>
      <c r="N24" s="50">
        <f t="shared" si="17"/>
        <v>180570.86</v>
      </c>
      <c r="O24" s="50">
        <f t="shared" si="17"/>
        <v>617142.86</v>
      </c>
      <c r="P24" s="50">
        <f t="shared" si="17"/>
        <v>24293.14</v>
      </c>
      <c r="Q24" s="50">
        <f t="shared" si="17"/>
        <v>54617.71</v>
      </c>
      <c r="R24" s="50">
        <f t="shared" si="17"/>
        <v>327152.57</v>
      </c>
      <c r="S24" s="50">
        <f t="shared" si="17"/>
        <v>119195.14</v>
      </c>
      <c r="T24" s="18">
        <f t="shared" si="1"/>
        <v>4693413.9799999995</v>
      </c>
      <c r="U24" s="16"/>
    </row>
    <row r="25" spans="1:21" ht="23.1" customHeight="1">
      <c r="A25" s="14" t="s">
        <v>74</v>
      </c>
      <c r="B25" s="24" t="s">
        <v>75</v>
      </c>
      <c r="C25" s="24"/>
      <c r="D25" s="45" t="s">
        <v>25</v>
      </c>
      <c r="E25" s="18">
        <f t="shared" ref="E25:S25" si="18">E26</f>
        <v>4834605.71</v>
      </c>
      <c r="F25" s="18">
        <f t="shared" si="18"/>
        <v>2902857.14</v>
      </c>
      <c r="G25" s="18">
        <f t="shared" si="18"/>
        <v>2968580.57</v>
      </c>
      <c r="H25" s="18">
        <f t="shared" si="18"/>
        <v>3343501.71</v>
      </c>
      <c r="I25" s="18">
        <f t="shared" si="18"/>
        <v>6663392</v>
      </c>
      <c r="J25" s="18">
        <f t="shared" si="18"/>
        <v>1331661.71</v>
      </c>
      <c r="K25" s="18">
        <f t="shared" si="18"/>
        <v>1964566.86</v>
      </c>
      <c r="L25" s="18">
        <f t="shared" si="18"/>
        <v>1554852.57</v>
      </c>
      <c r="M25" s="18">
        <f t="shared" si="18"/>
        <v>1399515.43</v>
      </c>
      <c r="N25" s="18">
        <f t="shared" si="18"/>
        <v>1444566.86</v>
      </c>
      <c r="O25" s="18">
        <f t="shared" si="18"/>
        <v>4937142.8600000003</v>
      </c>
      <c r="P25" s="18">
        <f t="shared" si="18"/>
        <v>194345.14</v>
      </c>
      <c r="Q25" s="18">
        <f t="shared" si="18"/>
        <v>436941.71</v>
      </c>
      <c r="R25" s="18">
        <f t="shared" si="18"/>
        <v>2617220.5699999998</v>
      </c>
      <c r="S25" s="18">
        <f t="shared" si="18"/>
        <v>953561.14</v>
      </c>
      <c r="T25" s="18">
        <f t="shared" si="1"/>
        <v>37547311.979999997</v>
      </c>
      <c r="U25" s="26"/>
    </row>
    <row r="26" spans="1:21" s="44" customFormat="1" ht="23.1" customHeight="1">
      <c r="A26" s="14" t="s">
        <v>76</v>
      </c>
      <c r="B26" s="43" t="s">
        <v>77</v>
      </c>
      <c r="C26" s="43" t="s">
        <v>78</v>
      </c>
      <c r="D26" s="26" t="s">
        <v>48</v>
      </c>
      <c r="E26" s="18">
        <f>ROUND(E29/0.07*0.16,2)</f>
        <v>4834605.71</v>
      </c>
      <c r="F26" s="18">
        <f t="shared" ref="F26:S26" si="19">ROUND(F29/0.07*0.16,2)</f>
        <v>2902857.14</v>
      </c>
      <c r="G26" s="18">
        <f t="shared" si="19"/>
        <v>2968580.57</v>
      </c>
      <c r="H26" s="18">
        <f t="shared" si="19"/>
        <v>3343501.71</v>
      </c>
      <c r="I26" s="18">
        <f t="shared" si="19"/>
        <v>6663392</v>
      </c>
      <c r="J26" s="18">
        <f t="shared" si="19"/>
        <v>1331661.71</v>
      </c>
      <c r="K26" s="18">
        <f t="shared" si="19"/>
        <v>1964566.86</v>
      </c>
      <c r="L26" s="18">
        <f t="shared" si="19"/>
        <v>1554852.57</v>
      </c>
      <c r="M26" s="18">
        <f t="shared" si="19"/>
        <v>1399515.43</v>
      </c>
      <c r="N26" s="18">
        <f t="shared" si="19"/>
        <v>1444566.86</v>
      </c>
      <c r="O26" s="18">
        <f t="shared" si="19"/>
        <v>4937142.8600000003</v>
      </c>
      <c r="P26" s="18">
        <f t="shared" si="19"/>
        <v>194345.14</v>
      </c>
      <c r="Q26" s="18">
        <f t="shared" si="19"/>
        <v>436941.71</v>
      </c>
      <c r="R26" s="18">
        <f t="shared" si="19"/>
        <v>2617220.5699999998</v>
      </c>
      <c r="S26" s="18">
        <f t="shared" si="19"/>
        <v>953561.14</v>
      </c>
      <c r="T26" s="18">
        <f t="shared" si="1"/>
        <v>37547311.979999997</v>
      </c>
      <c r="U26" s="26"/>
    </row>
    <row r="27" spans="1:21" ht="23.1" customHeight="1">
      <c r="A27" s="14" t="s">
        <v>79</v>
      </c>
      <c r="B27" s="24" t="s">
        <v>80</v>
      </c>
      <c r="C27" s="24"/>
      <c r="D27" s="45" t="s">
        <v>25</v>
      </c>
      <c r="E27" s="18">
        <f t="shared" ref="E27:S27" si="20">E28</f>
        <v>2417302.86</v>
      </c>
      <c r="F27" s="18">
        <f t="shared" si="20"/>
        <v>1451428.57</v>
      </c>
      <c r="G27" s="18">
        <f t="shared" si="20"/>
        <v>1484290.29</v>
      </c>
      <c r="H27" s="18">
        <f t="shared" si="20"/>
        <v>1671750.86</v>
      </c>
      <c r="I27" s="18">
        <f t="shared" si="20"/>
        <v>3331696</v>
      </c>
      <c r="J27" s="18">
        <f t="shared" si="20"/>
        <v>665830.86</v>
      </c>
      <c r="K27" s="18">
        <f t="shared" si="20"/>
        <v>982283.43</v>
      </c>
      <c r="L27" s="18">
        <f t="shared" si="20"/>
        <v>777426.29</v>
      </c>
      <c r="M27" s="18">
        <f t="shared" si="20"/>
        <v>699757.71</v>
      </c>
      <c r="N27" s="18">
        <f t="shared" si="20"/>
        <v>722283.43</v>
      </c>
      <c r="O27" s="18">
        <f t="shared" si="20"/>
        <v>2468571.4300000002</v>
      </c>
      <c r="P27" s="18">
        <f t="shared" si="20"/>
        <v>97172.57</v>
      </c>
      <c r="Q27" s="18">
        <f t="shared" si="20"/>
        <v>218470.86</v>
      </c>
      <c r="R27" s="18">
        <f t="shared" si="20"/>
        <v>1308610.29</v>
      </c>
      <c r="S27" s="18">
        <f t="shared" si="20"/>
        <v>476780.57</v>
      </c>
      <c r="T27" s="18">
        <f t="shared" si="1"/>
        <v>18773656.02</v>
      </c>
      <c r="U27" s="26"/>
    </row>
    <row r="28" spans="1:21" s="44" customFormat="1" ht="23.1" customHeight="1">
      <c r="A28" s="14" t="s">
        <v>81</v>
      </c>
      <c r="B28" s="43" t="s">
        <v>82</v>
      </c>
      <c r="C28" s="43" t="s">
        <v>83</v>
      </c>
      <c r="D28" s="26" t="s">
        <v>48</v>
      </c>
      <c r="E28" s="18">
        <f>ROUND(E29/0.07*0.08,2)</f>
        <v>2417302.86</v>
      </c>
      <c r="F28" s="18">
        <f t="shared" ref="F28:S28" si="21">ROUND(F29/0.07*0.08,2)</f>
        <v>1451428.57</v>
      </c>
      <c r="G28" s="18">
        <f t="shared" si="21"/>
        <v>1484290.29</v>
      </c>
      <c r="H28" s="18">
        <f t="shared" si="21"/>
        <v>1671750.86</v>
      </c>
      <c r="I28" s="18">
        <f t="shared" si="21"/>
        <v>3331696</v>
      </c>
      <c r="J28" s="18">
        <f t="shared" si="21"/>
        <v>665830.86</v>
      </c>
      <c r="K28" s="18">
        <f t="shared" si="21"/>
        <v>982283.43</v>
      </c>
      <c r="L28" s="18">
        <f t="shared" si="21"/>
        <v>777426.29</v>
      </c>
      <c r="M28" s="18">
        <f t="shared" si="21"/>
        <v>699757.71</v>
      </c>
      <c r="N28" s="18">
        <f t="shared" si="21"/>
        <v>722283.43</v>
      </c>
      <c r="O28" s="18">
        <f t="shared" si="21"/>
        <v>2468571.4300000002</v>
      </c>
      <c r="P28" s="18">
        <f t="shared" si="21"/>
        <v>97172.57</v>
      </c>
      <c r="Q28" s="18">
        <f t="shared" si="21"/>
        <v>218470.86</v>
      </c>
      <c r="R28" s="18">
        <f t="shared" si="21"/>
        <v>1308610.29</v>
      </c>
      <c r="S28" s="18">
        <f t="shared" si="21"/>
        <v>476780.57</v>
      </c>
      <c r="T28" s="18">
        <f t="shared" si="1"/>
        <v>18773656.02</v>
      </c>
      <c r="U28" s="26"/>
    </row>
    <row r="29" spans="1:21" ht="23.1" customHeight="1">
      <c r="A29" s="14" t="s">
        <v>84</v>
      </c>
      <c r="B29" s="24" t="s">
        <v>85</v>
      </c>
      <c r="C29" s="24" t="s">
        <v>86</v>
      </c>
      <c r="D29" s="45" t="s">
        <v>87</v>
      </c>
      <c r="E29" s="17">
        <v>2115140</v>
      </c>
      <c r="F29" s="17">
        <v>1270000</v>
      </c>
      <c r="G29" s="17">
        <v>1298754</v>
      </c>
      <c r="H29" s="17">
        <v>1462782</v>
      </c>
      <c r="I29" s="17">
        <v>2915234</v>
      </c>
      <c r="J29" s="17">
        <f>582602</f>
        <v>582602</v>
      </c>
      <c r="K29" s="17">
        <v>859498</v>
      </c>
      <c r="L29" s="17">
        <v>680248</v>
      </c>
      <c r="M29" s="17">
        <v>612288</v>
      </c>
      <c r="N29" s="17">
        <v>631998</v>
      </c>
      <c r="O29" s="17">
        <v>2160000</v>
      </c>
      <c r="P29" s="17">
        <v>85026</v>
      </c>
      <c r="Q29" s="17">
        <v>191162</v>
      </c>
      <c r="R29" s="17">
        <v>1145034</v>
      </c>
      <c r="S29" s="17">
        <v>417183</v>
      </c>
      <c r="T29" s="18">
        <f t="shared" si="1"/>
        <v>16426949</v>
      </c>
      <c r="U29" s="16"/>
    </row>
    <row r="30" spans="1:21" ht="23.1" customHeight="1">
      <c r="A30" s="14" t="s">
        <v>88</v>
      </c>
      <c r="B30" s="24" t="s">
        <v>89</v>
      </c>
      <c r="C30" s="15" t="s">
        <v>31</v>
      </c>
      <c r="D30" s="26" t="s">
        <v>90</v>
      </c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  <c r="T30" s="18">
        <f t="shared" si="1"/>
        <v>0</v>
      </c>
      <c r="U30" s="16"/>
    </row>
    <row r="31" spans="1:21" ht="23.1" customHeight="1">
      <c r="A31" s="14" t="s">
        <v>91</v>
      </c>
      <c r="B31" s="24" t="s">
        <v>92</v>
      </c>
      <c r="C31" s="24"/>
      <c r="D31" s="45" t="s">
        <v>25</v>
      </c>
      <c r="E31" s="18">
        <f>E32+E34+E36</f>
        <v>1794135</v>
      </c>
      <c r="F31" s="18">
        <f t="shared" ref="F31:S31" si="22">F32+F34+F36</f>
        <v>1032755</v>
      </c>
      <c r="G31" s="18">
        <f t="shared" si="22"/>
        <v>1398740</v>
      </c>
      <c r="H31" s="18">
        <f t="shared" si="22"/>
        <v>855595</v>
      </c>
      <c r="I31" s="18">
        <f t="shared" si="22"/>
        <v>313920</v>
      </c>
      <c r="J31" s="18">
        <f t="shared" si="22"/>
        <v>1800</v>
      </c>
      <c r="K31" s="18">
        <f t="shared" si="22"/>
        <v>198325</v>
      </c>
      <c r="L31" s="18">
        <f t="shared" si="22"/>
        <v>340085</v>
      </c>
      <c r="M31" s="18">
        <f t="shared" si="22"/>
        <v>70860</v>
      </c>
      <c r="N31" s="18">
        <f t="shared" si="22"/>
        <v>16260</v>
      </c>
      <c r="O31" s="18">
        <f t="shared" si="22"/>
        <v>52320</v>
      </c>
      <c r="P31" s="18">
        <f t="shared" si="22"/>
        <v>65880</v>
      </c>
      <c r="Q31" s="18">
        <f t="shared" si="22"/>
        <v>720</v>
      </c>
      <c r="R31" s="18">
        <f t="shared" si="22"/>
        <v>45255</v>
      </c>
      <c r="S31" s="18">
        <f t="shared" si="22"/>
        <v>161790</v>
      </c>
      <c r="T31" s="18">
        <f t="shared" si="1"/>
        <v>6348440</v>
      </c>
      <c r="U31" s="26"/>
    </row>
    <row r="32" spans="1:21" ht="23.1" customHeight="1">
      <c r="A32" s="14" t="s">
        <v>93</v>
      </c>
      <c r="B32" s="24" t="s">
        <v>94</v>
      </c>
      <c r="C32" s="24" t="s">
        <v>95</v>
      </c>
      <c r="D32" s="16" t="s">
        <v>96</v>
      </c>
      <c r="E32" s="50">
        <f>E33</f>
        <v>1787235</v>
      </c>
      <c r="F32" s="50">
        <f t="shared" ref="F32:S32" si="23">F33</f>
        <v>1027655</v>
      </c>
      <c r="G32" s="50">
        <f t="shared" si="23"/>
        <v>1396160</v>
      </c>
      <c r="H32" s="50">
        <f t="shared" si="23"/>
        <v>853435</v>
      </c>
      <c r="I32" s="50">
        <f t="shared" si="23"/>
        <v>309720</v>
      </c>
      <c r="J32" s="50">
        <f t="shared" si="23"/>
        <v>0</v>
      </c>
      <c r="K32" s="50">
        <f t="shared" si="23"/>
        <v>194725</v>
      </c>
      <c r="L32" s="50">
        <f t="shared" si="23"/>
        <v>336935</v>
      </c>
      <c r="M32" s="50">
        <f t="shared" si="23"/>
        <v>66540</v>
      </c>
      <c r="N32" s="50">
        <f t="shared" si="23"/>
        <v>13020</v>
      </c>
      <c r="O32" s="50">
        <f t="shared" si="23"/>
        <v>47340</v>
      </c>
      <c r="P32" s="50">
        <f t="shared" si="23"/>
        <v>65880</v>
      </c>
      <c r="Q32" s="50">
        <f t="shared" si="23"/>
        <v>0</v>
      </c>
      <c r="R32" s="50">
        <f t="shared" si="23"/>
        <v>41655</v>
      </c>
      <c r="S32" s="50">
        <f t="shared" si="23"/>
        <v>160260</v>
      </c>
      <c r="T32" s="18">
        <f t="shared" si="1"/>
        <v>6300560</v>
      </c>
      <c r="U32" s="16"/>
    </row>
    <row r="33" spans="1:21" ht="23.1" customHeight="1">
      <c r="A33" s="14" t="s">
        <v>97</v>
      </c>
      <c r="B33" s="24" t="s">
        <v>98</v>
      </c>
      <c r="C33" s="24" t="s">
        <v>95</v>
      </c>
      <c r="D33" s="16" t="s">
        <v>96</v>
      </c>
      <c r="E33" s="25">
        <v>1787235</v>
      </c>
      <c r="F33" s="25">
        <v>1027655</v>
      </c>
      <c r="G33" s="25">
        <v>1396160</v>
      </c>
      <c r="H33" s="25">
        <v>853435</v>
      </c>
      <c r="I33" s="25">
        <v>309720</v>
      </c>
      <c r="J33" s="25"/>
      <c r="K33" s="25">
        <v>194725</v>
      </c>
      <c r="L33" s="25">
        <v>336935</v>
      </c>
      <c r="M33" s="25">
        <v>66540</v>
      </c>
      <c r="N33" s="25">
        <v>13020</v>
      </c>
      <c r="O33" s="25">
        <v>47340</v>
      </c>
      <c r="P33" s="25">
        <v>65880</v>
      </c>
      <c r="Q33" s="25"/>
      <c r="R33" s="25">
        <v>41655</v>
      </c>
      <c r="S33" s="25">
        <v>160260</v>
      </c>
      <c r="T33" s="18">
        <f t="shared" si="1"/>
        <v>6300560</v>
      </c>
      <c r="U33" s="26"/>
    </row>
    <row r="34" spans="1:21" ht="23.1" customHeight="1">
      <c r="A34" s="14" t="s">
        <v>99</v>
      </c>
      <c r="B34" s="24" t="s">
        <v>100</v>
      </c>
      <c r="C34" s="24"/>
      <c r="D34" s="45" t="s">
        <v>25</v>
      </c>
      <c r="E34" s="18">
        <f>E35</f>
        <v>6900</v>
      </c>
      <c r="F34" s="18">
        <f t="shared" ref="F34:S34" si="24">F35</f>
        <v>5100</v>
      </c>
      <c r="G34" s="18">
        <f t="shared" si="24"/>
        <v>2580</v>
      </c>
      <c r="H34" s="18">
        <f t="shared" si="24"/>
        <v>2160</v>
      </c>
      <c r="I34" s="18">
        <f t="shared" si="24"/>
        <v>4200</v>
      </c>
      <c r="J34" s="18">
        <f t="shared" si="24"/>
        <v>1800</v>
      </c>
      <c r="K34" s="18">
        <f t="shared" si="24"/>
        <v>3600</v>
      </c>
      <c r="L34" s="18">
        <f t="shared" si="24"/>
        <v>3150</v>
      </c>
      <c r="M34" s="18">
        <f t="shared" si="24"/>
        <v>4320</v>
      </c>
      <c r="N34" s="18">
        <f t="shared" si="24"/>
        <v>3240</v>
      </c>
      <c r="O34" s="18">
        <f t="shared" si="24"/>
        <v>4980</v>
      </c>
      <c r="P34" s="18">
        <f t="shared" si="24"/>
        <v>0</v>
      </c>
      <c r="Q34" s="18">
        <f t="shared" si="24"/>
        <v>720</v>
      </c>
      <c r="R34" s="18">
        <f t="shared" si="24"/>
        <v>3600</v>
      </c>
      <c r="S34" s="18">
        <f t="shared" si="24"/>
        <v>1530</v>
      </c>
      <c r="T34" s="18">
        <f t="shared" si="1"/>
        <v>47880</v>
      </c>
      <c r="U34" s="26"/>
    </row>
    <row r="35" spans="1:21" ht="23.1" customHeight="1">
      <c r="A35" s="14" t="s">
        <v>101</v>
      </c>
      <c r="B35" s="24" t="s">
        <v>102</v>
      </c>
      <c r="C35" s="24" t="s">
        <v>31</v>
      </c>
      <c r="D35" s="45" t="s">
        <v>32</v>
      </c>
      <c r="E35" s="25">
        <v>6900</v>
      </c>
      <c r="F35" s="25">
        <v>5100</v>
      </c>
      <c r="G35" s="25">
        <v>2580</v>
      </c>
      <c r="H35" s="25">
        <v>2160</v>
      </c>
      <c r="I35" s="25">
        <v>4200</v>
      </c>
      <c r="J35" s="25">
        <v>1800</v>
      </c>
      <c r="K35" s="25">
        <v>3600</v>
      </c>
      <c r="L35" s="25">
        <v>3150</v>
      </c>
      <c r="M35" s="25">
        <v>4320</v>
      </c>
      <c r="N35" s="25">
        <v>3240</v>
      </c>
      <c r="O35" s="25">
        <v>4980</v>
      </c>
      <c r="P35" s="25"/>
      <c r="Q35" s="25">
        <v>720</v>
      </c>
      <c r="R35" s="25">
        <f>300*12</f>
        <v>3600</v>
      </c>
      <c r="S35" s="25">
        <v>1530</v>
      </c>
      <c r="T35" s="18">
        <f t="shared" si="1"/>
        <v>47880</v>
      </c>
      <c r="U35" s="26"/>
    </row>
    <row r="36" spans="1:21" ht="23.1" customHeight="1">
      <c r="A36" s="14" t="s">
        <v>103</v>
      </c>
      <c r="B36" s="24" t="s">
        <v>104</v>
      </c>
      <c r="C36" s="24"/>
      <c r="D36" s="45" t="s">
        <v>25</v>
      </c>
      <c r="E36" s="18">
        <f>E37</f>
        <v>0</v>
      </c>
      <c r="F36" s="18">
        <f t="shared" ref="F36:S36" si="25">F37</f>
        <v>0</v>
      </c>
      <c r="G36" s="18">
        <f t="shared" si="25"/>
        <v>0</v>
      </c>
      <c r="H36" s="18">
        <f t="shared" si="25"/>
        <v>0</v>
      </c>
      <c r="I36" s="18">
        <f t="shared" si="25"/>
        <v>0</v>
      </c>
      <c r="J36" s="18">
        <f t="shared" si="25"/>
        <v>0</v>
      </c>
      <c r="K36" s="18">
        <f t="shared" si="25"/>
        <v>0</v>
      </c>
      <c r="L36" s="18">
        <f t="shared" si="25"/>
        <v>0</v>
      </c>
      <c r="M36" s="18">
        <f t="shared" si="25"/>
        <v>0</v>
      </c>
      <c r="N36" s="18">
        <f t="shared" si="25"/>
        <v>0</v>
      </c>
      <c r="O36" s="18">
        <f t="shared" si="25"/>
        <v>0</v>
      </c>
      <c r="P36" s="18">
        <f t="shared" si="25"/>
        <v>0</v>
      </c>
      <c r="Q36" s="18">
        <f t="shared" si="25"/>
        <v>0</v>
      </c>
      <c r="R36" s="18">
        <f t="shared" si="25"/>
        <v>0</v>
      </c>
      <c r="S36" s="18">
        <f t="shared" si="25"/>
        <v>0</v>
      </c>
      <c r="T36" s="18">
        <f t="shared" si="1"/>
        <v>0</v>
      </c>
      <c r="U36" s="26"/>
    </row>
    <row r="37" spans="1:21" ht="23.1" customHeight="1">
      <c r="A37" s="14" t="s">
        <v>105</v>
      </c>
      <c r="B37" s="24" t="s">
        <v>106</v>
      </c>
      <c r="C37" s="24" t="s">
        <v>31</v>
      </c>
      <c r="D37" s="16" t="s">
        <v>107</v>
      </c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17"/>
      <c r="P37" s="17"/>
      <c r="Q37" s="17"/>
      <c r="R37" s="17"/>
      <c r="S37" s="17"/>
      <c r="T37" s="18">
        <f t="shared" si="1"/>
        <v>0</v>
      </c>
      <c r="U37" s="16"/>
    </row>
    <row r="38" spans="1:21" ht="23.1" customHeight="1">
      <c r="A38" s="14" t="s">
        <v>108</v>
      </c>
      <c r="B38" s="24" t="s">
        <v>109</v>
      </c>
      <c r="C38" s="24"/>
      <c r="D38" s="45" t="s">
        <v>25</v>
      </c>
      <c r="E38" s="18">
        <f>E39+E41+E43+E45+E47+E50+E52+E54+E58</f>
        <v>7320752.71</v>
      </c>
      <c r="F38" s="18">
        <f t="shared" ref="F38:S38" si="26">F39+F41+F43+F45+F47+F50+F52+F54+F58</f>
        <v>4726973.1399999997</v>
      </c>
      <c r="G38" s="18">
        <f t="shared" si="26"/>
        <v>4376907.57</v>
      </c>
      <c r="H38" s="18">
        <f t="shared" si="26"/>
        <v>4660737.71</v>
      </c>
      <c r="I38" s="18">
        <f t="shared" si="26"/>
        <v>13074737.6</v>
      </c>
      <c r="J38" s="18">
        <f t="shared" si="26"/>
        <v>3358445.36</v>
      </c>
      <c r="K38" s="18">
        <f t="shared" si="26"/>
        <v>2696220.46</v>
      </c>
      <c r="L38" s="18">
        <f t="shared" si="26"/>
        <v>2527766.3699999996</v>
      </c>
      <c r="M38" s="18">
        <f t="shared" si="26"/>
        <v>2410037.1800000002</v>
      </c>
      <c r="N38" s="18">
        <f t="shared" si="26"/>
        <v>2145354.66</v>
      </c>
      <c r="O38" s="18">
        <f t="shared" si="26"/>
        <v>8232781.21</v>
      </c>
      <c r="P38" s="18">
        <f t="shared" si="26"/>
        <v>240553.14</v>
      </c>
      <c r="Q38" s="18">
        <f t="shared" si="26"/>
        <v>1099532.71</v>
      </c>
      <c r="R38" s="18">
        <f t="shared" si="26"/>
        <v>5517243.2700000005</v>
      </c>
      <c r="S38" s="18">
        <f t="shared" si="26"/>
        <v>1836271.94</v>
      </c>
      <c r="T38" s="18">
        <f t="shared" si="1"/>
        <v>64224315.029999994</v>
      </c>
      <c r="U38" s="26"/>
    </row>
    <row r="39" spans="1:21" ht="23.1" customHeight="1">
      <c r="A39" s="14" t="s">
        <v>110</v>
      </c>
      <c r="B39" s="24" t="s">
        <v>111</v>
      </c>
      <c r="C39" s="24"/>
      <c r="D39" s="45" t="s">
        <v>112</v>
      </c>
      <c r="E39" s="25">
        <v>4987250</v>
      </c>
      <c r="F39" s="25">
        <v>3538850</v>
      </c>
      <c r="G39" s="25">
        <v>2972830</v>
      </c>
      <c r="H39" s="25">
        <v>3223210</v>
      </c>
      <c r="I39" s="25">
        <v>10654480</v>
      </c>
      <c r="J39" s="25">
        <v>2642570</v>
      </c>
      <c r="K39" s="25">
        <v>1836100</v>
      </c>
      <c r="L39" s="25">
        <f>[2]生均公用定额标准!K32+[2]生均公用定额标准!K33+[2]生均公用定额标准!K34</f>
        <v>1859000</v>
      </c>
      <c r="M39" s="25">
        <v>1751700</v>
      </c>
      <c r="N39" s="25">
        <v>1561520</v>
      </c>
      <c r="O39" s="25">
        <v>6258240</v>
      </c>
      <c r="P39" s="25">
        <f>22400*5</f>
        <v>112000</v>
      </c>
      <c r="Q39" s="25">
        <f>[2]生均公用定额标准!K43</f>
        <v>858000</v>
      </c>
      <c r="R39" s="25">
        <v>4501350</v>
      </c>
      <c r="S39" s="25">
        <v>1397060</v>
      </c>
      <c r="T39" s="18">
        <f t="shared" si="1"/>
        <v>48154160</v>
      </c>
      <c r="U39" s="26"/>
    </row>
    <row r="40" spans="1:21" ht="23.1" customHeight="1">
      <c r="A40" s="14" t="s">
        <v>113</v>
      </c>
      <c r="B40" s="24" t="s">
        <v>114</v>
      </c>
      <c r="C40" s="24" t="s">
        <v>115</v>
      </c>
      <c r="D40" s="27" t="s">
        <v>116</v>
      </c>
      <c r="E40" s="25">
        <v>249362.5</v>
      </c>
      <c r="F40" s="25">
        <v>176942.5</v>
      </c>
      <c r="G40" s="25">
        <v>148641.5</v>
      </c>
      <c r="H40" s="25">
        <v>161160.5</v>
      </c>
      <c r="I40" s="25">
        <v>532724</v>
      </c>
      <c r="J40" s="25">
        <v>132128.5</v>
      </c>
      <c r="K40" s="25">
        <v>85656</v>
      </c>
      <c r="L40" s="25">
        <f>[2]生均公用定额标准!L32+[2]生均公用定额标准!L33+[2]生均公用定额标准!L34</f>
        <v>61776</v>
      </c>
      <c r="M40" s="25">
        <v>72141</v>
      </c>
      <c r="N40" s="25">
        <v>70640</v>
      </c>
      <c r="O40" s="25">
        <v>312912</v>
      </c>
      <c r="P40" s="25">
        <v>5600</v>
      </c>
      <c r="Q40" s="25">
        <f>[2]生均公用定额标准!L43</f>
        <v>35321</v>
      </c>
      <c r="R40" s="25">
        <v>225067.5</v>
      </c>
      <c r="S40" s="25">
        <v>61130</v>
      </c>
      <c r="T40" s="18">
        <f t="shared" si="1"/>
        <v>2331203</v>
      </c>
      <c r="U40" s="26"/>
    </row>
    <row r="41" spans="1:21" ht="23.1" customHeight="1">
      <c r="A41" s="14" t="s">
        <v>117</v>
      </c>
      <c r="B41" s="24" t="s">
        <v>118</v>
      </c>
      <c r="C41" s="24"/>
      <c r="D41" s="45"/>
      <c r="E41" s="18">
        <f>E42</f>
        <v>46000</v>
      </c>
      <c r="F41" s="18">
        <f t="shared" ref="F41:S41" si="27">F42</f>
        <v>28800</v>
      </c>
      <c r="G41" s="18">
        <f t="shared" si="27"/>
        <v>31200</v>
      </c>
      <c r="H41" s="18">
        <f t="shared" si="27"/>
        <v>37200</v>
      </c>
      <c r="I41" s="18">
        <f t="shared" si="27"/>
        <v>78400</v>
      </c>
      <c r="J41" s="18">
        <f t="shared" si="27"/>
        <v>23600</v>
      </c>
      <c r="K41" s="18">
        <f t="shared" si="27"/>
        <v>22400</v>
      </c>
      <c r="L41" s="18">
        <f t="shared" si="27"/>
        <v>18400</v>
      </c>
      <c r="M41" s="18">
        <f t="shared" si="27"/>
        <v>17200</v>
      </c>
      <c r="N41" s="18">
        <f t="shared" si="27"/>
        <v>17200</v>
      </c>
      <c r="O41" s="18">
        <f t="shared" si="27"/>
        <v>53200</v>
      </c>
      <c r="P41" s="18">
        <f t="shared" si="27"/>
        <v>2000</v>
      </c>
      <c r="Q41" s="18">
        <f t="shared" si="27"/>
        <v>6400</v>
      </c>
      <c r="R41" s="18">
        <f t="shared" si="27"/>
        <v>32400</v>
      </c>
      <c r="S41" s="18">
        <f t="shared" si="27"/>
        <v>12800</v>
      </c>
      <c r="T41" s="18">
        <f t="shared" si="1"/>
        <v>427200</v>
      </c>
      <c r="U41" s="26"/>
    </row>
    <row r="42" spans="1:21" s="44" customFormat="1" ht="23.1" customHeight="1">
      <c r="A42" s="14" t="s">
        <v>119</v>
      </c>
      <c r="B42" s="43" t="s">
        <v>120</v>
      </c>
      <c r="C42" s="43" t="s">
        <v>31</v>
      </c>
      <c r="D42" s="51" t="s">
        <v>121</v>
      </c>
      <c r="E42" s="18">
        <f>E61*400</f>
        <v>46000</v>
      </c>
      <c r="F42" s="18">
        <f t="shared" ref="F42:S42" si="28">F61*400</f>
        <v>28800</v>
      </c>
      <c r="G42" s="18">
        <f t="shared" si="28"/>
        <v>31200</v>
      </c>
      <c r="H42" s="18">
        <f t="shared" si="28"/>
        <v>37200</v>
      </c>
      <c r="I42" s="18">
        <f t="shared" si="28"/>
        <v>78400</v>
      </c>
      <c r="J42" s="18">
        <f t="shared" si="28"/>
        <v>23600</v>
      </c>
      <c r="K42" s="18">
        <f t="shared" si="28"/>
        <v>22400</v>
      </c>
      <c r="L42" s="18">
        <f t="shared" si="28"/>
        <v>18400</v>
      </c>
      <c r="M42" s="18">
        <f t="shared" si="28"/>
        <v>17200</v>
      </c>
      <c r="N42" s="18">
        <f t="shared" si="28"/>
        <v>17200</v>
      </c>
      <c r="O42" s="18">
        <f t="shared" si="28"/>
        <v>53200</v>
      </c>
      <c r="P42" s="18">
        <f t="shared" si="28"/>
        <v>2000</v>
      </c>
      <c r="Q42" s="18">
        <f t="shared" si="28"/>
        <v>6400</v>
      </c>
      <c r="R42" s="18">
        <f t="shared" si="28"/>
        <v>32400</v>
      </c>
      <c r="S42" s="18">
        <f t="shared" si="28"/>
        <v>12800</v>
      </c>
      <c r="T42" s="18">
        <f t="shared" si="1"/>
        <v>427200</v>
      </c>
      <c r="U42" s="26"/>
    </row>
    <row r="43" spans="1:21" ht="23.1" customHeight="1">
      <c r="A43" s="14" t="s">
        <v>122</v>
      </c>
      <c r="B43" s="24" t="s">
        <v>123</v>
      </c>
      <c r="C43" s="24"/>
      <c r="D43" s="45" t="s">
        <v>25</v>
      </c>
      <c r="E43" s="18">
        <f>E44</f>
        <v>489330</v>
      </c>
      <c r="F43" s="18">
        <f t="shared" ref="F43:S43" si="29">F44</f>
        <v>135690</v>
      </c>
      <c r="G43" s="18">
        <f t="shared" si="29"/>
        <v>204405</v>
      </c>
      <c r="H43" s="18">
        <f t="shared" si="29"/>
        <v>268530</v>
      </c>
      <c r="I43" s="18">
        <f t="shared" si="29"/>
        <v>386583.60000000003</v>
      </c>
      <c r="J43" s="18">
        <f t="shared" si="29"/>
        <v>196585.65</v>
      </c>
      <c r="K43" s="18">
        <f t="shared" si="29"/>
        <v>205953.60000000003</v>
      </c>
      <c r="L43" s="18">
        <f t="shared" si="29"/>
        <v>99419.4</v>
      </c>
      <c r="M43" s="18">
        <f t="shared" si="29"/>
        <v>172176.15</v>
      </c>
      <c r="N43" s="18">
        <f t="shared" si="29"/>
        <v>136753.79999999999</v>
      </c>
      <c r="O43" s="18">
        <f t="shared" si="29"/>
        <v>509998.35</v>
      </c>
      <c r="P43" s="18">
        <f t="shared" si="29"/>
        <v>34500</v>
      </c>
      <c r="Q43" s="18">
        <f t="shared" si="29"/>
        <v>65355</v>
      </c>
      <c r="R43" s="18">
        <f t="shared" si="29"/>
        <v>199268.7</v>
      </c>
      <c r="S43" s="18">
        <f t="shared" si="29"/>
        <v>59392.800000000003</v>
      </c>
      <c r="T43" s="18">
        <f t="shared" si="1"/>
        <v>3163942.05</v>
      </c>
      <c r="U43" s="26"/>
    </row>
    <row r="44" spans="1:21" s="44" customFormat="1" ht="23.1" customHeight="1">
      <c r="A44" s="14" t="s">
        <v>124</v>
      </c>
      <c r="B44" s="43" t="s">
        <v>125</v>
      </c>
      <c r="C44" s="43" t="s">
        <v>31</v>
      </c>
      <c r="D44" s="51" t="s">
        <v>126</v>
      </c>
      <c r="E44" s="18">
        <f>E72*15</f>
        <v>489330</v>
      </c>
      <c r="F44" s="18">
        <f t="shared" ref="F44:S44" si="30">F72*15</f>
        <v>135690</v>
      </c>
      <c r="G44" s="18">
        <f t="shared" si="30"/>
        <v>204405</v>
      </c>
      <c r="H44" s="18">
        <f t="shared" si="30"/>
        <v>268530</v>
      </c>
      <c r="I44" s="18">
        <f t="shared" si="30"/>
        <v>386583.60000000003</v>
      </c>
      <c r="J44" s="18">
        <f t="shared" si="30"/>
        <v>196585.65</v>
      </c>
      <c r="K44" s="18">
        <f t="shared" si="30"/>
        <v>205953.60000000003</v>
      </c>
      <c r="L44" s="18">
        <f t="shared" si="30"/>
        <v>99419.4</v>
      </c>
      <c r="M44" s="18">
        <f t="shared" si="30"/>
        <v>172176.15</v>
      </c>
      <c r="N44" s="18">
        <f t="shared" si="30"/>
        <v>136753.79999999999</v>
      </c>
      <c r="O44" s="18">
        <f t="shared" si="30"/>
        <v>509998.35</v>
      </c>
      <c r="P44" s="18">
        <f t="shared" si="30"/>
        <v>34500</v>
      </c>
      <c r="Q44" s="18">
        <f t="shared" si="30"/>
        <v>65355</v>
      </c>
      <c r="R44" s="18">
        <f t="shared" si="30"/>
        <v>199268.7</v>
      </c>
      <c r="S44" s="18">
        <f t="shared" si="30"/>
        <v>59392.800000000003</v>
      </c>
      <c r="T44" s="18">
        <f t="shared" si="1"/>
        <v>3163942.05</v>
      </c>
      <c r="U44" s="26"/>
    </row>
    <row r="45" spans="1:21" ht="23.1" customHeight="1">
      <c r="A45" s="14" t="s">
        <v>127</v>
      </c>
      <c r="B45" s="24" t="s">
        <v>128</v>
      </c>
      <c r="C45" s="24"/>
      <c r="D45" s="45" t="s">
        <v>25</v>
      </c>
      <c r="E45" s="18">
        <f>E46</f>
        <v>238592</v>
      </c>
      <c r="F45" s="18">
        <f t="shared" ref="F45:S45" si="31">F46</f>
        <v>69296</v>
      </c>
      <c r="G45" s="18">
        <f t="shared" si="31"/>
        <v>64000</v>
      </c>
      <c r="H45" s="18">
        <f t="shared" si="31"/>
        <v>64000</v>
      </c>
      <c r="I45" s="18">
        <f t="shared" si="31"/>
        <v>126840</v>
      </c>
      <c r="J45" s="18">
        <f t="shared" si="31"/>
        <v>37352</v>
      </c>
      <c r="K45" s="18">
        <f t="shared" si="31"/>
        <v>51136</v>
      </c>
      <c r="L45" s="18">
        <f t="shared" si="31"/>
        <v>37310.400000000001</v>
      </c>
      <c r="M45" s="18">
        <f t="shared" si="31"/>
        <v>52681.599999999999</v>
      </c>
      <c r="N45" s="18">
        <f t="shared" si="31"/>
        <v>24480</v>
      </c>
      <c r="O45" s="18">
        <f t="shared" si="31"/>
        <v>168480</v>
      </c>
      <c r="P45" s="18">
        <f t="shared" si="31"/>
        <v>0</v>
      </c>
      <c r="Q45" s="18">
        <f t="shared" si="31"/>
        <v>12040</v>
      </c>
      <c r="R45" s="18">
        <f t="shared" si="31"/>
        <v>54272</v>
      </c>
      <c r="S45" s="18">
        <f t="shared" si="31"/>
        <v>32104</v>
      </c>
      <c r="T45" s="18">
        <f t="shared" si="1"/>
        <v>1032584</v>
      </c>
      <c r="U45" s="26"/>
    </row>
    <row r="46" spans="1:21" s="44" customFormat="1" ht="23.1" customHeight="1">
      <c r="A46" s="14" t="s">
        <v>129</v>
      </c>
      <c r="B46" s="43" t="s">
        <v>130</v>
      </c>
      <c r="C46" s="43" t="s">
        <v>31</v>
      </c>
      <c r="D46" s="51" t="s">
        <v>131</v>
      </c>
      <c r="E46" s="18">
        <f>E73*8</f>
        <v>238592</v>
      </c>
      <c r="F46" s="18">
        <f t="shared" ref="F46:S46" si="32">F73*8</f>
        <v>69296</v>
      </c>
      <c r="G46" s="18">
        <f t="shared" si="32"/>
        <v>64000</v>
      </c>
      <c r="H46" s="18">
        <f t="shared" si="32"/>
        <v>64000</v>
      </c>
      <c r="I46" s="18">
        <f t="shared" si="32"/>
        <v>126840</v>
      </c>
      <c r="J46" s="18">
        <f t="shared" si="32"/>
        <v>37352</v>
      </c>
      <c r="K46" s="18">
        <f t="shared" si="32"/>
        <v>51136</v>
      </c>
      <c r="L46" s="18">
        <f t="shared" si="32"/>
        <v>37310.400000000001</v>
      </c>
      <c r="M46" s="18">
        <f t="shared" si="32"/>
        <v>52681.599999999999</v>
      </c>
      <c r="N46" s="18">
        <f t="shared" si="32"/>
        <v>24480</v>
      </c>
      <c r="O46" s="18">
        <f t="shared" si="32"/>
        <v>168480</v>
      </c>
      <c r="P46" s="18">
        <f t="shared" si="32"/>
        <v>0</v>
      </c>
      <c r="Q46" s="18">
        <f t="shared" si="32"/>
        <v>12040</v>
      </c>
      <c r="R46" s="18">
        <f t="shared" si="32"/>
        <v>54272</v>
      </c>
      <c r="S46" s="18">
        <f t="shared" si="32"/>
        <v>32104</v>
      </c>
      <c r="T46" s="18">
        <f t="shared" si="1"/>
        <v>1032584</v>
      </c>
      <c r="U46" s="26"/>
    </row>
    <row r="47" spans="1:21" ht="23.1" customHeight="1">
      <c r="A47" s="14" t="s">
        <v>132</v>
      </c>
      <c r="B47" s="24" t="s">
        <v>133</v>
      </c>
      <c r="C47" s="24"/>
      <c r="D47" s="45" t="s">
        <v>25</v>
      </c>
      <c r="E47" s="18">
        <f>E48+E49</f>
        <v>881280</v>
      </c>
      <c r="F47" s="18">
        <f t="shared" ref="F47:S47" si="33">F48+F49</f>
        <v>535680</v>
      </c>
      <c r="G47" s="18">
        <f t="shared" si="33"/>
        <v>669600</v>
      </c>
      <c r="H47" s="18">
        <f t="shared" si="33"/>
        <v>596160</v>
      </c>
      <c r="I47" s="18">
        <f t="shared" si="33"/>
        <v>920160</v>
      </c>
      <c r="J47" s="18">
        <f t="shared" si="33"/>
        <v>254880</v>
      </c>
      <c r="K47" s="18">
        <f t="shared" si="33"/>
        <v>293760</v>
      </c>
      <c r="L47" s="18">
        <f t="shared" si="33"/>
        <v>276480</v>
      </c>
      <c r="M47" s="18">
        <f t="shared" si="33"/>
        <v>203040</v>
      </c>
      <c r="N47" s="18">
        <f t="shared" si="33"/>
        <v>190080</v>
      </c>
      <c r="O47" s="18">
        <f t="shared" si="33"/>
        <v>587520</v>
      </c>
      <c r="P47" s="18">
        <f t="shared" si="33"/>
        <v>34560</v>
      </c>
      <c r="Q47" s="18">
        <f t="shared" si="33"/>
        <v>69120</v>
      </c>
      <c r="R47" s="18">
        <f t="shared" si="33"/>
        <v>367200</v>
      </c>
      <c r="S47" s="18">
        <f t="shared" si="33"/>
        <v>177120</v>
      </c>
      <c r="T47" s="18">
        <f t="shared" si="1"/>
        <v>6056640</v>
      </c>
      <c r="U47" s="26"/>
    </row>
    <row r="48" spans="1:21" s="44" customFormat="1" ht="23.1" customHeight="1">
      <c r="A48" s="14" t="s">
        <v>134</v>
      </c>
      <c r="B48" s="43" t="s">
        <v>135</v>
      </c>
      <c r="C48" s="43" t="s">
        <v>31</v>
      </c>
      <c r="D48" s="51" t="s">
        <v>136</v>
      </c>
      <c r="E48" s="18">
        <f>E61*4320</f>
        <v>496800</v>
      </c>
      <c r="F48" s="18">
        <f t="shared" ref="F48:S48" si="34">F61*4320</f>
        <v>311040</v>
      </c>
      <c r="G48" s="18">
        <f t="shared" si="34"/>
        <v>336960</v>
      </c>
      <c r="H48" s="18">
        <f t="shared" si="34"/>
        <v>401760</v>
      </c>
      <c r="I48" s="18">
        <f t="shared" si="34"/>
        <v>846720</v>
      </c>
      <c r="J48" s="18">
        <f t="shared" si="34"/>
        <v>254880</v>
      </c>
      <c r="K48" s="18">
        <f t="shared" si="34"/>
        <v>241920</v>
      </c>
      <c r="L48" s="18">
        <f t="shared" si="34"/>
        <v>198720</v>
      </c>
      <c r="M48" s="18">
        <f t="shared" si="34"/>
        <v>185760</v>
      </c>
      <c r="N48" s="18">
        <f t="shared" si="34"/>
        <v>185760</v>
      </c>
      <c r="O48" s="18">
        <f t="shared" si="34"/>
        <v>574560</v>
      </c>
      <c r="P48" s="18">
        <f t="shared" si="34"/>
        <v>21600</v>
      </c>
      <c r="Q48" s="18">
        <f t="shared" si="34"/>
        <v>69120</v>
      </c>
      <c r="R48" s="18">
        <f t="shared" si="34"/>
        <v>349920</v>
      </c>
      <c r="S48" s="18">
        <f t="shared" si="34"/>
        <v>138240</v>
      </c>
      <c r="T48" s="18">
        <f t="shared" si="1"/>
        <v>4613760</v>
      </c>
      <c r="U48" s="26"/>
    </row>
    <row r="49" spans="1:21" s="44" customFormat="1" ht="23.1" customHeight="1">
      <c r="A49" s="14" t="s">
        <v>137</v>
      </c>
      <c r="B49" s="43" t="s">
        <v>138</v>
      </c>
      <c r="C49" s="43" t="s">
        <v>31</v>
      </c>
      <c r="D49" s="51" t="s">
        <v>139</v>
      </c>
      <c r="E49" s="18">
        <f>E71*4320</f>
        <v>384480</v>
      </c>
      <c r="F49" s="18">
        <f t="shared" ref="F49:S49" si="35">F71*4320</f>
        <v>224640</v>
      </c>
      <c r="G49" s="18">
        <f t="shared" si="35"/>
        <v>332640</v>
      </c>
      <c r="H49" s="18">
        <f t="shared" si="35"/>
        <v>194400</v>
      </c>
      <c r="I49" s="18">
        <f t="shared" si="35"/>
        <v>73440</v>
      </c>
      <c r="J49" s="18">
        <f t="shared" si="35"/>
        <v>0</v>
      </c>
      <c r="K49" s="18">
        <f t="shared" si="35"/>
        <v>51840</v>
      </c>
      <c r="L49" s="18">
        <f t="shared" si="35"/>
        <v>77760</v>
      </c>
      <c r="M49" s="18">
        <f t="shared" si="35"/>
        <v>17280</v>
      </c>
      <c r="N49" s="18">
        <f t="shared" si="35"/>
        <v>4320</v>
      </c>
      <c r="O49" s="18">
        <f t="shared" si="35"/>
        <v>12960</v>
      </c>
      <c r="P49" s="18">
        <f t="shared" si="35"/>
        <v>12960</v>
      </c>
      <c r="Q49" s="18">
        <f t="shared" si="35"/>
        <v>0</v>
      </c>
      <c r="R49" s="18">
        <f t="shared" si="35"/>
        <v>17280</v>
      </c>
      <c r="S49" s="18">
        <f t="shared" si="35"/>
        <v>38880</v>
      </c>
      <c r="T49" s="18">
        <f t="shared" si="1"/>
        <v>1442880</v>
      </c>
      <c r="U49" s="26"/>
    </row>
    <row r="50" spans="1:21" ht="23.1" customHeight="1">
      <c r="A50" s="14" t="s">
        <v>140</v>
      </c>
      <c r="B50" s="24" t="s">
        <v>141</v>
      </c>
      <c r="C50" s="24"/>
      <c r="D50" s="45" t="s">
        <v>25</v>
      </c>
      <c r="E50" s="18">
        <f>E51</f>
        <v>604325.71</v>
      </c>
      <c r="F50" s="18">
        <f t="shared" ref="F50:S50" si="36">F51</f>
        <v>362857.14</v>
      </c>
      <c r="G50" s="18">
        <f t="shared" si="36"/>
        <v>371072.57</v>
      </c>
      <c r="H50" s="18">
        <f t="shared" si="36"/>
        <v>417937.71</v>
      </c>
      <c r="I50" s="18">
        <f t="shared" si="36"/>
        <v>832924</v>
      </c>
      <c r="J50" s="18">
        <f t="shared" si="36"/>
        <v>166457.71</v>
      </c>
      <c r="K50" s="18">
        <f t="shared" si="36"/>
        <v>245570.86</v>
      </c>
      <c r="L50" s="18">
        <f t="shared" si="36"/>
        <v>194356.57</v>
      </c>
      <c r="M50" s="18">
        <f t="shared" si="36"/>
        <v>174939.43</v>
      </c>
      <c r="N50" s="18">
        <f t="shared" si="36"/>
        <v>180570.86</v>
      </c>
      <c r="O50" s="18">
        <f t="shared" si="36"/>
        <v>617142.86</v>
      </c>
      <c r="P50" s="18">
        <f t="shared" si="36"/>
        <v>24293.14</v>
      </c>
      <c r="Q50" s="18">
        <f t="shared" si="36"/>
        <v>54617.71</v>
      </c>
      <c r="R50" s="18">
        <f t="shared" si="36"/>
        <v>327152.57</v>
      </c>
      <c r="S50" s="18">
        <f t="shared" si="36"/>
        <v>119195.14</v>
      </c>
      <c r="T50" s="18">
        <f t="shared" si="1"/>
        <v>4693413.9799999995</v>
      </c>
      <c r="U50" s="26"/>
    </row>
    <row r="51" spans="1:21" s="44" customFormat="1" ht="23.1" customHeight="1">
      <c r="A51" s="14" t="s">
        <v>142</v>
      </c>
      <c r="B51" s="43" t="s">
        <v>143</v>
      </c>
      <c r="C51" s="43" t="s">
        <v>31</v>
      </c>
      <c r="D51" s="26" t="s">
        <v>48</v>
      </c>
      <c r="E51" s="18">
        <f>ROUND(E29/0.07*0.02,2)</f>
        <v>604325.71</v>
      </c>
      <c r="F51" s="18">
        <f t="shared" ref="F51:S51" si="37">ROUND(F29/0.07*0.02,2)</f>
        <v>362857.14</v>
      </c>
      <c r="G51" s="18">
        <f t="shared" si="37"/>
        <v>371072.57</v>
      </c>
      <c r="H51" s="18">
        <f t="shared" si="37"/>
        <v>417937.71</v>
      </c>
      <c r="I51" s="18">
        <f t="shared" si="37"/>
        <v>832924</v>
      </c>
      <c r="J51" s="18">
        <f t="shared" si="37"/>
        <v>166457.71</v>
      </c>
      <c r="K51" s="18">
        <f t="shared" si="37"/>
        <v>245570.86</v>
      </c>
      <c r="L51" s="18">
        <f t="shared" si="37"/>
        <v>194356.57</v>
      </c>
      <c r="M51" s="18">
        <f t="shared" si="37"/>
        <v>174939.43</v>
      </c>
      <c r="N51" s="18">
        <f t="shared" si="37"/>
        <v>180570.86</v>
      </c>
      <c r="O51" s="18">
        <f t="shared" si="37"/>
        <v>617142.86</v>
      </c>
      <c r="P51" s="18">
        <f t="shared" si="37"/>
        <v>24293.14</v>
      </c>
      <c r="Q51" s="18">
        <f t="shared" si="37"/>
        <v>54617.71</v>
      </c>
      <c r="R51" s="18">
        <f t="shared" si="37"/>
        <v>327152.57</v>
      </c>
      <c r="S51" s="18">
        <f t="shared" si="37"/>
        <v>119195.14</v>
      </c>
      <c r="T51" s="18">
        <f t="shared" si="1"/>
        <v>4693413.9799999995</v>
      </c>
      <c r="U51" s="26"/>
    </row>
    <row r="52" spans="1:21" ht="23.1" customHeight="1">
      <c r="A52" s="14" t="s">
        <v>144</v>
      </c>
      <c r="B52" s="24" t="s">
        <v>145</v>
      </c>
      <c r="C52" s="24"/>
      <c r="D52" s="45" t="s">
        <v>25</v>
      </c>
      <c r="E52" s="18">
        <f>E53</f>
        <v>32000</v>
      </c>
      <c r="F52" s="18">
        <f t="shared" ref="F52:S52" si="38">F53</f>
        <v>32000</v>
      </c>
      <c r="G52" s="18">
        <f t="shared" si="38"/>
        <v>32000</v>
      </c>
      <c r="H52" s="18">
        <f t="shared" si="38"/>
        <v>32000</v>
      </c>
      <c r="I52" s="18">
        <f t="shared" si="38"/>
        <v>64000</v>
      </c>
      <c r="J52" s="18">
        <f t="shared" si="38"/>
        <v>0</v>
      </c>
      <c r="K52" s="18">
        <f t="shared" si="38"/>
        <v>32000</v>
      </c>
      <c r="L52" s="18">
        <f t="shared" si="38"/>
        <v>32000</v>
      </c>
      <c r="M52" s="18">
        <f t="shared" si="38"/>
        <v>0</v>
      </c>
      <c r="N52" s="18">
        <f t="shared" si="38"/>
        <v>0</v>
      </c>
      <c r="O52" s="18">
        <f t="shared" si="38"/>
        <v>32000</v>
      </c>
      <c r="P52" s="18">
        <f t="shared" si="38"/>
        <v>32000</v>
      </c>
      <c r="Q52" s="18">
        <f t="shared" si="38"/>
        <v>0</v>
      </c>
      <c r="R52" s="18">
        <f t="shared" si="38"/>
        <v>0</v>
      </c>
      <c r="S52" s="18">
        <f t="shared" si="38"/>
        <v>0</v>
      </c>
      <c r="T52" s="18">
        <f t="shared" si="1"/>
        <v>320000</v>
      </c>
      <c r="U52" s="26"/>
    </row>
    <row r="53" spans="1:21" ht="23.1" customHeight="1">
      <c r="A53" s="14" t="s">
        <v>146</v>
      </c>
      <c r="B53" s="24" t="s">
        <v>147</v>
      </c>
      <c r="C53" s="24" t="s">
        <v>31</v>
      </c>
      <c r="D53" s="27" t="s">
        <v>148</v>
      </c>
      <c r="E53" s="25">
        <v>32000</v>
      </c>
      <c r="F53" s="25">
        <v>32000</v>
      </c>
      <c r="G53" s="25">
        <v>32000</v>
      </c>
      <c r="H53" s="25">
        <v>32000</v>
      </c>
      <c r="I53" s="25">
        <v>64000</v>
      </c>
      <c r="J53" s="25"/>
      <c r="K53" s="25">
        <v>32000</v>
      </c>
      <c r="L53" s="25">
        <v>32000</v>
      </c>
      <c r="M53" s="25"/>
      <c r="N53" s="25"/>
      <c r="O53" s="25">
        <v>32000</v>
      </c>
      <c r="P53" s="25">
        <v>32000</v>
      </c>
      <c r="Q53" s="25"/>
      <c r="R53" s="25"/>
      <c r="S53" s="25"/>
      <c r="T53" s="18">
        <f t="shared" si="1"/>
        <v>320000</v>
      </c>
      <c r="U53" s="26"/>
    </row>
    <row r="54" spans="1:21" ht="23.1" customHeight="1">
      <c r="A54" s="14" t="s">
        <v>149</v>
      </c>
      <c r="B54" s="24" t="s">
        <v>150</v>
      </c>
      <c r="C54" s="24"/>
      <c r="D54" s="45" t="s">
        <v>25</v>
      </c>
      <c r="E54" s="18">
        <f>E55+E57</f>
        <v>41975</v>
      </c>
      <c r="F54" s="18">
        <f t="shared" ref="F54:S54" si="39">F55+F57</f>
        <v>23800</v>
      </c>
      <c r="G54" s="18">
        <f t="shared" si="39"/>
        <v>31800</v>
      </c>
      <c r="H54" s="18">
        <f t="shared" si="39"/>
        <v>21700</v>
      </c>
      <c r="I54" s="18">
        <f t="shared" si="39"/>
        <v>11350</v>
      </c>
      <c r="J54" s="18">
        <f t="shared" si="39"/>
        <v>5000</v>
      </c>
      <c r="K54" s="18">
        <f t="shared" si="39"/>
        <v>9300</v>
      </c>
      <c r="L54" s="18">
        <f t="shared" si="39"/>
        <v>10800</v>
      </c>
      <c r="M54" s="18">
        <f t="shared" si="39"/>
        <v>6300</v>
      </c>
      <c r="N54" s="18">
        <f t="shared" si="39"/>
        <v>2750</v>
      </c>
      <c r="O54" s="18">
        <f t="shared" si="39"/>
        <v>6200</v>
      </c>
      <c r="P54" s="18">
        <f t="shared" si="39"/>
        <v>1200</v>
      </c>
      <c r="Q54" s="18">
        <f t="shared" si="39"/>
        <v>2000</v>
      </c>
      <c r="R54" s="18">
        <f t="shared" si="39"/>
        <v>3600</v>
      </c>
      <c r="S54" s="18">
        <f t="shared" si="39"/>
        <v>6600</v>
      </c>
      <c r="T54" s="18">
        <f t="shared" si="1"/>
        <v>184375</v>
      </c>
      <c r="U54" s="26"/>
    </row>
    <row r="55" spans="1:21" ht="23.1" customHeight="1">
      <c r="A55" s="14" t="s">
        <v>151</v>
      </c>
      <c r="B55" s="24" t="s">
        <v>152</v>
      </c>
      <c r="C55" s="24" t="s">
        <v>31</v>
      </c>
      <c r="D55" s="45" t="s">
        <v>25</v>
      </c>
      <c r="E55" s="18">
        <f>E56</f>
        <v>35600</v>
      </c>
      <c r="F55" s="18">
        <f t="shared" ref="F55:S55" si="40">F56</f>
        <v>20800</v>
      </c>
      <c r="G55" s="18">
        <f t="shared" si="40"/>
        <v>30800</v>
      </c>
      <c r="H55" s="18">
        <f t="shared" si="40"/>
        <v>18000</v>
      </c>
      <c r="I55" s="18">
        <f t="shared" si="40"/>
        <v>6800</v>
      </c>
      <c r="J55" s="18">
        <f t="shared" si="40"/>
        <v>0</v>
      </c>
      <c r="K55" s="18">
        <f t="shared" si="40"/>
        <v>4800</v>
      </c>
      <c r="L55" s="18">
        <f t="shared" si="40"/>
        <v>7200</v>
      </c>
      <c r="M55" s="18">
        <f t="shared" si="40"/>
        <v>1600</v>
      </c>
      <c r="N55" s="18">
        <f t="shared" si="40"/>
        <v>400</v>
      </c>
      <c r="O55" s="18">
        <f t="shared" si="40"/>
        <v>1200</v>
      </c>
      <c r="P55" s="18">
        <f t="shared" si="40"/>
        <v>1200</v>
      </c>
      <c r="Q55" s="18">
        <f t="shared" si="40"/>
        <v>0</v>
      </c>
      <c r="R55" s="18">
        <f t="shared" si="40"/>
        <v>1600</v>
      </c>
      <c r="S55" s="18">
        <f t="shared" si="40"/>
        <v>3600</v>
      </c>
      <c r="T55" s="18">
        <f t="shared" si="1"/>
        <v>133600</v>
      </c>
      <c r="U55" s="26"/>
    </row>
    <row r="56" spans="1:21" s="44" customFormat="1" ht="23.1" customHeight="1">
      <c r="A56" s="14" t="s">
        <v>153</v>
      </c>
      <c r="B56" s="43" t="s">
        <v>154</v>
      </c>
      <c r="C56" s="43" t="s">
        <v>31</v>
      </c>
      <c r="D56" s="51" t="s">
        <v>155</v>
      </c>
      <c r="E56" s="18">
        <f>E71*400</f>
        <v>35600</v>
      </c>
      <c r="F56" s="18">
        <f t="shared" ref="F56:S56" si="41">F71*400</f>
        <v>20800</v>
      </c>
      <c r="G56" s="18">
        <f t="shared" si="41"/>
        <v>30800</v>
      </c>
      <c r="H56" s="18">
        <f t="shared" si="41"/>
        <v>18000</v>
      </c>
      <c r="I56" s="18">
        <f t="shared" si="41"/>
        <v>6800</v>
      </c>
      <c r="J56" s="18">
        <f t="shared" si="41"/>
        <v>0</v>
      </c>
      <c r="K56" s="18">
        <f t="shared" si="41"/>
        <v>4800</v>
      </c>
      <c r="L56" s="18">
        <f t="shared" si="41"/>
        <v>7200</v>
      </c>
      <c r="M56" s="18">
        <f t="shared" si="41"/>
        <v>1600</v>
      </c>
      <c r="N56" s="18">
        <f t="shared" si="41"/>
        <v>400</v>
      </c>
      <c r="O56" s="18">
        <f t="shared" si="41"/>
        <v>1200</v>
      </c>
      <c r="P56" s="18">
        <f t="shared" si="41"/>
        <v>1200</v>
      </c>
      <c r="Q56" s="18">
        <f t="shared" si="41"/>
        <v>0</v>
      </c>
      <c r="R56" s="18">
        <f t="shared" si="41"/>
        <v>1600</v>
      </c>
      <c r="S56" s="18">
        <f t="shared" si="41"/>
        <v>3600</v>
      </c>
      <c r="T56" s="18">
        <f t="shared" si="1"/>
        <v>133600</v>
      </c>
      <c r="U56" s="26"/>
    </row>
    <row r="57" spans="1:21" ht="23.1" customHeight="1">
      <c r="A57" s="14" t="s">
        <v>156</v>
      </c>
      <c r="B57" s="24" t="s">
        <v>157</v>
      </c>
      <c r="C57" s="24" t="s">
        <v>31</v>
      </c>
      <c r="D57" s="27" t="s">
        <v>158</v>
      </c>
      <c r="E57" s="52">
        <v>6375</v>
      </c>
      <c r="F57" s="52">
        <v>3000</v>
      </c>
      <c r="G57" s="52">
        <v>1000</v>
      </c>
      <c r="H57" s="52">
        <v>3700</v>
      </c>
      <c r="I57" s="52">
        <v>4550</v>
      </c>
      <c r="J57" s="52">
        <v>5000</v>
      </c>
      <c r="K57" s="52">
        <v>4500</v>
      </c>
      <c r="L57" s="52">
        <v>3600</v>
      </c>
      <c r="M57" s="52">
        <v>4700</v>
      </c>
      <c r="N57" s="52">
        <v>2350</v>
      </c>
      <c r="O57" s="52">
        <v>5000</v>
      </c>
      <c r="P57" s="52"/>
      <c r="Q57" s="52">
        <v>2000</v>
      </c>
      <c r="R57" s="52">
        <v>2000</v>
      </c>
      <c r="S57" s="52">
        <v>3000</v>
      </c>
      <c r="T57" s="18">
        <f t="shared" si="1"/>
        <v>50775</v>
      </c>
      <c r="U57" s="16"/>
    </row>
    <row r="58" spans="1:21" ht="23.1" customHeight="1">
      <c r="A58" s="14" t="s">
        <v>159</v>
      </c>
      <c r="B58" s="24" t="s">
        <v>160</v>
      </c>
      <c r="C58" s="24"/>
      <c r="D58" s="45" t="s">
        <v>25</v>
      </c>
      <c r="E58" s="18">
        <f>E59</f>
        <v>0</v>
      </c>
      <c r="F58" s="18">
        <f t="shared" ref="F58:S58" si="42">F59</f>
        <v>0</v>
      </c>
      <c r="G58" s="18">
        <f t="shared" si="42"/>
        <v>0</v>
      </c>
      <c r="H58" s="18">
        <f t="shared" si="42"/>
        <v>0</v>
      </c>
      <c r="I58" s="18">
        <f t="shared" si="42"/>
        <v>0</v>
      </c>
      <c r="J58" s="18">
        <f t="shared" si="42"/>
        <v>32000</v>
      </c>
      <c r="K58" s="18">
        <f t="shared" si="42"/>
        <v>0</v>
      </c>
      <c r="L58" s="18">
        <f t="shared" si="42"/>
        <v>0</v>
      </c>
      <c r="M58" s="18">
        <f t="shared" si="42"/>
        <v>32000</v>
      </c>
      <c r="N58" s="18">
        <f t="shared" si="42"/>
        <v>32000</v>
      </c>
      <c r="O58" s="18">
        <f t="shared" si="42"/>
        <v>0</v>
      </c>
      <c r="P58" s="18">
        <f t="shared" si="42"/>
        <v>0</v>
      </c>
      <c r="Q58" s="18">
        <f t="shared" si="42"/>
        <v>32000</v>
      </c>
      <c r="R58" s="18">
        <f t="shared" si="42"/>
        <v>32000</v>
      </c>
      <c r="S58" s="18">
        <f t="shared" si="42"/>
        <v>32000</v>
      </c>
      <c r="T58" s="18">
        <f t="shared" si="1"/>
        <v>192000</v>
      </c>
      <c r="U58" s="26"/>
    </row>
    <row r="59" spans="1:21" ht="23.1" customHeight="1" thickBot="1">
      <c r="A59" s="14" t="s">
        <v>161</v>
      </c>
      <c r="B59" s="53" t="s">
        <v>162</v>
      </c>
      <c r="C59" s="24" t="s">
        <v>31</v>
      </c>
      <c r="D59" s="54" t="s">
        <v>163</v>
      </c>
      <c r="E59" s="34"/>
      <c r="F59" s="34"/>
      <c r="G59" s="34"/>
      <c r="H59" s="34"/>
      <c r="I59" s="34"/>
      <c r="J59" s="34">
        <v>32000</v>
      </c>
      <c r="K59" s="34"/>
      <c r="L59" s="34"/>
      <c r="M59" s="34">
        <v>32000</v>
      </c>
      <c r="N59" s="34">
        <v>32000</v>
      </c>
      <c r="O59" s="34"/>
      <c r="P59" s="34"/>
      <c r="Q59" s="34">
        <v>32000</v>
      </c>
      <c r="R59" s="34">
        <v>32000</v>
      </c>
      <c r="S59" s="34">
        <v>32000</v>
      </c>
      <c r="T59" s="18">
        <f t="shared" si="1"/>
        <v>192000</v>
      </c>
      <c r="U59" s="55"/>
    </row>
    <row r="60" spans="1:21" ht="23.1" customHeight="1" thickTop="1">
      <c r="A60" s="14" t="s">
        <v>164</v>
      </c>
      <c r="B60" s="56" t="s">
        <v>165</v>
      </c>
      <c r="C60" s="56"/>
      <c r="D60" s="57"/>
      <c r="E60" s="58"/>
      <c r="F60" s="58"/>
      <c r="G60" s="58"/>
      <c r="H60" s="58"/>
      <c r="I60" s="58"/>
      <c r="J60" s="58"/>
      <c r="K60" s="58"/>
      <c r="L60" s="58"/>
      <c r="M60" s="58"/>
      <c r="N60" s="58"/>
      <c r="O60" s="58"/>
      <c r="P60" s="58"/>
      <c r="Q60" s="58"/>
      <c r="R60" s="58"/>
      <c r="S60" s="58"/>
      <c r="T60" s="18">
        <f t="shared" si="1"/>
        <v>0</v>
      </c>
      <c r="U60" s="59"/>
    </row>
    <row r="61" spans="1:21" ht="23.1" customHeight="1">
      <c r="A61" s="14" t="s">
        <v>166</v>
      </c>
      <c r="B61" s="24" t="s">
        <v>167</v>
      </c>
      <c r="C61" s="24"/>
      <c r="D61" s="45" t="s">
        <v>168</v>
      </c>
      <c r="E61" s="18">
        <f>E62+E63+E64+E65</f>
        <v>115</v>
      </c>
      <c r="F61" s="18">
        <f t="shared" ref="F61:S61" si="43">F62+F63+F64+F65</f>
        <v>72</v>
      </c>
      <c r="G61" s="18">
        <f t="shared" si="43"/>
        <v>78</v>
      </c>
      <c r="H61" s="18">
        <f t="shared" si="43"/>
        <v>93</v>
      </c>
      <c r="I61" s="18">
        <f t="shared" si="43"/>
        <v>196</v>
      </c>
      <c r="J61" s="18">
        <f t="shared" si="43"/>
        <v>59</v>
      </c>
      <c r="K61" s="18">
        <f t="shared" si="43"/>
        <v>56</v>
      </c>
      <c r="L61" s="18">
        <f t="shared" si="43"/>
        <v>46</v>
      </c>
      <c r="M61" s="18">
        <f t="shared" si="43"/>
        <v>43</v>
      </c>
      <c r="N61" s="18">
        <f t="shared" si="43"/>
        <v>43</v>
      </c>
      <c r="O61" s="18">
        <f t="shared" si="43"/>
        <v>133</v>
      </c>
      <c r="P61" s="18">
        <f t="shared" si="43"/>
        <v>5</v>
      </c>
      <c r="Q61" s="18">
        <f t="shared" si="43"/>
        <v>16</v>
      </c>
      <c r="R61" s="18">
        <f t="shared" si="43"/>
        <v>81</v>
      </c>
      <c r="S61" s="18">
        <f t="shared" si="43"/>
        <v>32</v>
      </c>
      <c r="T61" s="18">
        <f t="shared" si="1"/>
        <v>1068</v>
      </c>
      <c r="U61" s="26"/>
    </row>
    <row r="62" spans="1:21" ht="23.1" customHeight="1">
      <c r="A62" s="14" t="s">
        <v>169</v>
      </c>
      <c r="B62" s="60" t="s">
        <v>170</v>
      </c>
      <c r="C62" s="60"/>
      <c r="D62" s="16"/>
      <c r="E62" s="17">
        <v>115</v>
      </c>
      <c r="F62" s="17">
        <v>72</v>
      </c>
      <c r="G62" s="17"/>
      <c r="H62" s="17"/>
      <c r="I62" s="17"/>
      <c r="J62" s="17"/>
      <c r="K62" s="17"/>
      <c r="L62" s="17"/>
      <c r="M62" s="17"/>
      <c r="N62" s="17"/>
      <c r="O62" s="17">
        <v>64</v>
      </c>
      <c r="P62" s="17"/>
      <c r="Q62" s="17"/>
      <c r="R62" s="17">
        <v>81</v>
      </c>
      <c r="S62" s="17"/>
      <c r="T62" s="18">
        <f t="shared" si="1"/>
        <v>332</v>
      </c>
      <c r="U62" s="26"/>
    </row>
    <row r="63" spans="1:21" ht="23.1" customHeight="1">
      <c r="A63" s="14" t="s">
        <v>171</v>
      </c>
      <c r="B63" s="60" t="s">
        <v>172</v>
      </c>
      <c r="C63" s="60"/>
      <c r="D63" s="45"/>
      <c r="E63" s="25"/>
      <c r="F63" s="25"/>
      <c r="G63" s="25">
        <v>78</v>
      </c>
      <c r="H63" s="25">
        <v>93</v>
      </c>
      <c r="I63" s="25">
        <v>196</v>
      </c>
      <c r="J63" s="25">
        <v>59</v>
      </c>
      <c r="K63" s="25"/>
      <c r="L63" s="25"/>
      <c r="M63" s="25"/>
      <c r="N63" s="25"/>
      <c r="O63" s="25">
        <v>69</v>
      </c>
      <c r="P63" s="25"/>
      <c r="Q63" s="25">
        <v>0</v>
      </c>
      <c r="R63" s="25"/>
      <c r="S63" s="25"/>
      <c r="T63" s="18">
        <f t="shared" si="1"/>
        <v>495</v>
      </c>
      <c r="U63" s="26"/>
    </row>
    <row r="64" spans="1:21" ht="23.1" customHeight="1">
      <c r="A64" s="14" t="s">
        <v>173</v>
      </c>
      <c r="B64" s="60" t="s">
        <v>174</v>
      </c>
      <c r="C64" s="60"/>
      <c r="D64" s="16"/>
      <c r="E64" s="17"/>
      <c r="F64" s="17"/>
      <c r="G64" s="17"/>
      <c r="H64" s="17"/>
      <c r="I64" s="17"/>
      <c r="J64" s="17"/>
      <c r="K64" s="17">
        <v>56</v>
      </c>
      <c r="L64" s="17">
        <v>46</v>
      </c>
      <c r="M64" s="17">
        <v>43</v>
      </c>
      <c r="N64" s="17">
        <v>43</v>
      </c>
      <c r="O64" s="17">
        <v>0</v>
      </c>
      <c r="P64" s="17"/>
      <c r="Q64" s="17">
        <v>16</v>
      </c>
      <c r="R64" s="17"/>
      <c r="S64" s="17">
        <v>32</v>
      </c>
      <c r="T64" s="18">
        <f t="shared" si="1"/>
        <v>236</v>
      </c>
      <c r="U64" s="26"/>
    </row>
    <row r="65" spans="1:21" ht="23.1" customHeight="1">
      <c r="A65" s="14" t="s">
        <v>175</v>
      </c>
      <c r="B65" s="60" t="s">
        <v>176</v>
      </c>
      <c r="C65" s="60"/>
      <c r="D65" s="16"/>
      <c r="E65" s="17"/>
      <c r="F65" s="17"/>
      <c r="G65" s="17"/>
      <c r="H65" s="17"/>
      <c r="I65" s="17"/>
      <c r="J65" s="17"/>
      <c r="K65" s="17"/>
      <c r="L65" s="17"/>
      <c r="M65" s="17"/>
      <c r="N65" s="17"/>
      <c r="O65" s="17"/>
      <c r="P65" s="17">
        <v>5</v>
      </c>
      <c r="Q65" s="17"/>
      <c r="R65" s="17"/>
      <c r="S65" s="17"/>
      <c r="T65" s="18">
        <f t="shared" si="1"/>
        <v>5</v>
      </c>
      <c r="U65" s="26"/>
    </row>
    <row r="66" spans="1:21" ht="23.1" customHeight="1">
      <c r="A66" s="14" t="s">
        <v>177</v>
      </c>
      <c r="B66" s="24" t="s">
        <v>178</v>
      </c>
      <c r="C66" s="24"/>
      <c r="D66" s="45" t="s">
        <v>179</v>
      </c>
      <c r="E66" s="18">
        <f>E67+E68+E69+E70</f>
        <v>1289</v>
      </c>
      <c r="F66" s="18">
        <f t="shared" ref="F66:S66" si="44">F67+F68+F69+F70</f>
        <v>908</v>
      </c>
      <c r="G66" s="18">
        <f t="shared" si="44"/>
        <v>924</v>
      </c>
      <c r="H66" s="18">
        <f t="shared" si="44"/>
        <v>1002</v>
      </c>
      <c r="I66" s="18">
        <f t="shared" si="44"/>
        <v>3298</v>
      </c>
      <c r="J66" s="18">
        <f t="shared" si="44"/>
        <v>819</v>
      </c>
      <c r="K66" s="18">
        <f t="shared" si="44"/>
        <v>594</v>
      </c>
      <c r="L66" s="18">
        <f t="shared" si="44"/>
        <v>432</v>
      </c>
      <c r="M66" s="18">
        <f t="shared" si="44"/>
        <v>492</v>
      </c>
      <c r="N66" s="18">
        <f t="shared" si="44"/>
        <v>484</v>
      </c>
      <c r="O66" s="18">
        <f t="shared" si="44"/>
        <v>1782</v>
      </c>
      <c r="P66" s="18">
        <f t="shared" si="44"/>
        <v>0</v>
      </c>
      <c r="Q66" s="18">
        <f t="shared" si="44"/>
        <v>247</v>
      </c>
      <c r="R66" s="18">
        <f t="shared" si="44"/>
        <v>1158</v>
      </c>
      <c r="S66" s="18">
        <f t="shared" si="44"/>
        <v>415</v>
      </c>
      <c r="T66" s="18">
        <f t="shared" si="1"/>
        <v>13844</v>
      </c>
      <c r="U66" s="26"/>
    </row>
    <row r="67" spans="1:21" ht="23.1" customHeight="1">
      <c r="A67" s="14" t="s">
        <v>180</v>
      </c>
      <c r="B67" s="60" t="s">
        <v>170</v>
      </c>
      <c r="C67" s="60"/>
      <c r="D67" s="16"/>
      <c r="E67" s="17">
        <v>1289</v>
      </c>
      <c r="F67" s="17">
        <v>908</v>
      </c>
      <c r="G67" s="17"/>
      <c r="H67" s="17"/>
      <c r="I67" s="17"/>
      <c r="J67" s="17"/>
      <c r="K67" s="17"/>
      <c r="L67" s="17"/>
      <c r="M67" s="17"/>
      <c r="N67" s="17"/>
      <c r="O67" s="17">
        <v>779</v>
      </c>
      <c r="P67" s="17"/>
      <c r="Q67" s="17"/>
      <c r="R67" s="17">
        <v>1158</v>
      </c>
      <c r="S67" s="17"/>
      <c r="T67" s="18">
        <f t="shared" ref="T67:T73" si="45">SUM(E67:S67)</f>
        <v>4134</v>
      </c>
      <c r="U67" s="26"/>
    </row>
    <row r="68" spans="1:21" ht="23.1" customHeight="1">
      <c r="A68" s="14" t="s">
        <v>181</v>
      </c>
      <c r="B68" s="60" t="s">
        <v>172</v>
      </c>
      <c r="C68" s="60"/>
      <c r="D68" s="45"/>
      <c r="E68" s="25"/>
      <c r="F68" s="25"/>
      <c r="G68" s="25">
        <v>924</v>
      </c>
      <c r="H68" s="25">
        <v>1002</v>
      </c>
      <c r="I68" s="25">
        <v>3298</v>
      </c>
      <c r="J68" s="25">
        <v>819</v>
      </c>
      <c r="K68" s="25"/>
      <c r="L68" s="25"/>
      <c r="M68" s="25"/>
      <c r="N68" s="25"/>
      <c r="O68" s="25">
        <v>1003</v>
      </c>
      <c r="P68" s="25"/>
      <c r="Q68" s="25"/>
      <c r="R68" s="25"/>
      <c r="S68" s="25"/>
      <c r="T68" s="18">
        <f t="shared" si="45"/>
        <v>7046</v>
      </c>
      <c r="U68" s="26"/>
    </row>
    <row r="69" spans="1:21" ht="23.1" customHeight="1">
      <c r="A69" s="14" t="s">
        <v>182</v>
      </c>
      <c r="B69" s="60" t="s">
        <v>174</v>
      </c>
      <c r="C69" s="60"/>
      <c r="D69" s="16"/>
      <c r="E69" s="17"/>
      <c r="F69" s="17"/>
      <c r="G69" s="17"/>
      <c r="H69" s="17"/>
      <c r="I69" s="17"/>
      <c r="J69" s="17"/>
      <c r="K69" s="17">
        <v>594</v>
      </c>
      <c r="L69" s="17">
        <v>432</v>
      </c>
      <c r="M69" s="17">
        <v>492</v>
      </c>
      <c r="N69" s="17">
        <v>484</v>
      </c>
      <c r="O69" s="17"/>
      <c r="P69" s="17"/>
      <c r="Q69" s="17">
        <v>247</v>
      </c>
      <c r="R69" s="17"/>
      <c r="S69" s="17">
        <v>415</v>
      </c>
      <c r="T69" s="18">
        <f t="shared" si="45"/>
        <v>2664</v>
      </c>
      <c r="U69" s="26"/>
    </row>
    <row r="70" spans="1:21" ht="23.1" customHeight="1">
      <c r="A70" s="14" t="s">
        <v>183</v>
      </c>
      <c r="B70" s="60" t="s">
        <v>176</v>
      </c>
      <c r="C70" s="60"/>
      <c r="D70" s="16"/>
      <c r="E70" s="17"/>
      <c r="F70" s="17"/>
      <c r="G70" s="17"/>
      <c r="H70" s="17"/>
      <c r="I70" s="17"/>
      <c r="J70" s="17"/>
      <c r="K70" s="17"/>
      <c r="L70" s="17"/>
      <c r="M70" s="17"/>
      <c r="N70" s="17"/>
      <c r="O70" s="17"/>
      <c r="P70" s="17"/>
      <c r="Q70" s="17"/>
      <c r="R70" s="17"/>
      <c r="S70" s="17"/>
      <c r="T70" s="18">
        <f t="shared" si="45"/>
        <v>0</v>
      </c>
      <c r="U70" s="26"/>
    </row>
    <row r="71" spans="1:21" ht="23.1" customHeight="1">
      <c r="A71" s="14" t="s">
        <v>184</v>
      </c>
      <c r="B71" s="24" t="s">
        <v>185</v>
      </c>
      <c r="C71" s="24"/>
      <c r="D71" s="45"/>
      <c r="E71" s="25">
        <v>89</v>
      </c>
      <c r="F71" s="25">
        <v>52</v>
      </c>
      <c r="G71" s="25">
        <v>77</v>
      </c>
      <c r="H71" s="25">
        <v>45</v>
      </c>
      <c r="I71" s="25">
        <v>17</v>
      </c>
      <c r="J71" s="25"/>
      <c r="K71" s="25">
        <v>12</v>
      </c>
      <c r="L71" s="25">
        <v>18</v>
      </c>
      <c r="M71" s="25">
        <v>4</v>
      </c>
      <c r="N71" s="25">
        <v>1</v>
      </c>
      <c r="O71" s="25">
        <v>3</v>
      </c>
      <c r="P71" s="25">
        <v>3</v>
      </c>
      <c r="Q71" s="25"/>
      <c r="R71" s="25">
        <v>4</v>
      </c>
      <c r="S71" s="25">
        <v>9</v>
      </c>
      <c r="T71" s="18">
        <f t="shared" si="45"/>
        <v>334</v>
      </c>
      <c r="U71" s="26"/>
    </row>
    <row r="72" spans="1:21" ht="23.1" customHeight="1">
      <c r="A72" s="14" t="s">
        <v>186</v>
      </c>
      <c r="B72" s="60" t="s">
        <v>187</v>
      </c>
      <c r="C72" s="60"/>
      <c r="D72" s="27"/>
      <c r="E72" s="25">
        <v>32622</v>
      </c>
      <c r="F72" s="25">
        <v>9046</v>
      </c>
      <c r="G72" s="25">
        <v>13627</v>
      </c>
      <c r="H72" s="25">
        <v>17902</v>
      </c>
      <c r="I72" s="25">
        <v>25772.240000000002</v>
      </c>
      <c r="J72" s="25">
        <v>13105.71</v>
      </c>
      <c r="K72" s="25">
        <f>10602.95+3127.29</f>
        <v>13730.240000000002</v>
      </c>
      <c r="L72" s="25">
        <v>6627.96</v>
      </c>
      <c r="M72" s="25">
        <v>11478.41</v>
      </c>
      <c r="N72" s="25">
        <v>9116.92</v>
      </c>
      <c r="O72" s="25">
        <v>33999.89</v>
      </c>
      <c r="P72" s="25">
        <v>2300</v>
      </c>
      <c r="Q72" s="25">
        <v>4357</v>
      </c>
      <c r="R72" s="25">
        <v>13284.58</v>
      </c>
      <c r="S72" s="25">
        <f>2564.98+1394.54</f>
        <v>3959.52</v>
      </c>
      <c r="T72" s="18">
        <f t="shared" si="45"/>
        <v>210929.47000000003</v>
      </c>
      <c r="U72" s="26"/>
    </row>
    <row r="73" spans="1:21" ht="23.1" customHeight="1">
      <c r="A73" s="14" t="s">
        <v>188</v>
      </c>
      <c r="B73" s="60" t="s">
        <v>189</v>
      </c>
      <c r="C73" s="60"/>
      <c r="D73" s="27"/>
      <c r="E73" s="25">
        <v>29824</v>
      </c>
      <c r="F73" s="25">
        <v>8662</v>
      </c>
      <c r="G73" s="25">
        <v>8000</v>
      </c>
      <c r="H73" s="25">
        <v>8000</v>
      </c>
      <c r="I73" s="25">
        <v>15855</v>
      </c>
      <c r="J73" s="25">
        <v>4669</v>
      </c>
      <c r="K73" s="25">
        <f>4900+1492</f>
        <v>6392</v>
      </c>
      <c r="L73" s="25">
        <v>4663.8</v>
      </c>
      <c r="M73" s="25">
        <v>6585.2</v>
      </c>
      <c r="N73" s="25">
        <v>3060</v>
      </c>
      <c r="O73" s="25">
        <v>21060</v>
      </c>
      <c r="P73" s="25"/>
      <c r="Q73" s="25">
        <v>1505</v>
      </c>
      <c r="R73" s="25">
        <v>6784</v>
      </c>
      <c r="S73" s="25">
        <v>4013</v>
      </c>
      <c r="T73" s="18">
        <f t="shared" si="45"/>
        <v>129073</v>
      </c>
      <c r="U73" s="26"/>
    </row>
  </sheetData>
  <protectedRanges>
    <protectedRange password="E9C1" sqref="D29 C30 A4:D5 B6:D28 B31:D73 T4:U73 A6:A73 A2:U3" name="区域1_1"/>
    <protectedRange password="E9C1" sqref="B29:C29 B30" name="区域1_1_1"/>
    <protectedRange password="E9C1" sqref="D30" name="区域1_2"/>
  </protectedRanges>
  <mergeCells count="1">
    <mergeCell ref="A1:U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8" scale="80" orientation="landscape" r:id="rId1"/>
  <headerFooter>
    <oddFooter>第 &amp;P 页，共 &amp;N 页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dimension ref="A1:P74"/>
  <sheetViews>
    <sheetView workbookViewId="0">
      <pane xSplit="4" ySplit="2" topLeftCell="E7" activePane="bottomRight" state="frozen"/>
      <selection pane="topRight" activeCell="E1" sqref="E1"/>
      <selection pane="bottomLeft" activeCell="A3" sqref="A3"/>
      <selection pane="bottomRight" activeCell="O32" activeCellId="4" sqref="O20 O25 O27 O29 O32"/>
    </sheetView>
  </sheetViews>
  <sheetFormatPr defaultColWidth="9" defaultRowHeight="11.25"/>
  <cols>
    <col min="1" max="1" width="9" style="61"/>
    <col min="2" max="2" width="15.75" style="19" customWidth="1"/>
    <col min="3" max="3" width="9" style="19"/>
    <col min="4" max="4" width="9" style="62"/>
    <col min="5" max="5" width="11.625" style="19" customWidth="1"/>
    <col min="6" max="6" width="10.875" style="19" customWidth="1"/>
    <col min="7" max="7" width="10.5" style="19" customWidth="1"/>
    <col min="8" max="8" width="11.125" style="19" customWidth="1"/>
    <col min="9" max="10" width="11.75" style="19" customWidth="1"/>
    <col min="11" max="11" width="13.125" style="19" customWidth="1"/>
    <col min="12" max="12" width="11.75" style="19" customWidth="1"/>
    <col min="13" max="13" width="11.125" style="19" customWidth="1"/>
    <col min="14" max="14" width="11.75" style="19" customWidth="1"/>
    <col min="15" max="15" width="11.875" style="19" customWidth="1"/>
    <col min="16" max="16384" width="9" style="19"/>
  </cols>
  <sheetData>
    <row r="1" spans="1:16" ht="25.5">
      <c r="A1" s="574" t="s">
        <v>953</v>
      </c>
      <c r="B1" s="575"/>
      <c r="C1" s="575"/>
      <c r="D1" s="575"/>
      <c r="E1" s="575"/>
      <c r="F1" s="575"/>
      <c r="G1" s="575"/>
      <c r="H1" s="575"/>
      <c r="I1" s="575"/>
      <c r="J1" s="575"/>
      <c r="K1" s="575"/>
      <c r="L1" s="575"/>
      <c r="M1" s="575"/>
      <c r="N1" s="575"/>
      <c r="O1" s="575"/>
      <c r="P1" s="575"/>
    </row>
    <row r="2" spans="1:16" ht="18" customHeight="1">
      <c r="A2" s="46" t="s">
        <v>1665</v>
      </c>
      <c r="B2" s="46" t="s">
        <v>13</v>
      </c>
      <c r="C2" s="46" t="s">
        <v>14</v>
      </c>
      <c r="D2" s="47" t="s">
        <v>15</v>
      </c>
      <c r="E2" s="47" t="s">
        <v>307</v>
      </c>
      <c r="F2" s="47" t="s">
        <v>308</v>
      </c>
      <c r="G2" s="47" t="s">
        <v>309</v>
      </c>
      <c r="H2" s="47" t="s">
        <v>310</v>
      </c>
      <c r="I2" s="47" t="s">
        <v>311</v>
      </c>
      <c r="J2" s="47" t="s">
        <v>312</v>
      </c>
      <c r="K2" s="47" t="s">
        <v>313</v>
      </c>
      <c r="L2" s="47" t="s">
        <v>314</v>
      </c>
      <c r="M2" s="47" t="s">
        <v>315</v>
      </c>
      <c r="N2" s="47" t="s">
        <v>303</v>
      </c>
      <c r="O2" s="47" t="s">
        <v>21</v>
      </c>
      <c r="P2" s="48" t="s">
        <v>22</v>
      </c>
    </row>
    <row r="3" spans="1:16" ht="18" customHeight="1">
      <c r="A3" s="14" t="s">
        <v>23</v>
      </c>
      <c r="B3" s="24" t="s">
        <v>24</v>
      </c>
      <c r="C3" s="24"/>
      <c r="D3" s="45" t="s">
        <v>25</v>
      </c>
      <c r="E3" s="18">
        <f t="shared" ref="E3:N3" si="0">E4+E31+E38</f>
        <v>34652552.090000004</v>
      </c>
      <c r="F3" s="18">
        <f t="shared" si="0"/>
        <v>26402452.150000002</v>
      </c>
      <c r="G3" s="18">
        <f t="shared" si="0"/>
        <v>48746261.980000004</v>
      </c>
      <c r="H3" s="18">
        <f t="shared" si="0"/>
        <v>37852586.560000002</v>
      </c>
      <c r="I3" s="18">
        <f t="shared" si="0"/>
        <v>31943557.509999998</v>
      </c>
      <c r="J3" s="18">
        <f t="shared" si="0"/>
        <v>21052574.73</v>
      </c>
      <c r="K3" s="18">
        <f t="shared" si="0"/>
        <v>18779778.91</v>
      </c>
      <c r="L3" s="18">
        <f t="shared" si="0"/>
        <v>14492008.459999999</v>
      </c>
      <c r="M3" s="18">
        <f t="shared" si="0"/>
        <v>17704808.810000002</v>
      </c>
      <c r="N3" s="18">
        <f t="shared" si="0"/>
        <v>539555.88</v>
      </c>
      <c r="O3" s="18">
        <f t="shared" ref="O3:O66" si="1">SUM(E3:N3)</f>
        <v>252166137.08000001</v>
      </c>
      <c r="P3" s="26"/>
    </row>
    <row r="4" spans="1:16" ht="18" customHeight="1">
      <c r="A4" s="14" t="s">
        <v>26</v>
      </c>
      <c r="B4" s="24" t="s">
        <v>0</v>
      </c>
      <c r="C4" s="24"/>
      <c r="D4" s="45" t="s">
        <v>25</v>
      </c>
      <c r="E4" s="18">
        <f>E5+E8+E12+E15+E20+E25+E27+E29+E30</f>
        <v>28838105.84</v>
      </c>
      <c r="F4" s="18">
        <f t="shared" ref="F4:N4" si="2">F5+F8+F12+F15+F20+F25+F27+F29+F30</f>
        <v>22088565.800000001</v>
      </c>
      <c r="G4" s="18">
        <f t="shared" si="2"/>
        <v>42005545.280000001</v>
      </c>
      <c r="H4" s="18">
        <f t="shared" si="2"/>
        <v>30437234.16</v>
      </c>
      <c r="I4" s="18">
        <f t="shared" si="2"/>
        <v>26795663.359999999</v>
      </c>
      <c r="J4" s="18">
        <f t="shared" si="2"/>
        <v>18248621.48</v>
      </c>
      <c r="K4" s="18">
        <f t="shared" si="2"/>
        <v>16485830.16</v>
      </c>
      <c r="L4" s="18">
        <f t="shared" si="2"/>
        <v>12529387.76</v>
      </c>
      <c r="M4" s="18">
        <f t="shared" si="2"/>
        <v>15437660.560000001</v>
      </c>
      <c r="N4" s="18">
        <f t="shared" si="2"/>
        <v>437670.88</v>
      </c>
      <c r="O4" s="18">
        <f t="shared" si="1"/>
        <v>213304285.27999997</v>
      </c>
      <c r="P4" s="26"/>
    </row>
    <row r="5" spans="1:16" ht="18" customHeight="1">
      <c r="A5" s="14" t="s">
        <v>27</v>
      </c>
      <c r="B5" s="24" t="s">
        <v>28</v>
      </c>
      <c r="C5" s="24"/>
      <c r="D5" s="45" t="s">
        <v>25</v>
      </c>
      <c r="E5" s="18">
        <f>E6+E7</f>
        <v>3866105</v>
      </c>
      <c r="F5" s="18">
        <f t="shared" ref="F5:N5" si="3">F6+F7</f>
        <v>2988948</v>
      </c>
      <c r="G5" s="18">
        <f t="shared" si="3"/>
        <v>5653760</v>
      </c>
      <c r="H5" s="18">
        <f t="shared" si="3"/>
        <v>3812071</v>
      </c>
      <c r="I5" s="18">
        <f t="shared" si="3"/>
        <v>3445040</v>
      </c>
      <c r="J5" s="18">
        <f t="shared" si="3"/>
        <v>2241855</v>
      </c>
      <c r="K5" s="18">
        <f t="shared" si="3"/>
        <v>2099092</v>
      </c>
      <c r="L5" s="18">
        <f t="shared" si="3"/>
        <v>1620478</v>
      </c>
      <c r="M5" s="18">
        <f t="shared" si="3"/>
        <v>2043511</v>
      </c>
      <c r="N5" s="18">
        <f t="shared" si="3"/>
        <v>71340</v>
      </c>
      <c r="O5" s="18">
        <f t="shared" si="1"/>
        <v>27842200</v>
      </c>
      <c r="P5" s="26"/>
    </row>
    <row r="6" spans="1:16" ht="18" customHeight="1">
      <c r="A6" s="14" t="s">
        <v>29</v>
      </c>
      <c r="B6" s="24" t="s">
        <v>30</v>
      </c>
      <c r="C6" s="24" t="s">
        <v>31</v>
      </c>
      <c r="D6" s="45" t="s">
        <v>32</v>
      </c>
      <c r="E6" s="25">
        <v>2119770</v>
      </c>
      <c r="F6" s="25">
        <v>1656593</v>
      </c>
      <c r="G6" s="25">
        <v>2888635</v>
      </c>
      <c r="H6" s="25">
        <v>2121151</v>
      </c>
      <c r="I6" s="25">
        <v>1878200</v>
      </c>
      <c r="J6" s="25">
        <v>1353735</v>
      </c>
      <c r="K6" s="25">
        <v>1236064</v>
      </c>
      <c r="L6" s="25">
        <v>958896</v>
      </c>
      <c r="M6" s="25">
        <v>1177075</v>
      </c>
      <c r="N6" s="25">
        <v>34380</v>
      </c>
      <c r="O6" s="18">
        <f t="shared" si="1"/>
        <v>15424499</v>
      </c>
      <c r="P6" s="49"/>
    </row>
    <row r="7" spans="1:16" ht="18" customHeight="1">
      <c r="A7" s="14" t="s">
        <v>33</v>
      </c>
      <c r="B7" s="24" t="s">
        <v>34</v>
      </c>
      <c r="C7" s="24" t="s">
        <v>31</v>
      </c>
      <c r="D7" s="45" t="s">
        <v>32</v>
      </c>
      <c r="E7" s="25">
        <v>1746335</v>
      </c>
      <c r="F7" s="25">
        <v>1332355</v>
      </c>
      <c r="G7" s="25">
        <v>2765125</v>
      </c>
      <c r="H7" s="25">
        <v>1690920</v>
      </c>
      <c r="I7" s="25">
        <v>1566840</v>
      </c>
      <c r="J7" s="25">
        <v>888120</v>
      </c>
      <c r="K7" s="25">
        <v>863028</v>
      </c>
      <c r="L7" s="25">
        <v>661582</v>
      </c>
      <c r="M7" s="25">
        <v>866436</v>
      </c>
      <c r="N7" s="25">
        <v>36960</v>
      </c>
      <c r="O7" s="18">
        <f t="shared" si="1"/>
        <v>12417701</v>
      </c>
      <c r="P7" s="26"/>
    </row>
    <row r="8" spans="1:16" ht="18" customHeight="1">
      <c r="A8" s="14" t="s">
        <v>35</v>
      </c>
      <c r="B8" s="24" t="s">
        <v>36</v>
      </c>
      <c r="C8" s="24"/>
      <c r="D8" s="45" t="s">
        <v>25</v>
      </c>
      <c r="E8" s="18">
        <f>E9+E10</f>
        <v>386136</v>
      </c>
      <c r="F8" s="18">
        <f t="shared" ref="F8:N8" si="4">F9+F10</f>
        <v>305390</v>
      </c>
      <c r="G8" s="18">
        <f t="shared" si="4"/>
        <v>568991</v>
      </c>
      <c r="H8" s="18">
        <f t="shared" si="4"/>
        <v>428100</v>
      </c>
      <c r="I8" s="18">
        <f t="shared" si="4"/>
        <v>369756</v>
      </c>
      <c r="J8" s="18">
        <f t="shared" si="4"/>
        <v>288620</v>
      </c>
      <c r="K8" s="18">
        <f t="shared" si="4"/>
        <v>256940</v>
      </c>
      <c r="L8" s="18">
        <f t="shared" si="4"/>
        <v>198060</v>
      </c>
      <c r="M8" s="18">
        <f t="shared" si="4"/>
        <v>241092</v>
      </c>
      <c r="N8" s="18">
        <f t="shared" si="4"/>
        <v>5400</v>
      </c>
      <c r="O8" s="18">
        <f t="shared" si="1"/>
        <v>3048485</v>
      </c>
      <c r="P8" s="26"/>
    </row>
    <row r="9" spans="1:16" ht="18" customHeight="1">
      <c r="A9" s="14" t="s">
        <v>37</v>
      </c>
      <c r="B9" s="24" t="s">
        <v>38</v>
      </c>
      <c r="C9" s="24" t="s">
        <v>31</v>
      </c>
      <c r="D9" s="45" t="s">
        <v>32</v>
      </c>
      <c r="E9" s="25">
        <v>5976</v>
      </c>
      <c r="F9" s="25">
        <v>4430</v>
      </c>
      <c r="G9" s="25">
        <v>9311</v>
      </c>
      <c r="H9" s="25">
        <v>5700</v>
      </c>
      <c r="I9" s="25">
        <v>5436</v>
      </c>
      <c r="J9" s="25">
        <v>3500</v>
      </c>
      <c r="K9" s="25">
        <v>3500</v>
      </c>
      <c r="L9" s="25">
        <v>2700</v>
      </c>
      <c r="M9" s="25">
        <v>3492</v>
      </c>
      <c r="N9" s="25">
        <v>120</v>
      </c>
      <c r="O9" s="18">
        <f t="shared" si="1"/>
        <v>44165</v>
      </c>
      <c r="P9" s="26"/>
    </row>
    <row r="10" spans="1:16" ht="18" customHeight="1">
      <c r="A10" s="14" t="s">
        <v>39</v>
      </c>
      <c r="B10" s="24" t="s">
        <v>40</v>
      </c>
      <c r="C10" s="24"/>
      <c r="D10" s="45" t="s">
        <v>25</v>
      </c>
      <c r="E10" s="18">
        <f>E11</f>
        <v>380160</v>
      </c>
      <c r="F10" s="18">
        <f t="shared" ref="F10:N10" si="5">F11</f>
        <v>300960</v>
      </c>
      <c r="G10" s="18">
        <f t="shared" si="5"/>
        <v>559680</v>
      </c>
      <c r="H10" s="18">
        <f t="shared" si="5"/>
        <v>422400</v>
      </c>
      <c r="I10" s="18">
        <f t="shared" si="5"/>
        <v>364320</v>
      </c>
      <c r="J10" s="18">
        <f t="shared" si="5"/>
        <v>285120</v>
      </c>
      <c r="K10" s="18">
        <f t="shared" si="5"/>
        <v>253440</v>
      </c>
      <c r="L10" s="18">
        <f t="shared" si="5"/>
        <v>195360</v>
      </c>
      <c r="M10" s="18">
        <f t="shared" si="5"/>
        <v>237600</v>
      </c>
      <c r="N10" s="18">
        <f t="shared" si="5"/>
        <v>5280</v>
      </c>
      <c r="O10" s="18">
        <f t="shared" si="1"/>
        <v>3004320</v>
      </c>
      <c r="P10" s="26"/>
    </row>
    <row r="11" spans="1:16" s="44" customFormat="1" ht="18" customHeight="1">
      <c r="A11" s="14" t="s">
        <v>41</v>
      </c>
      <c r="B11" s="43" t="s">
        <v>316</v>
      </c>
      <c r="C11" s="43" t="s">
        <v>31</v>
      </c>
      <c r="D11" s="26" t="s">
        <v>25</v>
      </c>
      <c r="E11" s="18">
        <f>440*12*E61</f>
        <v>380160</v>
      </c>
      <c r="F11" s="18">
        <f t="shared" ref="F11:N11" si="6">440*12*F61</f>
        <v>300960</v>
      </c>
      <c r="G11" s="18">
        <f t="shared" si="6"/>
        <v>559680</v>
      </c>
      <c r="H11" s="18">
        <f t="shared" si="6"/>
        <v>422400</v>
      </c>
      <c r="I11" s="18">
        <f t="shared" si="6"/>
        <v>364320</v>
      </c>
      <c r="J11" s="18">
        <f t="shared" si="6"/>
        <v>285120</v>
      </c>
      <c r="K11" s="18">
        <f t="shared" si="6"/>
        <v>253440</v>
      </c>
      <c r="L11" s="18">
        <f t="shared" si="6"/>
        <v>195360</v>
      </c>
      <c r="M11" s="18">
        <f t="shared" si="6"/>
        <v>237600</v>
      </c>
      <c r="N11" s="18">
        <f t="shared" si="6"/>
        <v>5280</v>
      </c>
      <c r="O11" s="18">
        <f t="shared" si="1"/>
        <v>3004320</v>
      </c>
      <c r="P11" s="26"/>
    </row>
    <row r="12" spans="1:16" ht="18" customHeight="1">
      <c r="A12" s="14" t="s">
        <v>43</v>
      </c>
      <c r="B12" s="24" t="s">
        <v>44</v>
      </c>
      <c r="C12" s="24"/>
      <c r="D12" s="45" t="s">
        <v>45</v>
      </c>
      <c r="E12" s="18">
        <f>E13+E14</f>
        <v>147714.84</v>
      </c>
      <c r="F12" s="18">
        <f t="shared" ref="F12:N12" si="7">F13+F14</f>
        <v>105877.8</v>
      </c>
      <c r="G12" s="18">
        <f t="shared" si="7"/>
        <v>210644.28</v>
      </c>
      <c r="H12" s="18">
        <f t="shared" si="7"/>
        <v>145613.16</v>
      </c>
      <c r="I12" s="18">
        <f t="shared" si="7"/>
        <v>131967.35999999999</v>
      </c>
      <c r="J12" s="18">
        <f t="shared" si="7"/>
        <v>89646.48</v>
      </c>
      <c r="K12" s="18">
        <f t="shared" si="7"/>
        <v>82298.16</v>
      </c>
      <c r="L12" s="18">
        <f t="shared" si="7"/>
        <v>60449.759999999995</v>
      </c>
      <c r="M12" s="18">
        <f t="shared" si="7"/>
        <v>75607.56</v>
      </c>
      <c r="N12" s="18">
        <f t="shared" si="7"/>
        <v>2630.88</v>
      </c>
      <c r="O12" s="18">
        <f t="shared" si="1"/>
        <v>1052450.28</v>
      </c>
      <c r="P12" s="26"/>
    </row>
    <row r="13" spans="1:16" s="44" customFormat="1" ht="18" customHeight="1">
      <c r="A13" s="14" t="s">
        <v>46</v>
      </c>
      <c r="B13" s="43" t="s">
        <v>47</v>
      </c>
      <c r="C13" s="43" t="s">
        <v>31</v>
      </c>
      <c r="D13" s="26" t="s">
        <v>48</v>
      </c>
      <c r="E13" s="18">
        <f>ROUND(E29/0.07*0.00256,2)</f>
        <v>50019.839999999997</v>
      </c>
      <c r="F13" s="18">
        <f t="shared" ref="F13:N13" si="8">ROUND(F29/0.07*0.00256,2)</f>
        <v>35852.800000000003</v>
      </c>
      <c r="G13" s="18">
        <f t="shared" si="8"/>
        <v>71329.279999999999</v>
      </c>
      <c r="H13" s="18">
        <f t="shared" si="8"/>
        <v>49308.160000000003</v>
      </c>
      <c r="I13" s="18">
        <f t="shared" si="8"/>
        <v>44687.360000000001</v>
      </c>
      <c r="J13" s="18">
        <f t="shared" si="8"/>
        <v>30356.48</v>
      </c>
      <c r="K13" s="18">
        <f t="shared" si="8"/>
        <v>27868.16</v>
      </c>
      <c r="L13" s="18">
        <f t="shared" si="8"/>
        <v>20469.759999999998</v>
      </c>
      <c r="M13" s="18">
        <f t="shared" si="8"/>
        <v>25602.560000000001</v>
      </c>
      <c r="N13" s="18">
        <f t="shared" si="8"/>
        <v>890.88</v>
      </c>
      <c r="O13" s="18">
        <f t="shared" si="1"/>
        <v>356385.27999999997</v>
      </c>
      <c r="P13" s="26"/>
    </row>
    <row r="14" spans="1:16" s="44" customFormat="1" ht="18" customHeight="1">
      <c r="A14" s="14" t="s">
        <v>49</v>
      </c>
      <c r="B14" s="43" t="s">
        <v>317</v>
      </c>
      <c r="C14" s="43" t="s">
        <v>31</v>
      </c>
      <c r="D14" s="26" t="s">
        <v>48</v>
      </c>
      <c r="E14" s="18">
        <f>ROUND(E29/0.07*0.005,0)</f>
        <v>97695</v>
      </c>
      <c r="F14" s="18">
        <f t="shared" ref="F14:N14" si="9">ROUND(F29/0.07*0.005,0)</f>
        <v>70025</v>
      </c>
      <c r="G14" s="18">
        <f t="shared" si="9"/>
        <v>139315</v>
      </c>
      <c r="H14" s="18">
        <f t="shared" si="9"/>
        <v>96305</v>
      </c>
      <c r="I14" s="18">
        <f t="shared" si="9"/>
        <v>87280</v>
      </c>
      <c r="J14" s="18">
        <f t="shared" si="9"/>
        <v>59290</v>
      </c>
      <c r="K14" s="18">
        <f t="shared" si="9"/>
        <v>54430</v>
      </c>
      <c r="L14" s="18">
        <f t="shared" si="9"/>
        <v>39980</v>
      </c>
      <c r="M14" s="18">
        <f t="shared" si="9"/>
        <v>50005</v>
      </c>
      <c r="N14" s="18">
        <f t="shared" si="9"/>
        <v>1740</v>
      </c>
      <c r="O14" s="18">
        <f t="shared" si="1"/>
        <v>696065</v>
      </c>
      <c r="P14" s="26"/>
    </row>
    <row r="15" spans="1:16" ht="18" customHeight="1">
      <c r="A15" s="14" t="s">
        <v>51</v>
      </c>
      <c r="B15" s="24" t="s">
        <v>52</v>
      </c>
      <c r="C15" s="24"/>
      <c r="D15" s="45" t="s">
        <v>25</v>
      </c>
      <c r="E15" s="18">
        <f>E16+E17+E18+E19</f>
        <v>15645600</v>
      </c>
      <c r="F15" s="18">
        <f t="shared" ref="F15:N15" si="10">F16+F17+F18+F19</f>
        <v>12386100</v>
      </c>
      <c r="G15" s="18">
        <f t="shared" si="10"/>
        <v>23033800</v>
      </c>
      <c r="H15" s="18">
        <f t="shared" si="10"/>
        <v>17384000</v>
      </c>
      <c r="I15" s="18">
        <f t="shared" si="10"/>
        <v>14993700</v>
      </c>
      <c r="J15" s="18">
        <f t="shared" si="10"/>
        <v>10292400</v>
      </c>
      <c r="K15" s="18">
        <f t="shared" si="10"/>
        <v>9148800</v>
      </c>
      <c r="L15" s="18">
        <f t="shared" si="10"/>
        <v>7052200</v>
      </c>
      <c r="M15" s="18">
        <f t="shared" si="10"/>
        <v>8577000</v>
      </c>
      <c r="N15" s="18">
        <f t="shared" si="10"/>
        <v>201700</v>
      </c>
      <c r="O15" s="18">
        <f t="shared" si="1"/>
        <v>118715300</v>
      </c>
      <c r="P15" s="26"/>
    </row>
    <row r="16" spans="1:16" ht="18" customHeight="1">
      <c r="A16" s="14" t="s">
        <v>53</v>
      </c>
      <c r="B16" s="15" t="s">
        <v>54</v>
      </c>
      <c r="C16" s="15" t="s">
        <v>31</v>
      </c>
      <c r="D16" s="16" t="s">
        <v>318</v>
      </c>
      <c r="E16" s="17">
        <v>13936600</v>
      </c>
      <c r="F16" s="17">
        <v>11163600</v>
      </c>
      <c r="G16" s="17">
        <v>20720652</v>
      </c>
      <c r="H16" s="17">
        <v>15824116</v>
      </c>
      <c r="I16" s="17">
        <v>13623548</v>
      </c>
      <c r="J16" s="17">
        <v>9729616</v>
      </c>
      <c r="K16" s="17">
        <v>8603992</v>
      </c>
      <c r="L16" s="17">
        <v>6472772</v>
      </c>
      <c r="M16" s="17">
        <v>7957056</v>
      </c>
      <c r="N16" s="17">
        <v>195700</v>
      </c>
      <c r="O16" s="18">
        <f t="shared" si="1"/>
        <v>108227652</v>
      </c>
      <c r="P16" s="16"/>
    </row>
    <row r="17" spans="1:16" ht="18" customHeight="1">
      <c r="A17" s="14" t="s">
        <v>56</v>
      </c>
      <c r="B17" s="15" t="s">
        <v>57</v>
      </c>
      <c r="C17" s="15" t="s">
        <v>31</v>
      </c>
      <c r="D17" s="16" t="s">
        <v>58</v>
      </c>
      <c r="E17" s="17">
        <v>557000</v>
      </c>
      <c r="F17" s="17">
        <v>310500</v>
      </c>
      <c r="G17" s="17">
        <v>617148</v>
      </c>
      <c r="H17" s="17">
        <v>279884</v>
      </c>
      <c r="I17" s="17">
        <v>266152</v>
      </c>
      <c r="J17" s="17">
        <v>238784</v>
      </c>
      <c r="K17" s="17">
        <v>256808</v>
      </c>
      <c r="L17" s="17">
        <v>357428</v>
      </c>
      <c r="M17" s="17">
        <v>349944</v>
      </c>
      <c r="N17" s="17"/>
      <c r="O17" s="18">
        <f t="shared" si="1"/>
        <v>3233648</v>
      </c>
      <c r="P17" s="16"/>
    </row>
    <row r="18" spans="1:16" ht="18" customHeight="1">
      <c r="A18" s="14" t="s">
        <v>59</v>
      </c>
      <c r="B18" s="15" t="s">
        <v>319</v>
      </c>
      <c r="C18" s="15" t="s">
        <v>31</v>
      </c>
      <c r="D18" s="45" t="s">
        <v>25</v>
      </c>
      <c r="E18" s="50">
        <f>E61*500*12</f>
        <v>432000</v>
      </c>
      <c r="F18" s="50">
        <f t="shared" ref="F18:N18" si="11">F61*500*12</f>
        <v>342000</v>
      </c>
      <c r="G18" s="50">
        <f t="shared" si="11"/>
        <v>636000</v>
      </c>
      <c r="H18" s="50">
        <f t="shared" si="11"/>
        <v>480000</v>
      </c>
      <c r="I18" s="50">
        <f t="shared" si="11"/>
        <v>414000</v>
      </c>
      <c r="J18" s="50">
        <f t="shared" si="11"/>
        <v>324000</v>
      </c>
      <c r="K18" s="50">
        <f t="shared" si="11"/>
        <v>288000</v>
      </c>
      <c r="L18" s="50">
        <f t="shared" si="11"/>
        <v>222000</v>
      </c>
      <c r="M18" s="50">
        <f t="shared" si="11"/>
        <v>270000</v>
      </c>
      <c r="N18" s="50">
        <f t="shared" si="11"/>
        <v>6000</v>
      </c>
      <c r="O18" s="18">
        <f t="shared" si="1"/>
        <v>3414000</v>
      </c>
      <c r="P18" s="16"/>
    </row>
    <row r="19" spans="1:16" ht="18" customHeight="1">
      <c r="A19" s="14" t="s">
        <v>61</v>
      </c>
      <c r="B19" s="15" t="s">
        <v>320</v>
      </c>
      <c r="C19" s="15" t="s">
        <v>31</v>
      </c>
      <c r="D19" s="45" t="s">
        <v>32</v>
      </c>
      <c r="E19" s="17">
        <f>10000*E61</f>
        <v>720000</v>
      </c>
      <c r="F19" s="17">
        <f t="shared" ref="F19:I19" si="12">10000*F61</f>
        <v>570000</v>
      </c>
      <c r="G19" s="17">
        <f t="shared" si="12"/>
        <v>1060000</v>
      </c>
      <c r="H19" s="17">
        <f t="shared" si="12"/>
        <v>800000</v>
      </c>
      <c r="I19" s="17">
        <f t="shared" si="12"/>
        <v>690000</v>
      </c>
      <c r="J19" s="17"/>
      <c r="K19" s="17"/>
      <c r="L19" s="17"/>
      <c r="M19" s="17"/>
      <c r="N19" s="17"/>
      <c r="O19" s="18">
        <f t="shared" si="1"/>
        <v>3840000</v>
      </c>
      <c r="P19" s="16"/>
    </row>
    <row r="20" spans="1:16" ht="18" customHeight="1">
      <c r="A20" s="14" t="s">
        <v>63</v>
      </c>
      <c r="B20" s="24" t="s">
        <v>64</v>
      </c>
      <c r="C20" s="24"/>
      <c r="D20" s="16" t="s">
        <v>25</v>
      </c>
      <c r="E20" s="50">
        <f>E21+E22</f>
        <v>2735460</v>
      </c>
      <c r="F20" s="50">
        <f t="shared" ref="F20:N20" si="13">F21+F22</f>
        <v>1960700</v>
      </c>
      <c r="G20" s="50">
        <f t="shared" si="13"/>
        <v>3900820</v>
      </c>
      <c r="H20" s="50">
        <f t="shared" si="13"/>
        <v>2696540</v>
      </c>
      <c r="I20" s="50">
        <f t="shared" si="13"/>
        <v>2443840</v>
      </c>
      <c r="J20" s="50">
        <f t="shared" si="13"/>
        <v>1660120</v>
      </c>
      <c r="K20" s="50">
        <f t="shared" si="13"/>
        <v>1524040</v>
      </c>
      <c r="L20" s="50">
        <f t="shared" si="13"/>
        <v>1119440</v>
      </c>
      <c r="M20" s="50">
        <f t="shared" si="13"/>
        <v>1400140</v>
      </c>
      <c r="N20" s="50">
        <f t="shared" si="13"/>
        <v>48720</v>
      </c>
      <c r="O20" s="18">
        <f t="shared" si="1"/>
        <v>19489820</v>
      </c>
      <c r="P20" s="16"/>
    </row>
    <row r="21" spans="1:16" ht="18" customHeight="1">
      <c r="A21" s="14" t="s">
        <v>65</v>
      </c>
      <c r="B21" s="24" t="s">
        <v>321</v>
      </c>
      <c r="C21" s="24" t="s">
        <v>67</v>
      </c>
      <c r="D21" s="16" t="s">
        <v>25</v>
      </c>
      <c r="E21" s="50">
        <f>ROUND(E29/0.07*0.1,2)</f>
        <v>1953900</v>
      </c>
      <c r="F21" s="50">
        <f t="shared" ref="F21:N21" si="14">ROUND(F29/0.07*0.1,2)</f>
        <v>1400500</v>
      </c>
      <c r="G21" s="50">
        <f t="shared" si="14"/>
        <v>2786300</v>
      </c>
      <c r="H21" s="50">
        <f t="shared" si="14"/>
        <v>1926100</v>
      </c>
      <c r="I21" s="50">
        <f t="shared" si="14"/>
        <v>1745600</v>
      </c>
      <c r="J21" s="50">
        <f t="shared" si="14"/>
        <v>1185800</v>
      </c>
      <c r="K21" s="50">
        <f t="shared" si="14"/>
        <v>1088600</v>
      </c>
      <c r="L21" s="50">
        <f t="shared" si="14"/>
        <v>799600</v>
      </c>
      <c r="M21" s="50">
        <f t="shared" si="14"/>
        <v>1000100</v>
      </c>
      <c r="N21" s="50">
        <f t="shared" si="14"/>
        <v>34800</v>
      </c>
      <c r="O21" s="18">
        <f t="shared" si="1"/>
        <v>13921300</v>
      </c>
      <c r="P21" s="16"/>
    </row>
    <row r="22" spans="1:16" ht="18" customHeight="1">
      <c r="A22" s="14" t="s">
        <v>68</v>
      </c>
      <c r="B22" s="24" t="s">
        <v>322</v>
      </c>
      <c r="C22" s="24" t="s">
        <v>67</v>
      </c>
      <c r="D22" s="16" t="s">
        <v>48</v>
      </c>
      <c r="E22" s="50">
        <f>E23+E24</f>
        <v>781560</v>
      </c>
      <c r="F22" s="50">
        <f t="shared" ref="F22:N22" si="15">F23+F24</f>
        <v>560200</v>
      </c>
      <c r="G22" s="50">
        <f t="shared" si="15"/>
        <v>1114520</v>
      </c>
      <c r="H22" s="50">
        <f t="shared" si="15"/>
        <v>770440</v>
      </c>
      <c r="I22" s="50">
        <f t="shared" si="15"/>
        <v>698240</v>
      </c>
      <c r="J22" s="50">
        <f t="shared" si="15"/>
        <v>474320</v>
      </c>
      <c r="K22" s="50">
        <f t="shared" si="15"/>
        <v>435440</v>
      </c>
      <c r="L22" s="50">
        <f t="shared" si="15"/>
        <v>319840</v>
      </c>
      <c r="M22" s="50">
        <f t="shared" si="15"/>
        <v>400040</v>
      </c>
      <c r="N22" s="50">
        <f t="shared" si="15"/>
        <v>13920</v>
      </c>
      <c r="O22" s="18">
        <f t="shared" si="1"/>
        <v>5568520</v>
      </c>
      <c r="P22" s="16"/>
    </row>
    <row r="23" spans="1:16" ht="18" customHeight="1">
      <c r="A23" s="14" t="s">
        <v>70</v>
      </c>
      <c r="B23" s="24" t="s">
        <v>71</v>
      </c>
      <c r="C23" s="24" t="s">
        <v>67</v>
      </c>
      <c r="D23" s="16" t="s">
        <v>48</v>
      </c>
      <c r="E23" s="50">
        <f>ROUND(E29/0.07*0.02,2)</f>
        <v>390780</v>
      </c>
      <c r="F23" s="50">
        <f t="shared" ref="F23:N23" si="16">ROUND(F29/0.07*0.02,2)</f>
        <v>280100</v>
      </c>
      <c r="G23" s="50">
        <f t="shared" si="16"/>
        <v>557260</v>
      </c>
      <c r="H23" s="50">
        <f t="shared" si="16"/>
        <v>385220</v>
      </c>
      <c r="I23" s="50">
        <f t="shared" si="16"/>
        <v>349120</v>
      </c>
      <c r="J23" s="50">
        <f t="shared" si="16"/>
        <v>237160</v>
      </c>
      <c r="K23" s="50">
        <f t="shared" si="16"/>
        <v>217720</v>
      </c>
      <c r="L23" s="50">
        <f t="shared" si="16"/>
        <v>159920</v>
      </c>
      <c r="M23" s="50">
        <f t="shared" si="16"/>
        <v>200020</v>
      </c>
      <c r="N23" s="50">
        <f t="shared" si="16"/>
        <v>6960</v>
      </c>
      <c r="O23" s="18">
        <f t="shared" si="1"/>
        <v>2784260</v>
      </c>
      <c r="P23" s="16"/>
    </row>
    <row r="24" spans="1:16" ht="18" customHeight="1">
      <c r="A24" s="14" t="s">
        <v>72</v>
      </c>
      <c r="B24" s="24" t="s">
        <v>73</v>
      </c>
      <c r="C24" s="24" t="s">
        <v>67</v>
      </c>
      <c r="D24" s="16" t="s">
        <v>48</v>
      </c>
      <c r="E24" s="50">
        <f>ROUND(E29/0.07*0.02,2)</f>
        <v>390780</v>
      </c>
      <c r="F24" s="50">
        <f t="shared" ref="F24:N24" si="17">ROUND(F29/0.07*0.02,2)</f>
        <v>280100</v>
      </c>
      <c r="G24" s="50">
        <f t="shared" si="17"/>
        <v>557260</v>
      </c>
      <c r="H24" s="50">
        <f t="shared" si="17"/>
        <v>385220</v>
      </c>
      <c r="I24" s="50">
        <f t="shared" si="17"/>
        <v>349120</v>
      </c>
      <c r="J24" s="50">
        <f t="shared" si="17"/>
        <v>237160</v>
      </c>
      <c r="K24" s="50">
        <f t="shared" si="17"/>
        <v>217720</v>
      </c>
      <c r="L24" s="50">
        <f t="shared" si="17"/>
        <v>159920</v>
      </c>
      <c r="M24" s="50">
        <f t="shared" si="17"/>
        <v>200020</v>
      </c>
      <c r="N24" s="50">
        <f t="shared" si="17"/>
        <v>6960</v>
      </c>
      <c r="O24" s="18">
        <f t="shared" si="1"/>
        <v>2784260</v>
      </c>
      <c r="P24" s="16"/>
    </row>
    <row r="25" spans="1:16" ht="18" customHeight="1">
      <c r="A25" s="14" t="s">
        <v>74</v>
      </c>
      <c r="B25" s="24" t="s">
        <v>75</v>
      </c>
      <c r="C25" s="24"/>
      <c r="D25" s="45" t="s">
        <v>25</v>
      </c>
      <c r="E25" s="18">
        <f t="shared" ref="E25:N25" si="18">E26</f>
        <v>3126240</v>
      </c>
      <c r="F25" s="18">
        <f t="shared" si="18"/>
        <v>2240800</v>
      </c>
      <c r="G25" s="18">
        <f t="shared" si="18"/>
        <v>4458080</v>
      </c>
      <c r="H25" s="18">
        <f t="shared" si="18"/>
        <v>3081760</v>
      </c>
      <c r="I25" s="18">
        <f t="shared" si="18"/>
        <v>2792960</v>
      </c>
      <c r="J25" s="18">
        <f t="shared" si="18"/>
        <v>1897280</v>
      </c>
      <c r="K25" s="18">
        <f t="shared" si="18"/>
        <v>1741760</v>
      </c>
      <c r="L25" s="18">
        <f t="shared" si="18"/>
        <v>1279360</v>
      </c>
      <c r="M25" s="18">
        <f t="shared" si="18"/>
        <v>1600160</v>
      </c>
      <c r="N25" s="18">
        <f t="shared" si="18"/>
        <v>55680</v>
      </c>
      <c r="O25" s="18">
        <f t="shared" si="1"/>
        <v>22274080</v>
      </c>
      <c r="P25" s="26"/>
    </row>
    <row r="26" spans="1:16" s="44" customFormat="1" ht="18" customHeight="1">
      <c r="A26" s="14" t="s">
        <v>76</v>
      </c>
      <c r="B26" s="43" t="s">
        <v>323</v>
      </c>
      <c r="C26" s="43" t="s">
        <v>78</v>
      </c>
      <c r="D26" s="26" t="s">
        <v>48</v>
      </c>
      <c r="E26" s="18">
        <f>ROUND(E29/0.07*0.16,2)</f>
        <v>3126240</v>
      </c>
      <c r="F26" s="18">
        <f t="shared" ref="F26:N26" si="19">ROUND(F29/0.07*0.16,2)</f>
        <v>2240800</v>
      </c>
      <c r="G26" s="18">
        <f t="shared" si="19"/>
        <v>4458080</v>
      </c>
      <c r="H26" s="18">
        <f t="shared" si="19"/>
        <v>3081760</v>
      </c>
      <c r="I26" s="18">
        <f t="shared" si="19"/>
        <v>2792960</v>
      </c>
      <c r="J26" s="18">
        <f t="shared" si="19"/>
        <v>1897280</v>
      </c>
      <c r="K26" s="18">
        <f t="shared" si="19"/>
        <v>1741760</v>
      </c>
      <c r="L26" s="18">
        <f t="shared" si="19"/>
        <v>1279360</v>
      </c>
      <c r="M26" s="18">
        <f t="shared" si="19"/>
        <v>1600160</v>
      </c>
      <c r="N26" s="18">
        <f t="shared" si="19"/>
        <v>55680</v>
      </c>
      <c r="O26" s="18">
        <f t="shared" si="1"/>
        <v>22274080</v>
      </c>
      <c r="P26" s="26"/>
    </row>
    <row r="27" spans="1:16" ht="18" customHeight="1">
      <c r="A27" s="14" t="s">
        <v>79</v>
      </c>
      <c r="B27" s="24" t="s">
        <v>80</v>
      </c>
      <c r="C27" s="24"/>
      <c r="D27" s="45" t="s">
        <v>25</v>
      </c>
      <c r="E27" s="18">
        <f t="shared" ref="E27:N27" si="20">E28</f>
        <v>1563120</v>
      </c>
      <c r="F27" s="18">
        <f t="shared" si="20"/>
        <v>1120400</v>
      </c>
      <c r="G27" s="18">
        <f t="shared" si="20"/>
        <v>2229040</v>
      </c>
      <c r="H27" s="18">
        <f t="shared" si="20"/>
        <v>1540880</v>
      </c>
      <c r="I27" s="18">
        <f t="shared" si="20"/>
        <v>1396480</v>
      </c>
      <c r="J27" s="18">
        <f t="shared" si="20"/>
        <v>948640</v>
      </c>
      <c r="K27" s="18">
        <f t="shared" si="20"/>
        <v>870880</v>
      </c>
      <c r="L27" s="18">
        <f t="shared" si="20"/>
        <v>639680</v>
      </c>
      <c r="M27" s="18">
        <f t="shared" si="20"/>
        <v>800080</v>
      </c>
      <c r="N27" s="18">
        <f t="shared" si="20"/>
        <v>27840</v>
      </c>
      <c r="O27" s="18">
        <f t="shared" si="1"/>
        <v>11137040</v>
      </c>
      <c r="P27" s="26"/>
    </row>
    <row r="28" spans="1:16" s="44" customFormat="1" ht="18" customHeight="1">
      <c r="A28" s="14" t="s">
        <v>81</v>
      </c>
      <c r="B28" s="43" t="s">
        <v>82</v>
      </c>
      <c r="C28" s="43" t="s">
        <v>83</v>
      </c>
      <c r="D28" s="26" t="s">
        <v>48</v>
      </c>
      <c r="E28" s="18">
        <f>ROUND(E29/0.07*0.08,2)</f>
        <v>1563120</v>
      </c>
      <c r="F28" s="18">
        <f t="shared" ref="F28:N28" si="21">ROUND(F29/0.07*0.08,2)</f>
        <v>1120400</v>
      </c>
      <c r="G28" s="18">
        <f t="shared" si="21"/>
        <v>2229040</v>
      </c>
      <c r="H28" s="18">
        <f t="shared" si="21"/>
        <v>1540880</v>
      </c>
      <c r="I28" s="18">
        <f t="shared" si="21"/>
        <v>1396480</v>
      </c>
      <c r="J28" s="18">
        <f t="shared" si="21"/>
        <v>948640</v>
      </c>
      <c r="K28" s="18">
        <f t="shared" si="21"/>
        <v>870880</v>
      </c>
      <c r="L28" s="18">
        <f t="shared" si="21"/>
        <v>639680</v>
      </c>
      <c r="M28" s="18">
        <f t="shared" si="21"/>
        <v>800080</v>
      </c>
      <c r="N28" s="18">
        <f t="shared" si="21"/>
        <v>27840</v>
      </c>
      <c r="O28" s="18">
        <f t="shared" si="1"/>
        <v>11137040</v>
      </c>
      <c r="P28" s="26"/>
    </row>
    <row r="29" spans="1:16" ht="18" customHeight="1">
      <c r="A29" s="14" t="s">
        <v>84</v>
      </c>
      <c r="B29" s="24" t="s">
        <v>324</v>
      </c>
      <c r="C29" s="24" t="s">
        <v>86</v>
      </c>
      <c r="D29" s="45" t="s">
        <v>32</v>
      </c>
      <c r="E29" s="17">
        <v>1367730</v>
      </c>
      <c r="F29" s="17">
        <v>980350</v>
      </c>
      <c r="G29" s="17">
        <v>1950410</v>
      </c>
      <c r="H29" s="17">
        <v>1348270</v>
      </c>
      <c r="I29" s="17">
        <v>1221920</v>
      </c>
      <c r="J29" s="17">
        <v>830060</v>
      </c>
      <c r="K29" s="17">
        <v>762020</v>
      </c>
      <c r="L29" s="17">
        <v>559720</v>
      </c>
      <c r="M29" s="17">
        <v>700070</v>
      </c>
      <c r="N29" s="17">
        <v>24360</v>
      </c>
      <c r="O29" s="18">
        <f t="shared" si="1"/>
        <v>9744910</v>
      </c>
      <c r="P29" s="16"/>
    </row>
    <row r="30" spans="1:16" ht="18" customHeight="1">
      <c r="A30" s="14" t="s">
        <v>88</v>
      </c>
      <c r="B30" s="24" t="s">
        <v>325</v>
      </c>
      <c r="C30" s="15" t="s">
        <v>31</v>
      </c>
      <c r="D30" s="26" t="s">
        <v>326</v>
      </c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8">
        <f t="shared" si="1"/>
        <v>0</v>
      </c>
      <c r="P30" s="16"/>
    </row>
    <row r="31" spans="1:16" ht="18" customHeight="1">
      <c r="A31" s="14" t="s">
        <v>91</v>
      </c>
      <c r="B31" s="24" t="s">
        <v>92</v>
      </c>
      <c r="C31" s="24"/>
      <c r="D31" s="45" t="s">
        <v>25</v>
      </c>
      <c r="E31" s="18">
        <f>E32+E34+E36</f>
        <v>1574880</v>
      </c>
      <c r="F31" s="18">
        <f t="shared" ref="F31:N31" si="22">F32+F34+F36</f>
        <v>734010</v>
      </c>
      <c r="G31" s="18">
        <f t="shared" si="22"/>
        <v>705235</v>
      </c>
      <c r="H31" s="18">
        <f t="shared" si="22"/>
        <v>2177880</v>
      </c>
      <c r="I31" s="18">
        <f t="shared" si="22"/>
        <v>620820</v>
      </c>
      <c r="J31" s="18">
        <f t="shared" si="22"/>
        <v>401520</v>
      </c>
      <c r="K31" s="18">
        <f t="shared" si="22"/>
        <v>123580</v>
      </c>
      <c r="L31" s="18">
        <f t="shared" si="22"/>
        <v>201900</v>
      </c>
      <c r="M31" s="18">
        <f t="shared" si="22"/>
        <v>145740</v>
      </c>
      <c r="N31" s="18">
        <f t="shared" si="22"/>
        <v>360</v>
      </c>
      <c r="O31" s="18">
        <f t="shared" si="1"/>
        <v>6685925</v>
      </c>
      <c r="P31" s="26"/>
    </row>
    <row r="32" spans="1:16" ht="18" customHeight="1">
      <c r="A32" s="14" t="s">
        <v>93</v>
      </c>
      <c r="B32" s="24" t="s">
        <v>327</v>
      </c>
      <c r="C32" s="24" t="s">
        <v>95</v>
      </c>
      <c r="D32" s="16" t="s">
        <v>328</v>
      </c>
      <c r="E32" s="50">
        <f>E33</f>
        <v>1571640</v>
      </c>
      <c r="F32" s="50">
        <f t="shared" ref="F32:N32" si="23">F33</f>
        <v>730050</v>
      </c>
      <c r="G32" s="50">
        <f t="shared" si="23"/>
        <v>699025</v>
      </c>
      <c r="H32" s="50">
        <f t="shared" si="23"/>
        <v>2174280</v>
      </c>
      <c r="I32" s="50">
        <f t="shared" si="23"/>
        <v>617580</v>
      </c>
      <c r="J32" s="50">
        <f t="shared" si="23"/>
        <v>400320</v>
      </c>
      <c r="K32" s="50">
        <f t="shared" si="23"/>
        <v>121480</v>
      </c>
      <c r="L32" s="50">
        <f t="shared" si="23"/>
        <v>199020</v>
      </c>
      <c r="M32" s="50">
        <f t="shared" si="23"/>
        <v>142920</v>
      </c>
      <c r="N32" s="50">
        <f t="shared" si="23"/>
        <v>0</v>
      </c>
      <c r="O32" s="18">
        <f t="shared" si="1"/>
        <v>6656315</v>
      </c>
      <c r="P32" s="16"/>
    </row>
    <row r="33" spans="1:16" ht="18" customHeight="1">
      <c r="A33" s="14" t="s">
        <v>97</v>
      </c>
      <c r="B33" s="24" t="s">
        <v>329</v>
      </c>
      <c r="C33" s="24" t="s">
        <v>95</v>
      </c>
      <c r="D33" s="16" t="s">
        <v>328</v>
      </c>
      <c r="E33" s="25">
        <v>1571640</v>
      </c>
      <c r="F33" s="25">
        <v>730050</v>
      </c>
      <c r="G33" s="25">
        <v>699025</v>
      </c>
      <c r="H33" s="25">
        <v>2174280</v>
      </c>
      <c r="I33" s="25">
        <v>617580</v>
      </c>
      <c r="J33" s="25">
        <v>400320</v>
      </c>
      <c r="K33" s="25">
        <v>121480</v>
      </c>
      <c r="L33" s="25">
        <v>199020</v>
      </c>
      <c r="M33" s="25">
        <v>142920</v>
      </c>
      <c r="N33" s="25"/>
      <c r="O33" s="18">
        <f t="shared" si="1"/>
        <v>6656315</v>
      </c>
      <c r="P33" s="26"/>
    </row>
    <row r="34" spans="1:16" ht="18" customHeight="1">
      <c r="A34" s="14" t="s">
        <v>99</v>
      </c>
      <c r="B34" s="24" t="s">
        <v>100</v>
      </c>
      <c r="C34" s="24"/>
      <c r="D34" s="45" t="s">
        <v>25</v>
      </c>
      <c r="E34" s="18">
        <f>E35</f>
        <v>3240</v>
      </c>
      <c r="F34" s="18">
        <f t="shared" ref="F34:N34" si="24">F35</f>
        <v>3960</v>
      </c>
      <c r="G34" s="18">
        <f t="shared" si="24"/>
        <v>6210</v>
      </c>
      <c r="H34" s="18">
        <f t="shared" si="24"/>
        <v>3600</v>
      </c>
      <c r="I34" s="18">
        <f t="shared" si="24"/>
        <v>3240</v>
      </c>
      <c r="J34" s="18">
        <f t="shared" si="24"/>
        <v>1200</v>
      </c>
      <c r="K34" s="18">
        <f t="shared" si="24"/>
        <v>2100</v>
      </c>
      <c r="L34" s="18">
        <f t="shared" si="24"/>
        <v>2880</v>
      </c>
      <c r="M34" s="18">
        <f t="shared" si="24"/>
        <v>2820</v>
      </c>
      <c r="N34" s="18">
        <f t="shared" si="24"/>
        <v>360</v>
      </c>
      <c r="O34" s="18">
        <f t="shared" si="1"/>
        <v>29610</v>
      </c>
      <c r="P34" s="26"/>
    </row>
    <row r="35" spans="1:16" ht="18" customHeight="1">
      <c r="A35" s="14" t="s">
        <v>101</v>
      </c>
      <c r="B35" s="24" t="s">
        <v>102</v>
      </c>
      <c r="C35" s="24" t="s">
        <v>31</v>
      </c>
      <c r="D35" s="45" t="s">
        <v>32</v>
      </c>
      <c r="E35" s="25">
        <v>3240</v>
      </c>
      <c r="F35" s="25">
        <v>3960</v>
      </c>
      <c r="G35" s="25">
        <v>6210</v>
      </c>
      <c r="H35" s="25">
        <v>3600</v>
      </c>
      <c r="I35" s="25">
        <v>3240</v>
      </c>
      <c r="J35" s="25">
        <v>1200</v>
      </c>
      <c r="K35" s="25">
        <v>2100</v>
      </c>
      <c r="L35" s="25">
        <v>2880</v>
      </c>
      <c r="M35" s="25">
        <v>2820</v>
      </c>
      <c r="N35" s="25">
        <v>360</v>
      </c>
      <c r="O35" s="18">
        <f t="shared" si="1"/>
        <v>29610</v>
      </c>
      <c r="P35" s="26"/>
    </row>
    <row r="36" spans="1:16" ht="18" customHeight="1">
      <c r="A36" s="14" t="s">
        <v>103</v>
      </c>
      <c r="B36" s="24" t="s">
        <v>104</v>
      </c>
      <c r="C36" s="24"/>
      <c r="D36" s="45" t="s">
        <v>25</v>
      </c>
      <c r="E36" s="18">
        <f>E37</f>
        <v>0</v>
      </c>
      <c r="F36" s="18">
        <f t="shared" ref="F36:N36" si="25">F37</f>
        <v>0</v>
      </c>
      <c r="G36" s="18">
        <f t="shared" si="25"/>
        <v>0</v>
      </c>
      <c r="H36" s="18">
        <f t="shared" si="25"/>
        <v>0</v>
      </c>
      <c r="I36" s="18">
        <f t="shared" si="25"/>
        <v>0</v>
      </c>
      <c r="J36" s="18">
        <f t="shared" si="25"/>
        <v>0</v>
      </c>
      <c r="K36" s="18">
        <f t="shared" si="25"/>
        <v>0</v>
      </c>
      <c r="L36" s="18">
        <f t="shared" si="25"/>
        <v>0</v>
      </c>
      <c r="M36" s="18">
        <f t="shared" si="25"/>
        <v>0</v>
      </c>
      <c r="N36" s="18">
        <f t="shared" si="25"/>
        <v>0</v>
      </c>
      <c r="O36" s="18">
        <f t="shared" si="1"/>
        <v>0</v>
      </c>
      <c r="P36" s="26"/>
    </row>
    <row r="37" spans="1:16" ht="18" customHeight="1">
      <c r="A37" s="14" t="s">
        <v>105</v>
      </c>
      <c r="B37" s="24" t="s">
        <v>330</v>
      </c>
      <c r="C37" s="24" t="s">
        <v>31</v>
      </c>
      <c r="D37" s="16" t="s">
        <v>107</v>
      </c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18">
        <f t="shared" si="1"/>
        <v>0</v>
      </c>
      <c r="P37" s="16"/>
    </row>
    <row r="38" spans="1:16" ht="18" customHeight="1">
      <c r="A38" s="14" t="s">
        <v>108</v>
      </c>
      <c r="B38" s="24" t="s">
        <v>109</v>
      </c>
      <c r="C38" s="24"/>
      <c r="D38" s="45" t="s">
        <v>25</v>
      </c>
      <c r="E38" s="18">
        <f>E39+E41+E43+E45+E47+E50+E52+E54+E58</f>
        <v>4239566.25</v>
      </c>
      <c r="F38" s="18">
        <f t="shared" ref="F38:N38" si="26">F39+F41+F43+F45+F47+F50+F52+F54+F58</f>
        <v>3579876.35</v>
      </c>
      <c r="G38" s="18">
        <f t="shared" si="26"/>
        <v>6035481.7000000002</v>
      </c>
      <c r="H38" s="18">
        <f t="shared" si="26"/>
        <v>5237472.4000000004</v>
      </c>
      <c r="I38" s="18">
        <f t="shared" si="26"/>
        <v>4527074.1500000004</v>
      </c>
      <c r="J38" s="18">
        <f t="shared" si="26"/>
        <v>2402433.25</v>
      </c>
      <c r="K38" s="18">
        <f t="shared" si="26"/>
        <v>2170368.75</v>
      </c>
      <c r="L38" s="18">
        <f t="shared" si="26"/>
        <v>1760720.7</v>
      </c>
      <c r="M38" s="18">
        <f t="shared" si="26"/>
        <v>2121408.25</v>
      </c>
      <c r="N38" s="18">
        <f t="shared" si="26"/>
        <v>101525</v>
      </c>
      <c r="O38" s="18">
        <f t="shared" si="1"/>
        <v>32175926.800000001</v>
      </c>
      <c r="P38" s="26"/>
    </row>
    <row r="39" spans="1:16" ht="18" customHeight="1">
      <c r="A39" s="14" t="s">
        <v>110</v>
      </c>
      <c r="B39" s="24" t="s">
        <v>111</v>
      </c>
      <c r="C39" s="24"/>
      <c r="D39" s="45" t="s">
        <v>112</v>
      </c>
      <c r="E39" s="25">
        <v>2908950</v>
      </c>
      <c r="F39" s="25">
        <v>2582550</v>
      </c>
      <c r="G39" s="25">
        <v>4407390</v>
      </c>
      <c r="H39" s="25">
        <v>3629890</v>
      </c>
      <c r="I39" s="25">
        <v>3450750</v>
      </c>
      <c r="J39" s="25">
        <v>1555840</v>
      </c>
      <c r="K39" s="25">
        <v>1536940</v>
      </c>
      <c r="L39" s="25">
        <v>1287000</v>
      </c>
      <c r="M39" s="25">
        <v>1505520</v>
      </c>
      <c r="N39" s="25">
        <v>22400</v>
      </c>
      <c r="O39" s="18">
        <f t="shared" si="1"/>
        <v>22887230</v>
      </c>
      <c r="P39" s="26"/>
    </row>
    <row r="40" spans="1:16" ht="18" customHeight="1">
      <c r="A40" s="14" t="s">
        <v>113</v>
      </c>
      <c r="B40" s="24" t="s">
        <v>331</v>
      </c>
      <c r="C40" s="24" t="s">
        <v>31</v>
      </c>
      <c r="D40" s="27" t="s">
        <v>332</v>
      </c>
      <c r="E40" s="25">
        <v>145447.5</v>
      </c>
      <c r="F40" s="25">
        <v>129127.5</v>
      </c>
      <c r="G40" s="25">
        <v>220369.5</v>
      </c>
      <c r="H40" s="25">
        <v>181494.5</v>
      </c>
      <c r="I40" s="25">
        <v>172537.5</v>
      </c>
      <c r="J40" s="25">
        <v>68640</v>
      </c>
      <c r="K40" s="25">
        <v>58181</v>
      </c>
      <c r="L40" s="25">
        <v>42757</v>
      </c>
      <c r="M40" s="25">
        <v>61200</v>
      </c>
      <c r="N40" s="25">
        <v>1120</v>
      </c>
      <c r="O40" s="18">
        <f t="shared" si="1"/>
        <v>1080874.5</v>
      </c>
      <c r="P40" s="26"/>
    </row>
    <row r="41" spans="1:16" ht="18" customHeight="1">
      <c r="A41" s="14" t="s">
        <v>117</v>
      </c>
      <c r="B41" s="24" t="s">
        <v>118</v>
      </c>
      <c r="C41" s="24"/>
      <c r="D41" s="45"/>
      <c r="E41" s="18">
        <f>E42</f>
        <v>28800</v>
      </c>
      <c r="F41" s="18">
        <f t="shared" ref="F41:N41" si="27">F42</f>
        <v>22800</v>
      </c>
      <c r="G41" s="18">
        <f t="shared" si="27"/>
        <v>42400</v>
      </c>
      <c r="H41" s="18">
        <f t="shared" si="27"/>
        <v>32000</v>
      </c>
      <c r="I41" s="18">
        <f t="shared" si="27"/>
        <v>27600</v>
      </c>
      <c r="J41" s="18">
        <f t="shared" si="27"/>
        <v>21600</v>
      </c>
      <c r="K41" s="18">
        <f t="shared" si="27"/>
        <v>19200</v>
      </c>
      <c r="L41" s="18">
        <f t="shared" si="27"/>
        <v>14800</v>
      </c>
      <c r="M41" s="18">
        <f t="shared" si="27"/>
        <v>18000</v>
      </c>
      <c r="N41" s="18">
        <f t="shared" si="27"/>
        <v>400</v>
      </c>
      <c r="O41" s="18">
        <f t="shared" si="1"/>
        <v>227600</v>
      </c>
      <c r="P41" s="26"/>
    </row>
    <row r="42" spans="1:16" s="44" customFormat="1" ht="18" customHeight="1">
      <c r="A42" s="14" t="s">
        <v>119</v>
      </c>
      <c r="B42" s="43" t="s">
        <v>120</v>
      </c>
      <c r="C42" s="43" t="s">
        <v>31</v>
      </c>
      <c r="D42" s="51" t="s">
        <v>121</v>
      </c>
      <c r="E42" s="18">
        <f>E61*400</f>
        <v>28800</v>
      </c>
      <c r="F42" s="18">
        <f t="shared" ref="F42:N42" si="28">F61*400</f>
        <v>22800</v>
      </c>
      <c r="G42" s="18">
        <f t="shared" si="28"/>
        <v>42400</v>
      </c>
      <c r="H42" s="18">
        <f t="shared" si="28"/>
        <v>32000</v>
      </c>
      <c r="I42" s="18">
        <f t="shared" si="28"/>
        <v>27600</v>
      </c>
      <c r="J42" s="18">
        <f t="shared" si="28"/>
        <v>21600</v>
      </c>
      <c r="K42" s="18">
        <f t="shared" si="28"/>
        <v>19200</v>
      </c>
      <c r="L42" s="18">
        <f t="shared" si="28"/>
        <v>14800</v>
      </c>
      <c r="M42" s="18">
        <f t="shared" si="28"/>
        <v>18000</v>
      </c>
      <c r="N42" s="18">
        <f t="shared" si="28"/>
        <v>400</v>
      </c>
      <c r="O42" s="18">
        <f t="shared" si="1"/>
        <v>227600</v>
      </c>
      <c r="P42" s="26"/>
    </row>
    <row r="43" spans="1:16" ht="18" customHeight="1">
      <c r="A43" s="14" t="s">
        <v>122</v>
      </c>
      <c r="B43" s="24" t="s">
        <v>123</v>
      </c>
      <c r="C43" s="24"/>
      <c r="D43" s="45" t="s">
        <v>25</v>
      </c>
      <c r="E43" s="18">
        <f>E44</f>
        <v>173576.25</v>
      </c>
      <c r="F43" s="18">
        <f t="shared" ref="F43:N43" si="29">F44</f>
        <v>181200.75</v>
      </c>
      <c r="G43" s="18">
        <f t="shared" si="29"/>
        <v>288657.3</v>
      </c>
      <c r="H43" s="18">
        <f t="shared" si="29"/>
        <v>202718.4</v>
      </c>
      <c r="I43" s="18">
        <f t="shared" si="29"/>
        <v>179640.15</v>
      </c>
      <c r="J43" s="18">
        <f t="shared" si="29"/>
        <v>183473.25</v>
      </c>
      <c r="K43" s="18">
        <f t="shared" si="29"/>
        <v>86520.75</v>
      </c>
      <c r="L43" s="18">
        <f t="shared" si="29"/>
        <v>41792.699999999997</v>
      </c>
      <c r="M43" s="18">
        <f t="shared" si="29"/>
        <v>97676.25</v>
      </c>
      <c r="N43" s="18">
        <f t="shared" si="29"/>
        <v>64605</v>
      </c>
      <c r="O43" s="18">
        <f t="shared" si="1"/>
        <v>1499860.8</v>
      </c>
      <c r="P43" s="26"/>
    </row>
    <row r="44" spans="1:16" s="44" customFormat="1" ht="18" customHeight="1">
      <c r="A44" s="14" t="s">
        <v>124</v>
      </c>
      <c r="B44" s="43" t="s">
        <v>125</v>
      </c>
      <c r="C44" s="43" t="s">
        <v>31</v>
      </c>
      <c r="D44" s="51" t="s">
        <v>126</v>
      </c>
      <c r="E44" s="18">
        <f>E72*15</f>
        <v>173576.25</v>
      </c>
      <c r="F44" s="18">
        <f t="shared" ref="F44:N44" si="30">F72*15</f>
        <v>181200.75</v>
      </c>
      <c r="G44" s="18">
        <f t="shared" si="30"/>
        <v>288657.3</v>
      </c>
      <c r="H44" s="18">
        <f t="shared" si="30"/>
        <v>202718.4</v>
      </c>
      <c r="I44" s="18">
        <f t="shared" si="30"/>
        <v>179640.15</v>
      </c>
      <c r="J44" s="18">
        <f t="shared" si="30"/>
        <v>183473.25</v>
      </c>
      <c r="K44" s="18">
        <f t="shared" si="30"/>
        <v>86520.75</v>
      </c>
      <c r="L44" s="18">
        <f t="shared" si="30"/>
        <v>41792.699999999997</v>
      </c>
      <c r="M44" s="18">
        <f t="shared" si="30"/>
        <v>97676.25</v>
      </c>
      <c r="N44" s="18">
        <f t="shared" si="30"/>
        <v>64605</v>
      </c>
      <c r="O44" s="18">
        <f t="shared" si="1"/>
        <v>1499860.8</v>
      </c>
      <c r="P44" s="26"/>
    </row>
    <row r="45" spans="1:16" ht="18" customHeight="1">
      <c r="A45" s="14" t="s">
        <v>127</v>
      </c>
      <c r="B45" s="24" t="s">
        <v>128</v>
      </c>
      <c r="C45" s="24"/>
      <c r="D45" s="45" t="s">
        <v>25</v>
      </c>
      <c r="E45" s="18">
        <f>E46</f>
        <v>30700</v>
      </c>
      <c r="F45" s="18">
        <f t="shared" ref="F45:N45" si="31">F46</f>
        <v>48905.599999999999</v>
      </c>
      <c r="G45" s="18">
        <f t="shared" si="31"/>
        <v>71214.399999999994</v>
      </c>
      <c r="H45" s="18">
        <f t="shared" si="31"/>
        <v>63744</v>
      </c>
      <c r="I45" s="18">
        <f t="shared" si="31"/>
        <v>26904</v>
      </c>
      <c r="J45" s="18">
        <f t="shared" si="31"/>
        <v>30240</v>
      </c>
      <c r="K45" s="18">
        <f t="shared" si="31"/>
        <v>23868</v>
      </c>
      <c r="L45" s="18">
        <f t="shared" si="31"/>
        <v>5728</v>
      </c>
      <c r="M45" s="18">
        <f t="shared" si="31"/>
        <v>28232</v>
      </c>
      <c r="N45" s="18">
        <f t="shared" si="31"/>
        <v>2240</v>
      </c>
      <c r="O45" s="18">
        <f t="shared" si="1"/>
        <v>331776</v>
      </c>
      <c r="P45" s="26"/>
    </row>
    <row r="46" spans="1:16" s="44" customFormat="1" ht="18" customHeight="1">
      <c r="A46" s="14" t="s">
        <v>129</v>
      </c>
      <c r="B46" s="43" t="s">
        <v>130</v>
      </c>
      <c r="C46" s="43" t="s">
        <v>31</v>
      </c>
      <c r="D46" s="51" t="s">
        <v>131</v>
      </c>
      <c r="E46" s="18">
        <f>E73*8</f>
        <v>30700</v>
      </c>
      <c r="F46" s="18">
        <f t="shared" ref="F46:N46" si="32">F73*8</f>
        <v>48905.599999999999</v>
      </c>
      <c r="G46" s="18">
        <f t="shared" si="32"/>
        <v>71214.399999999994</v>
      </c>
      <c r="H46" s="18">
        <f t="shared" si="32"/>
        <v>63744</v>
      </c>
      <c r="I46" s="18">
        <f t="shared" si="32"/>
        <v>26904</v>
      </c>
      <c r="J46" s="18">
        <f t="shared" si="32"/>
        <v>30240</v>
      </c>
      <c r="K46" s="18">
        <f t="shared" si="32"/>
        <v>23868</v>
      </c>
      <c r="L46" s="18">
        <f t="shared" si="32"/>
        <v>5728</v>
      </c>
      <c r="M46" s="18">
        <f t="shared" si="32"/>
        <v>28232</v>
      </c>
      <c r="N46" s="18">
        <f t="shared" si="32"/>
        <v>2240</v>
      </c>
      <c r="O46" s="18">
        <f t="shared" si="1"/>
        <v>331776</v>
      </c>
      <c r="P46" s="26"/>
    </row>
    <row r="47" spans="1:16" ht="18" customHeight="1">
      <c r="A47" s="14" t="s">
        <v>132</v>
      </c>
      <c r="B47" s="24" t="s">
        <v>333</v>
      </c>
      <c r="C47" s="24"/>
      <c r="D47" s="45" t="s">
        <v>25</v>
      </c>
      <c r="E47" s="18">
        <f>E48+E49</f>
        <v>639360</v>
      </c>
      <c r="F47" s="18">
        <f t="shared" ref="F47:N47" si="33">F48+F49</f>
        <v>414720</v>
      </c>
      <c r="G47" s="18">
        <f t="shared" si="33"/>
        <v>617760</v>
      </c>
      <c r="H47" s="18">
        <f t="shared" si="33"/>
        <v>842400</v>
      </c>
      <c r="I47" s="18">
        <f t="shared" si="33"/>
        <v>444960</v>
      </c>
      <c r="J47" s="18">
        <f t="shared" si="33"/>
        <v>328320</v>
      </c>
      <c r="K47" s="18">
        <f t="shared" si="33"/>
        <v>241920</v>
      </c>
      <c r="L47" s="18">
        <f t="shared" si="33"/>
        <v>211680</v>
      </c>
      <c r="M47" s="18">
        <f t="shared" si="33"/>
        <v>228960</v>
      </c>
      <c r="N47" s="18">
        <f t="shared" si="33"/>
        <v>4320</v>
      </c>
      <c r="O47" s="18">
        <f t="shared" si="1"/>
        <v>3974400</v>
      </c>
      <c r="P47" s="26"/>
    </row>
    <row r="48" spans="1:16" s="44" customFormat="1" ht="18" customHeight="1">
      <c r="A48" s="14" t="s">
        <v>134</v>
      </c>
      <c r="B48" s="43" t="s">
        <v>334</v>
      </c>
      <c r="C48" s="43" t="s">
        <v>31</v>
      </c>
      <c r="D48" s="51" t="s">
        <v>136</v>
      </c>
      <c r="E48" s="18">
        <f>E61*4320</f>
        <v>311040</v>
      </c>
      <c r="F48" s="18">
        <f t="shared" ref="F48:N48" si="34">F61*4320</f>
        <v>246240</v>
      </c>
      <c r="G48" s="18">
        <f t="shared" si="34"/>
        <v>457920</v>
      </c>
      <c r="H48" s="18">
        <f t="shared" si="34"/>
        <v>345600</v>
      </c>
      <c r="I48" s="18">
        <f t="shared" si="34"/>
        <v>298080</v>
      </c>
      <c r="J48" s="18">
        <f t="shared" si="34"/>
        <v>233280</v>
      </c>
      <c r="K48" s="18">
        <f t="shared" si="34"/>
        <v>207360</v>
      </c>
      <c r="L48" s="18">
        <f t="shared" si="34"/>
        <v>159840</v>
      </c>
      <c r="M48" s="18">
        <f t="shared" si="34"/>
        <v>194400</v>
      </c>
      <c r="N48" s="18">
        <f t="shared" si="34"/>
        <v>4320</v>
      </c>
      <c r="O48" s="18">
        <f t="shared" si="1"/>
        <v>2458080</v>
      </c>
      <c r="P48" s="26"/>
    </row>
    <row r="49" spans="1:16" s="44" customFormat="1" ht="18" customHeight="1">
      <c r="A49" s="14" t="s">
        <v>137</v>
      </c>
      <c r="B49" s="43" t="s">
        <v>335</v>
      </c>
      <c r="C49" s="43" t="s">
        <v>31</v>
      </c>
      <c r="D49" s="51" t="s">
        <v>336</v>
      </c>
      <c r="E49" s="18">
        <f>E71*4320</f>
        <v>328320</v>
      </c>
      <c r="F49" s="18">
        <f t="shared" ref="F49:N49" si="35">F71*4320</f>
        <v>168480</v>
      </c>
      <c r="G49" s="18">
        <f t="shared" si="35"/>
        <v>159840</v>
      </c>
      <c r="H49" s="18">
        <f t="shared" si="35"/>
        <v>496800</v>
      </c>
      <c r="I49" s="18">
        <f t="shared" si="35"/>
        <v>146880</v>
      </c>
      <c r="J49" s="18">
        <f t="shared" si="35"/>
        <v>95040</v>
      </c>
      <c r="K49" s="18">
        <f t="shared" si="35"/>
        <v>34560</v>
      </c>
      <c r="L49" s="18">
        <f t="shared" si="35"/>
        <v>51840</v>
      </c>
      <c r="M49" s="18">
        <f t="shared" si="35"/>
        <v>34560</v>
      </c>
      <c r="N49" s="18">
        <f t="shared" si="35"/>
        <v>0</v>
      </c>
      <c r="O49" s="18">
        <f t="shared" si="1"/>
        <v>1516320</v>
      </c>
      <c r="P49" s="26"/>
    </row>
    <row r="50" spans="1:16" ht="18" customHeight="1">
      <c r="A50" s="14" t="s">
        <v>140</v>
      </c>
      <c r="B50" s="24" t="s">
        <v>337</v>
      </c>
      <c r="C50" s="24"/>
      <c r="D50" s="45" t="s">
        <v>25</v>
      </c>
      <c r="E50" s="18">
        <f>E51</f>
        <v>390780</v>
      </c>
      <c r="F50" s="18">
        <f t="shared" ref="F50:N50" si="36">F51</f>
        <v>280100</v>
      </c>
      <c r="G50" s="18">
        <f t="shared" si="36"/>
        <v>557260</v>
      </c>
      <c r="H50" s="18">
        <f t="shared" si="36"/>
        <v>385220</v>
      </c>
      <c r="I50" s="18">
        <f t="shared" si="36"/>
        <v>349120</v>
      </c>
      <c r="J50" s="18">
        <f t="shared" si="36"/>
        <v>237160</v>
      </c>
      <c r="K50" s="18">
        <f t="shared" si="36"/>
        <v>217720</v>
      </c>
      <c r="L50" s="18">
        <f t="shared" si="36"/>
        <v>159920</v>
      </c>
      <c r="M50" s="18">
        <f t="shared" si="36"/>
        <v>200020</v>
      </c>
      <c r="N50" s="18">
        <f t="shared" si="36"/>
        <v>6960</v>
      </c>
      <c r="O50" s="18">
        <f t="shared" si="1"/>
        <v>2784260</v>
      </c>
      <c r="P50" s="26"/>
    </row>
    <row r="51" spans="1:16" s="44" customFormat="1" ht="18" customHeight="1">
      <c r="A51" s="14" t="s">
        <v>142</v>
      </c>
      <c r="B51" s="43" t="s">
        <v>143</v>
      </c>
      <c r="C51" s="43" t="s">
        <v>31</v>
      </c>
      <c r="D51" s="26" t="s">
        <v>48</v>
      </c>
      <c r="E51" s="18">
        <f>ROUND(E29/0.07*0.02,2)</f>
        <v>390780</v>
      </c>
      <c r="F51" s="18">
        <f t="shared" ref="F51:M51" si="37">ROUND(F29/0.07*0.02,2)</f>
        <v>280100</v>
      </c>
      <c r="G51" s="18">
        <f t="shared" si="37"/>
        <v>557260</v>
      </c>
      <c r="H51" s="18">
        <f t="shared" si="37"/>
        <v>385220</v>
      </c>
      <c r="I51" s="18">
        <f t="shared" si="37"/>
        <v>349120</v>
      </c>
      <c r="J51" s="18">
        <f t="shared" si="37"/>
        <v>237160</v>
      </c>
      <c r="K51" s="18">
        <f t="shared" si="37"/>
        <v>217720</v>
      </c>
      <c r="L51" s="18">
        <f t="shared" si="37"/>
        <v>159920</v>
      </c>
      <c r="M51" s="18">
        <f t="shared" si="37"/>
        <v>200020</v>
      </c>
      <c r="N51" s="18">
        <f>ROUND(N29/0.07*0.02,2)</f>
        <v>6960</v>
      </c>
      <c r="O51" s="18">
        <f t="shared" si="1"/>
        <v>2784260</v>
      </c>
      <c r="P51" s="26"/>
    </row>
    <row r="52" spans="1:16" ht="18" customHeight="1">
      <c r="A52" s="14" t="s">
        <v>144</v>
      </c>
      <c r="B52" s="24" t="s">
        <v>338</v>
      </c>
      <c r="C52" s="24"/>
      <c r="D52" s="45" t="s">
        <v>25</v>
      </c>
      <c r="E52" s="18">
        <f>E53</f>
        <v>32000</v>
      </c>
      <c r="F52" s="18">
        <f t="shared" ref="F52:N52" si="38">F53</f>
        <v>32000</v>
      </c>
      <c r="G52" s="18">
        <f t="shared" si="38"/>
        <v>32000</v>
      </c>
      <c r="H52" s="18">
        <f t="shared" si="38"/>
        <v>32000</v>
      </c>
      <c r="I52" s="18">
        <f t="shared" si="38"/>
        <v>32000</v>
      </c>
      <c r="J52" s="18">
        <f t="shared" si="38"/>
        <v>0</v>
      </c>
      <c r="K52" s="18">
        <f t="shared" si="38"/>
        <v>32000</v>
      </c>
      <c r="L52" s="18">
        <f t="shared" si="38"/>
        <v>0</v>
      </c>
      <c r="M52" s="18">
        <f t="shared" si="38"/>
        <v>32000</v>
      </c>
      <c r="N52" s="18">
        <f t="shared" si="38"/>
        <v>0</v>
      </c>
      <c r="O52" s="18">
        <f t="shared" si="1"/>
        <v>224000</v>
      </c>
      <c r="P52" s="26"/>
    </row>
    <row r="53" spans="1:16" ht="18" customHeight="1">
      <c r="A53" s="14" t="s">
        <v>146</v>
      </c>
      <c r="B53" s="24" t="s">
        <v>147</v>
      </c>
      <c r="C53" s="24" t="s">
        <v>31</v>
      </c>
      <c r="D53" s="27" t="s">
        <v>148</v>
      </c>
      <c r="E53" s="25">
        <v>32000</v>
      </c>
      <c r="F53" s="25">
        <v>32000</v>
      </c>
      <c r="G53" s="25">
        <v>32000</v>
      </c>
      <c r="H53" s="25">
        <v>32000</v>
      </c>
      <c r="I53" s="25">
        <v>32000</v>
      </c>
      <c r="J53" s="25"/>
      <c r="K53" s="25">
        <v>32000</v>
      </c>
      <c r="L53" s="25"/>
      <c r="M53" s="25">
        <v>32000</v>
      </c>
      <c r="N53" s="25"/>
      <c r="O53" s="18">
        <f t="shared" si="1"/>
        <v>224000</v>
      </c>
      <c r="P53" s="26"/>
    </row>
    <row r="54" spans="1:16" ht="18" customHeight="1">
      <c r="A54" s="14" t="s">
        <v>149</v>
      </c>
      <c r="B54" s="24" t="s">
        <v>339</v>
      </c>
      <c r="C54" s="24"/>
      <c r="D54" s="45" t="s">
        <v>25</v>
      </c>
      <c r="E54" s="18">
        <f>E55+E57</f>
        <v>35400</v>
      </c>
      <c r="F54" s="18">
        <f t="shared" ref="F54:N54" si="39">F55+F57</f>
        <v>17600</v>
      </c>
      <c r="G54" s="18">
        <f t="shared" si="39"/>
        <v>18800</v>
      </c>
      <c r="H54" s="18">
        <f t="shared" si="39"/>
        <v>49500</v>
      </c>
      <c r="I54" s="18">
        <f t="shared" si="39"/>
        <v>16100</v>
      </c>
      <c r="J54" s="18">
        <f t="shared" si="39"/>
        <v>13800</v>
      </c>
      <c r="K54" s="18">
        <f t="shared" si="39"/>
        <v>7200</v>
      </c>
      <c r="L54" s="18">
        <f t="shared" si="39"/>
        <v>7800</v>
      </c>
      <c r="M54" s="18">
        <f t="shared" si="39"/>
        <v>6000</v>
      </c>
      <c r="N54" s="18">
        <f t="shared" si="39"/>
        <v>600</v>
      </c>
      <c r="O54" s="18">
        <f t="shared" si="1"/>
        <v>172800</v>
      </c>
      <c r="P54" s="26"/>
    </row>
    <row r="55" spans="1:16" ht="18" customHeight="1">
      <c r="A55" s="14" t="s">
        <v>151</v>
      </c>
      <c r="B55" s="24" t="s">
        <v>340</v>
      </c>
      <c r="C55" s="24" t="s">
        <v>31</v>
      </c>
      <c r="D55" s="45" t="s">
        <v>25</v>
      </c>
      <c r="E55" s="18">
        <f>E56</f>
        <v>30400</v>
      </c>
      <c r="F55" s="18">
        <f t="shared" ref="F55:N55" si="40">F56</f>
        <v>15600</v>
      </c>
      <c r="G55" s="18">
        <f t="shared" si="40"/>
        <v>14800</v>
      </c>
      <c r="H55" s="18">
        <f t="shared" si="40"/>
        <v>46000</v>
      </c>
      <c r="I55" s="18">
        <f t="shared" si="40"/>
        <v>13600</v>
      </c>
      <c r="J55" s="18">
        <f t="shared" si="40"/>
        <v>8800</v>
      </c>
      <c r="K55" s="18">
        <f t="shared" si="40"/>
        <v>3200</v>
      </c>
      <c r="L55" s="18">
        <f t="shared" si="40"/>
        <v>4800</v>
      </c>
      <c r="M55" s="18">
        <f t="shared" si="40"/>
        <v>3200</v>
      </c>
      <c r="N55" s="18">
        <f t="shared" si="40"/>
        <v>0</v>
      </c>
      <c r="O55" s="18">
        <f t="shared" si="1"/>
        <v>140400</v>
      </c>
      <c r="P55" s="26"/>
    </row>
    <row r="56" spans="1:16" s="44" customFormat="1" ht="18" customHeight="1">
      <c r="A56" s="14" t="s">
        <v>153</v>
      </c>
      <c r="B56" s="43" t="s">
        <v>154</v>
      </c>
      <c r="C56" s="43" t="s">
        <v>31</v>
      </c>
      <c r="D56" s="51" t="s">
        <v>341</v>
      </c>
      <c r="E56" s="18">
        <f>E71*400</f>
        <v>30400</v>
      </c>
      <c r="F56" s="18">
        <f t="shared" ref="F56:N56" si="41">F71*400</f>
        <v>15600</v>
      </c>
      <c r="G56" s="18">
        <f t="shared" si="41"/>
        <v>14800</v>
      </c>
      <c r="H56" s="18">
        <f t="shared" si="41"/>
        <v>46000</v>
      </c>
      <c r="I56" s="18">
        <f t="shared" si="41"/>
        <v>13600</v>
      </c>
      <c r="J56" s="18">
        <f t="shared" si="41"/>
        <v>8800</v>
      </c>
      <c r="K56" s="18">
        <f t="shared" si="41"/>
        <v>3200</v>
      </c>
      <c r="L56" s="18">
        <f t="shared" si="41"/>
        <v>4800</v>
      </c>
      <c r="M56" s="18">
        <f t="shared" si="41"/>
        <v>3200</v>
      </c>
      <c r="N56" s="18">
        <f t="shared" si="41"/>
        <v>0</v>
      </c>
      <c r="O56" s="18">
        <f t="shared" si="1"/>
        <v>140400</v>
      </c>
      <c r="P56" s="26"/>
    </row>
    <row r="57" spans="1:16" ht="18" customHeight="1">
      <c r="A57" s="14" t="s">
        <v>156</v>
      </c>
      <c r="B57" s="24" t="s">
        <v>342</v>
      </c>
      <c r="C57" s="24" t="s">
        <v>31</v>
      </c>
      <c r="D57" s="27" t="s">
        <v>158</v>
      </c>
      <c r="E57" s="52">
        <v>5000</v>
      </c>
      <c r="F57" s="52">
        <v>2000</v>
      </c>
      <c r="G57" s="52">
        <v>4000</v>
      </c>
      <c r="H57" s="52">
        <v>3500</v>
      </c>
      <c r="I57" s="52">
        <v>2500</v>
      </c>
      <c r="J57" s="52">
        <v>5000</v>
      </c>
      <c r="K57" s="52">
        <v>4000</v>
      </c>
      <c r="L57" s="52">
        <v>3000</v>
      </c>
      <c r="M57" s="52">
        <v>2800</v>
      </c>
      <c r="N57" s="52">
        <v>600</v>
      </c>
      <c r="O57" s="18">
        <f t="shared" si="1"/>
        <v>32400</v>
      </c>
      <c r="P57" s="16"/>
    </row>
    <row r="58" spans="1:16" ht="18" customHeight="1">
      <c r="A58" s="14" t="s">
        <v>159</v>
      </c>
      <c r="B58" s="24" t="s">
        <v>343</v>
      </c>
      <c r="C58" s="24"/>
      <c r="D58" s="45" t="s">
        <v>25</v>
      </c>
      <c r="E58" s="18">
        <f>E59</f>
        <v>0</v>
      </c>
      <c r="F58" s="18">
        <f t="shared" ref="F58:N58" si="42">F59</f>
        <v>0</v>
      </c>
      <c r="G58" s="18">
        <f t="shared" si="42"/>
        <v>0</v>
      </c>
      <c r="H58" s="18">
        <f t="shared" si="42"/>
        <v>0</v>
      </c>
      <c r="I58" s="18">
        <f t="shared" si="42"/>
        <v>0</v>
      </c>
      <c r="J58" s="18">
        <f t="shared" si="42"/>
        <v>32000</v>
      </c>
      <c r="K58" s="18">
        <f t="shared" si="42"/>
        <v>5000</v>
      </c>
      <c r="L58" s="18">
        <f t="shared" si="42"/>
        <v>32000</v>
      </c>
      <c r="M58" s="18">
        <f t="shared" si="42"/>
        <v>5000</v>
      </c>
      <c r="N58" s="18">
        <f t="shared" si="42"/>
        <v>0</v>
      </c>
      <c r="O58" s="18">
        <f t="shared" si="1"/>
        <v>74000</v>
      </c>
      <c r="P58" s="26"/>
    </row>
    <row r="59" spans="1:16" ht="18" customHeight="1" thickBot="1">
      <c r="A59" s="14" t="s">
        <v>161</v>
      </c>
      <c r="B59" s="53" t="s">
        <v>162</v>
      </c>
      <c r="C59" s="24" t="s">
        <v>31</v>
      </c>
      <c r="D59" s="54" t="s">
        <v>344</v>
      </c>
      <c r="E59" s="34"/>
      <c r="F59" s="34"/>
      <c r="G59" s="34"/>
      <c r="H59" s="34"/>
      <c r="I59" s="34"/>
      <c r="J59" s="34">
        <v>32000</v>
      </c>
      <c r="K59" s="34">
        <v>5000</v>
      </c>
      <c r="L59" s="34">
        <v>32000</v>
      </c>
      <c r="M59" s="34">
        <v>5000</v>
      </c>
      <c r="N59" s="34"/>
      <c r="O59" s="18">
        <f t="shared" si="1"/>
        <v>74000</v>
      </c>
      <c r="P59" s="55"/>
    </row>
    <row r="60" spans="1:16" ht="18" customHeight="1" thickTop="1">
      <c r="A60" s="14" t="s">
        <v>164</v>
      </c>
      <c r="B60" s="56" t="s">
        <v>165</v>
      </c>
      <c r="C60" s="56"/>
      <c r="D60" s="57"/>
      <c r="E60" s="58"/>
      <c r="F60" s="58"/>
      <c r="G60" s="58"/>
      <c r="H60" s="58"/>
      <c r="I60" s="58"/>
      <c r="J60" s="58"/>
      <c r="K60" s="58"/>
      <c r="L60" s="58"/>
      <c r="M60" s="58"/>
      <c r="N60" s="58"/>
      <c r="O60" s="18">
        <f t="shared" si="1"/>
        <v>0</v>
      </c>
      <c r="P60" s="59"/>
    </row>
    <row r="61" spans="1:16" ht="18" customHeight="1">
      <c r="A61" s="14" t="s">
        <v>166</v>
      </c>
      <c r="B61" s="24" t="s">
        <v>167</v>
      </c>
      <c r="C61" s="24"/>
      <c r="D61" s="45" t="s">
        <v>345</v>
      </c>
      <c r="E61" s="18">
        <f>E62+E63+E64+E65</f>
        <v>72</v>
      </c>
      <c r="F61" s="18">
        <f t="shared" ref="F61:N61" si="43">F62+F63+F64+F65</f>
        <v>57</v>
      </c>
      <c r="G61" s="18">
        <f t="shared" si="43"/>
        <v>106</v>
      </c>
      <c r="H61" s="18">
        <f t="shared" si="43"/>
        <v>80</v>
      </c>
      <c r="I61" s="18">
        <f t="shared" si="43"/>
        <v>69</v>
      </c>
      <c r="J61" s="18">
        <f t="shared" si="43"/>
        <v>54</v>
      </c>
      <c r="K61" s="18">
        <f t="shared" si="43"/>
        <v>48</v>
      </c>
      <c r="L61" s="18">
        <f t="shared" si="43"/>
        <v>37</v>
      </c>
      <c r="M61" s="18">
        <f t="shared" si="43"/>
        <v>45</v>
      </c>
      <c r="N61" s="18">
        <f t="shared" si="43"/>
        <v>1</v>
      </c>
      <c r="O61" s="18">
        <f t="shared" si="1"/>
        <v>569</v>
      </c>
      <c r="P61" s="26"/>
    </row>
    <row r="62" spans="1:16" ht="18" customHeight="1">
      <c r="A62" s="14" t="s">
        <v>169</v>
      </c>
      <c r="B62" s="60" t="s">
        <v>170</v>
      </c>
      <c r="C62" s="60"/>
      <c r="D62" s="16"/>
      <c r="E62" s="17">
        <v>72</v>
      </c>
      <c r="F62" s="17">
        <v>57</v>
      </c>
      <c r="G62" s="17">
        <v>50</v>
      </c>
      <c r="H62" s="17"/>
      <c r="I62" s="17"/>
      <c r="J62" s="17"/>
      <c r="K62" s="17"/>
      <c r="L62" s="17"/>
      <c r="M62" s="17"/>
      <c r="N62" s="17"/>
      <c r="O62" s="18">
        <f t="shared" si="1"/>
        <v>179</v>
      </c>
      <c r="P62" s="26"/>
    </row>
    <row r="63" spans="1:16" ht="18" customHeight="1">
      <c r="A63" s="14" t="s">
        <v>171</v>
      </c>
      <c r="B63" s="60" t="s">
        <v>172</v>
      </c>
      <c r="C63" s="60"/>
      <c r="D63" s="45"/>
      <c r="E63" s="25"/>
      <c r="F63" s="25"/>
      <c r="G63" s="25">
        <v>56</v>
      </c>
      <c r="H63" s="25">
        <v>80</v>
      </c>
      <c r="I63" s="25">
        <v>69</v>
      </c>
      <c r="J63" s="25"/>
      <c r="K63" s="25"/>
      <c r="L63" s="25"/>
      <c r="M63" s="25"/>
      <c r="N63" s="25"/>
      <c r="O63" s="18">
        <f t="shared" si="1"/>
        <v>205</v>
      </c>
      <c r="P63" s="26"/>
    </row>
    <row r="64" spans="1:16" ht="18" customHeight="1">
      <c r="A64" s="14" t="s">
        <v>173</v>
      </c>
      <c r="B64" s="60" t="s">
        <v>174</v>
      </c>
      <c r="C64" s="60"/>
      <c r="D64" s="16"/>
      <c r="E64" s="17"/>
      <c r="F64" s="17"/>
      <c r="G64" s="17"/>
      <c r="H64" s="17"/>
      <c r="I64" s="17"/>
      <c r="J64" s="17">
        <v>54</v>
      </c>
      <c r="K64" s="17">
        <v>48</v>
      </c>
      <c r="L64" s="17">
        <v>37</v>
      </c>
      <c r="M64" s="17">
        <v>45</v>
      </c>
      <c r="N64" s="17"/>
      <c r="O64" s="18">
        <f t="shared" si="1"/>
        <v>184</v>
      </c>
      <c r="P64" s="26"/>
    </row>
    <row r="65" spans="1:16" ht="18" customHeight="1">
      <c r="A65" s="14" t="s">
        <v>175</v>
      </c>
      <c r="B65" s="60" t="s">
        <v>176</v>
      </c>
      <c r="C65" s="60"/>
      <c r="D65" s="16"/>
      <c r="E65" s="17"/>
      <c r="F65" s="17"/>
      <c r="G65" s="17"/>
      <c r="H65" s="17"/>
      <c r="I65" s="17"/>
      <c r="J65" s="17"/>
      <c r="K65" s="17"/>
      <c r="L65" s="17"/>
      <c r="M65" s="17"/>
      <c r="N65" s="17">
        <v>1</v>
      </c>
      <c r="O65" s="18">
        <f t="shared" si="1"/>
        <v>1</v>
      </c>
      <c r="P65" s="26"/>
    </row>
    <row r="66" spans="1:16" ht="18" customHeight="1">
      <c r="A66" s="14" t="s">
        <v>177</v>
      </c>
      <c r="B66" s="24" t="s">
        <v>178</v>
      </c>
      <c r="C66" s="24"/>
      <c r="D66" s="45" t="s">
        <v>346</v>
      </c>
      <c r="E66" s="18">
        <f>E67+E68+E69+E70</f>
        <v>738</v>
      </c>
      <c r="F66" s="18">
        <f t="shared" ref="F66:N66" si="44">F67+F68+F69+F70</f>
        <v>666</v>
      </c>
      <c r="G66" s="18">
        <f t="shared" si="44"/>
        <v>1262</v>
      </c>
      <c r="H66" s="18">
        <f t="shared" si="44"/>
        <v>1116</v>
      </c>
      <c r="I66" s="18">
        <f t="shared" si="44"/>
        <v>1075</v>
      </c>
      <c r="J66" s="18">
        <f t="shared" si="44"/>
        <v>480</v>
      </c>
      <c r="K66" s="18">
        <f t="shared" si="44"/>
        <v>378</v>
      </c>
      <c r="L66" s="18">
        <f t="shared" si="44"/>
        <v>299</v>
      </c>
      <c r="M66" s="18">
        <f t="shared" si="44"/>
        <v>400</v>
      </c>
      <c r="N66" s="18">
        <f t="shared" si="44"/>
        <v>0</v>
      </c>
      <c r="O66" s="18">
        <f t="shared" si="1"/>
        <v>6414</v>
      </c>
      <c r="P66" s="26"/>
    </row>
    <row r="67" spans="1:16" ht="18" customHeight="1">
      <c r="A67" s="14" t="s">
        <v>180</v>
      </c>
      <c r="B67" s="60" t="s">
        <v>170</v>
      </c>
      <c r="C67" s="60"/>
      <c r="D67" s="16"/>
      <c r="E67" s="17">
        <v>738</v>
      </c>
      <c r="F67" s="17">
        <v>666</v>
      </c>
      <c r="G67" s="17">
        <v>527</v>
      </c>
      <c r="H67" s="17"/>
      <c r="I67" s="17"/>
      <c r="J67" s="17"/>
      <c r="K67" s="17"/>
      <c r="L67" s="17"/>
      <c r="M67" s="17"/>
      <c r="N67" s="17"/>
      <c r="O67" s="18">
        <f t="shared" ref="O67:O73" si="45">SUM(E67:N67)</f>
        <v>1931</v>
      </c>
      <c r="P67" s="26"/>
    </row>
    <row r="68" spans="1:16" ht="18" customHeight="1">
      <c r="A68" s="14" t="s">
        <v>181</v>
      </c>
      <c r="B68" s="60" t="s">
        <v>172</v>
      </c>
      <c r="C68" s="60"/>
      <c r="D68" s="45"/>
      <c r="E68" s="25"/>
      <c r="F68" s="25"/>
      <c r="G68" s="25">
        <v>735</v>
      </c>
      <c r="H68" s="25">
        <v>1116</v>
      </c>
      <c r="I68" s="25">
        <v>1075</v>
      </c>
      <c r="J68" s="25"/>
      <c r="K68" s="25"/>
      <c r="L68" s="25"/>
      <c r="M68" s="25"/>
      <c r="N68" s="25"/>
      <c r="O68" s="18">
        <f t="shared" si="45"/>
        <v>2926</v>
      </c>
      <c r="P68" s="26"/>
    </row>
    <row r="69" spans="1:16" ht="18" customHeight="1">
      <c r="A69" s="14" t="s">
        <v>182</v>
      </c>
      <c r="B69" s="60" t="s">
        <v>174</v>
      </c>
      <c r="C69" s="60"/>
      <c r="D69" s="16"/>
      <c r="E69" s="17"/>
      <c r="F69" s="17"/>
      <c r="G69" s="17"/>
      <c r="H69" s="17"/>
      <c r="I69" s="17"/>
      <c r="J69" s="17">
        <v>480</v>
      </c>
      <c r="K69" s="17">
        <v>378</v>
      </c>
      <c r="L69" s="17">
        <v>299</v>
      </c>
      <c r="M69" s="17">
        <v>400</v>
      </c>
      <c r="N69" s="17"/>
      <c r="O69" s="18">
        <f t="shared" si="45"/>
        <v>1557</v>
      </c>
      <c r="P69" s="26"/>
    </row>
    <row r="70" spans="1:16" ht="18" customHeight="1">
      <c r="A70" s="14" t="s">
        <v>183</v>
      </c>
      <c r="B70" s="60" t="s">
        <v>176</v>
      </c>
      <c r="C70" s="60"/>
      <c r="D70" s="16"/>
      <c r="E70" s="17"/>
      <c r="F70" s="17"/>
      <c r="G70" s="17"/>
      <c r="H70" s="17"/>
      <c r="I70" s="17"/>
      <c r="J70" s="17"/>
      <c r="K70" s="17"/>
      <c r="L70" s="17"/>
      <c r="M70" s="17"/>
      <c r="N70" s="17"/>
      <c r="O70" s="18">
        <f t="shared" si="45"/>
        <v>0</v>
      </c>
      <c r="P70" s="26"/>
    </row>
    <row r="71" spans="1:16" ht="18" customHeight="1">
      <c r="A71" s="14" t="s">
        <v>184</v>
      </c>
      <c r="B71" s="24" t="s">
        <v>347</v>
      </c>
      <c r="C71" s="24"/>
      <c r="D71" s="45"/>
      <c r="E71" s="25">
        <v>76</v>
      </c>
      <c r="F71" s="25">
        <v>39</v>
      </c>
      <c r="G71" s="25">
        <v>37</v>
      </c>
      <c r="H71" s="25">
        <v>115</v>
      </c>
      <c r="I71" s="25">
        <v>34</v>
      </c>
      <c r="J71" s="25">
        <v>22</v>
      </c>
      <c r="K71" s="25">
        <v>8</v>
      </c>
      <c r="L71" s="25">
        <v>12</v>
      </c>
      <c r="M71" s="25">
        <v>8</v>
      </c>
      <c r="N71" s="25"/>
      <c r="O71" s="18">
        <f t="shared" si="45"/>
        <v>351</v>
      </c>
      <c r="P71" s="26"/>
    </row>
    <row r="72" spans="1:16" ht="18" customHeight="1">
      <c r="A72" s="14" t="s">
        <v>186</v>
      </c>
      <c r="B72" s="60" t="s">
        <v>348</v>
      </c>
      <c r="C72" s="60"/>
      <c r="D72" s="27"/>
      <c r="E72" s="25">
        <v>11571.75</v>
      </c>
      <c r="F72" s="25">
        <v>12080.05</v>
      </c>
      <c r="G72" s="25">
        <v>19243.82</v>
      </c>
      <c r="H72" s="25">
        <v>13514.56</v>
      </c>
      <c r="I72" s="25">
        <v>11976.01</v>
      </c>
      <c r="J72" s="25">
        <v>12231.55</v>
      </c>
      <c r="K72" s="25">
        <v>5768.05</v>
      </c>
      <c r="L72" s="25">
        <v>2786.18</v>
      </c>
      <c r="M72" s="25">
        <v>6511.75</v>
      </c>
      <c r="N72" s="25">
        <v>4307</v>
      </c>
      <c r="O72" s="18">
        <f t="shared" si="45"/>
        <v>99990.719999999987</v>
      </c>
      <c r="P72" s="26"/>
    </row>
    <row r="73" spans="1:16" ht="18" customHeight="1">
      <c r="A73" s="14" t="s">
        <v>188</v>
      </c>
      <c r="B73" s="60" t="s">
        <v>349</v>
      </c>
      <c r="C73" s="60"/>
      <c r="D73" s="27"/>
      <c r="E73" s="25">
        <v>3837.5</v>
      </c>
      <c r="F73" s="25">
        <v>6113.2</v>
      </c>
      <c r="G73" s="25">
        <v>8901.7999999999993</v>
      </c>
      <c r="H73" s="25">
        <v>7968</v>
      </c>
      <c r="I73" s="25">
        <v>3363</v>
      </c>
      <c r="J73" s="25">
        <v>3780</v>
      </c>
      <c r="K73" s="25">
        <v>2983.5</v>
      </c>
      <c r="L73" s="25">
        <v>716</v>
      </c>
      <c r="M73" s="25">
        <v>3529</v>
      </c>
      <c r="N73" s="25">
        <v>280</v>
      </c>
      <c r="O73" s="18">
        <f t="shared" si="45"/>
        <v>41472</v>
      </c>
      <c r="P73" s="26"/>
    </row>
    <row r="74" spans="1:16">
      <c r="E74" s="19">
        <f t="shared" ref="E74:K74" si="46">E4/E61</f>
        <v>400529.24777777778</v>
      </c>
      <c r="F74" s="19">
        <f t="shared" si="46"/>
        <v>387518.69824561407</v>
      </c>
      <c r="G74" s="19">
        <f t="shared" si="46"/>
        <v>396278.7290566038</v>
      </c>
      <c r="H74" s="19">
        <f t="shared" si="46"/>
        <v>380465.42700000003</v>
      </c>
      <c r="I74" s="19">
        <f t="shared" si="46"/>
        <v>388342.94724637677</v>
      </c>
      <c r="J74" s="19">
        <f t="shared" si="46"/>
        <v>337937.43481481483</v>
      </c>
      <c r="K74" s="19">
        <f t="shared" si="46"/>
        <v>343454.79499999998</v>
      </c>
      <c r="L74" s="19">
        <f>L4/L61</f>
        <v>338632.10162162164</v>
      </c>
      <c r="M74" s="19">
        <f>M4/M61</f>
        <v>343059.12355555559</v>
      </c>
      <c r="N74" s="19">
        <f>N4/N61</f>
        <v>437670.88</v>
      </c>
      <c r="O74" s="19">
        <f>O4/O61</f>
        <v>374875.72105448152</v>
      </c>
    </row>
  </sheetData>
  <protectedRanges>
    <protectedRange password="E9C1" sqref="D29 C30 A4:D5 B6:D28 B31:D73 O4:P73 A6:A73 A2:P3" name="区域1_1"/>
    <protectedRange password="E9C1" sqref="B29:C29 B30" name="区域1_1_1"/>
    <protectedRange password="E9C1" sqref="D30" name="区域1_2"/>
  </protectedRanges>
  <mergeCells count="1">
    <mergeCell ref="A1:P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8" orientation="landscape" r:id="rId1"/>
  <headerFooter>
    <oddFooter>第 &amp;P 页，共 &amp;N 页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dimension ref="A1:H16"/>
  <sheetViews>
    <sheetView tabSelected="1" workbookViewId="0">
      <selection activeCell="C14" sqref="C14"/>
    </sheetView>
  </sheetViews>
  <sheetFormatPr defaultColWidth="9" defaultRowHeight="13.5"/>
  <cols>
    <col min="1" max="1" width="10.625" style="425" customWidth="1"/>
    <col min="2" max="2" width="30.625" style="436" customWidth="1"/>
    <col min="3" max="3" width="30.625" style="425" customWidth="1"/>
    <col min="4" max="4" width="20.5" style="425" bestFit="1" customWidth="1"/>
    <col min="5" max="5" width="18.625" style="425" hidden="1" customWidth="1"/>
    <col min="6" max="6" width="18.375" style="425" bestFit="1" customWidth="1"/>
    <col min="7" max="7" width="14.375" style="425" hidden="1" customWidth="1"/>
    <col min="8" max="8" width="14.25" style="425" hidden="1" customWidth="1"/>
    <col min="9" max="252" width="9" style="425"/>
    <col min="253" max="253" width="6.625" style="425" customWidth="1"/>
    <col min="254" max="255" width="21.625" style="425" customWidth="1"/>
    <col min="256" max="256" width="16.125" style="425" bestFit="1" customWidth="1"/>
    <col min="257" max="257" width="13.875" style="425" bestFit="1" customWidth="1"/>
    <col min="258" max="258" width="17.25" style="425" bestFit="1" customWidth="1"/>
    <col min="259" max="260" width="20.5" style="425" bestFit="1" customWidth="1"/>
    <col min="261" max="261" width="0" style="425" hidden="1" customWidth="1"/>
    <col min="262" max="262" width="18.375" style="425" bestFit="1" customWidth="1"/>
    <col min="263" max="264" width="0" style="425" hidden="1" customWidth="1"/>
    <col min="265" max="508" width="9" style="425"/>
    <col min="509" max="509" width="6.625" style="425" customWidth="1"/>
    <col min="510" max="511" width="21.625" style="425" customWidth="1"/>
    <col min="512" max="512" width="16.125" style="425" bestFit="1" customWidth="1"/>
    <col min="513" max="513" width="13.875" style="425" bestFit="1" customWidth="1"/>
    <col min="514" max="514" width="17.25" style="425" bestFit="1" customWidth="1"/>
    <col min="515" max="516" width="20.5" style="425" bestFit="1" customWidth="1"/>
    <col min="517" max="517" width="0" style="425" hidden="1" customWidth="1"/>
    <col min="518" max="518" width="18.375" style="425" bestFit="1" customWidth="1"/>
    <col min="519" max="520" width="0" style="425" hidden="1" customWidth="1"/>
    <col min="521" max="764" width="9" style="425"/>
    <col min="765" max="765" width="6.625" style="425" customWidth="1"/>
    <col min="766" max="767" width="21.625" style="425" customWidth="1"/>
    <col min="768" max="768" width="16.125" style="425" bestFit="1" customWidth="1"/>
    <col min="769" max="769" width="13.875" style="425" bestFit="1" customWidth="1"/>
    <col min="770" max="770" width="17.25" style="425" bestFit="1" customWidth="1"/>
    <col min="771" max="772" width="20.5" style="425" bestFit="1" customWidth="1"/>
    <col min="773" max="773" width="0" style="425" hidden="1" customWidth="1"/>
    <col min="774" max="774" width="18.375" style="425" bestFit="1" customWidth="1"/>
    <col min="775" max="776" width="0" style="425" hidden="1" customWidth="1"/>
    <col min="777" max="1020" width="9" style="425"/>
    <col min="1021" max="1021" width="6.625" style="425" customWidth="1"/>
    <col min="1022" max="1023" width="21.625" style="425" customWidth="1"/>
    <col min="1024" max="1024" width="16.125" style="425" bestFit="1" customWidth="1"/>
    <col min="1025" max="1025" width="13.875" style="425" bestFit="1" customWidth="1"/>
    <col min="1026" max="1026" width="17.25" style="425" bestFit="1" customWidth="1"/>
    <col min="1027" max="1028" width="20.5" style="425" bestFit="1" customWidth="1"/>
    <col min="1029" max="1029" width="0" style="425" hidden="1" customWidth="1"/>
    <col min="1030" max="1030" width="18.375" style="425" bestFit="1" customWidth="1"/>
    <col min="1031" max="1032" width="0" style="425" hidden="1" customWidth="1"/>
    <col min="1033" max="1276" width="9" style="425"/>
    <col min="1277" max="1277" width="6.625" style="425" customWidth="1"/>
    <col min="1278" max="1279" width="21.625" style="425" customWidth="1"/>
    <col min="1280" max="1280" width="16.125" style="425" bestFit="1" customWidth="1"/>
    <col min="1281" max="1281" width="13.875" style="425" bestFit="1" customWidth="1"/>
    <col min="1282" max="1282" width="17.25" style="425" bestFit="1" customWidth="1"/>
    <col min="1283" max="1284" width="20.5" style="425" bestFit="1" customWidth="1"/>
    <col min="1285" max="1285" width="0" style="425" hidden="1" customWidth="1"/>
    <col min="1286" max="1286" width="18.375" style="425" bestFit="1" customWidth="1"/>
    <col min="1287" max="1288" width="0" style="425" hidden="1" customWidth="1"/>
    <col min="1289" max="1532" width="9" style="425"/>
    <col min="1533" max="1533" width="6.625" style="425" customWidth="1"/>
    <col min="1534" max="1535" width="21.625" style="425" customWidth="1"/>
    <col min="1536" max="1536" width="16.125" style="425" bestFit="1" customWidth="1"/>
    <col min="1537" max="1537" width="13.875" style="425" bestFit="1" customWidth="1"/>
    <col min="1538" max="1538" width="17.25" style="425" bestFit="1" customWidth="1"/>
    <col min="1539" max="1540" width="20.5" style="425" bestFit="1" customWidth="1"/>
    <col min="1541" max="1541" width="0" style="425" hidden="1" customWidth="1"/>
    <col min="1542" max="1542" width="18.375" style="425" bestFit="1" customWidth="1"/>
    <col min="1543" max="1544" width="0" style="425" hidden="1" customWidth="1"/>
    <col min="1545" max="1788" width="9" style="425"/>
    <col min="1789" max="1789" width="6.625" style="425" customWidth="1"/>
    <col min="1790" max="1791" width="21.625" style="425" customWidth="1"/>
    <col min="1792" max="1792" width="16.125" style="425" bestFit="1" customWidth="1"/>
    <col min="1793" max="1793" width="13.875" style="425" bestFit="1" customWidth="1"/>
    <col min="1794" max="1794" width="17.25" style="425" bestFit="1" customWidth="1"/>
    <col min="1795" max="1796" width="20.5" style="425" bestFit="1" customWidth="1"/>
    <col min="1797" max="1797" width="0" style="425" hidden="1" customWidth="1"/>
    <col min="1798" max="1798" width="18.375" style="425" bestFit="1" customWidth="1"/>
    <col min="1799" max="1800" width="0" style="425" hidden="1" customWidth="1"/>
    <col min="1801" max="2044" width="9" style="425"/>
    <col min="2045" max="2045" width="6.625" style="425" customWidth="1"/>
    <col min="2046" max="2047" width="21.625" style="425" customWidth="1"/>
    <col min="2048" max="2048" width="16.125" style="425" bestFit="1" customWidth="1"/>
    <col min="2049" max="2049" width="13.875" style="425" bestFit="1" customWidth="1"/>
    <col min="2050" max="2050" width="17.25" style="425" bestFit="1" customWidth="1"/>
    <col min="2051" max="2052" width="20.5" style="425" bestFit="1" customWidth="1"/>
    <col min="2053" max="2053" width="0" style="425" hidden="1" customWidth="1"/>
    <col min="2054" max="2054" width="18.375" style="425" bestFit="1" customWidth="1"/>
    <col min="2055" max="2056" width="0" style="425" hidden="1" customWidth="1"/>
    <col min="2057" max="2300" width="9" style="425"/>
    <col min="2301" max="2301" width="6.625" style="425" customWidth="1"/>
    <col min="2302" max="2303" width="21.625" style="425" customWidth="1"/>
    <col min="2304" max="2304" width="16.125" style="425" bestFit="1" customWidth="1"/>
    <col min="2305" max="2305" width="13.875" style="425" bestFit="1" customWidth="1"/>
    <col min="2306" max="2306" width="17.25" style="425" bestFit="1" customWidth="1"/>
    <col min="2307" max="2308" width="20.5" style="425" bestFit="1" customWidth="1"/>
    <col min="2309" max="2309" width="0" style="425" hidden="1" customWidth="1"/>
    <col min="2310" max="2310" width="18.375" style="425" bestFit="1" customWidth="1"/>
    <col min="2311" max="2312" width="0" style="425" hidden="1" customWidth="1"/>
    <col min="2313" max="2556" width="9" style="425"/>
    <col min="2557" max="2557" width="6.625" style="425" customWidth="1"/>
    <col min="2558" max="2559" width="21.625" style="425" customWidth="1"/>
    <col min="2560" max="2560" width="16.125" style="425" bestFit="1" customWidth="1"/>
    <col min="2561" max="2561" width="13.875" style="425" bestFit="1" customWidth="1"/>
    <col min="2562" max="2562" width="17.25" style="425" bestFit="1" customWidth="1"/>
    <col min="2563" max="2564" width="20.5" style="425" bestFit="1" customWidth="1"/>
    <col min="2565" max="2565" width="0" style="425" hidden="1" customWidth="1"/>
    <col min="2566" max="2566" width="18.375" style="425" bestFit="1" customWidth="1"/>
    <col min="2567" max="2568" width="0" style="425" hidden="1" customWidth="1"/>
    <col min="2569" max="2812" width="9" style="425"/>
    <col min="2813" max="2813" width="6.625" style="425" customWidth="1"/>
    <col min="2814" max="2815" width="21.625" style="425" customWidth="1"/>
    <col min="2816" max="2816" width="16.125" style="425" bestFit="1" customWidth="1"/>
    <col min="2817" max="2817" width="13.875" style="425" bestFit="1" customWidth="1"/>
    <col min="2818" max="2818" width="17.25" style="425" bestFit="1" customWidth="1"/>
    <col min="2819" max="2820" width="20.5" style="425" bestFit="1" customWidth="1"/>
    <col min="2821" max="2821" width="0" style="425" hidden="1" customWidth="1"/>
    <col min="2822" max="2822" width="18.375" style="425" bestFit="1" customWidth="1"/>
    <col min="2823" max="2824" width="0" style="425" hidden="1" customWidth="1"/>
    <col min="2825" max="3068" width="9" style="425"/>
    <col min="3069" max="3069" width="6.625" style="425" customWidth="1"/>
    <col min="3070" max="3071" width="21.625" style="425" customWidth="1"/>
    <col min="3072" max="3072" width="16.125" style="425" bestFit="1" customWidth="1"/>
    <col min="3073" max="3073" width="13.875" style="425" bestFit="1" customWidth="1"/>
    <col min="3074" max="3074" width="17.25" style="425" bestFit="1" customWidth="1"/>
    <col min="3075" max="3076" width="20.5" style="425" bestFit="1" customWidth="1"/>
    <col min="3077" max="3077" width="0" style="425" hidden="1" customWidth="1"/>
    <col min="3078" max="3078" width="18.375" style="425" bestFit="1" customWidth="1"/>
    <col min="3079" max="3080" width="0" style="425" hidden="1" customWidth="1"/>
    <col min="3081" max="3324" width="9" style="425"/>
    <col min="3325" max="3325" width="6.625" style="425" customWidth="1"/>
    <col min="3326" max="3327" width="21.625" style="425" customWidth="1"/>
    <col min="3328" max="3328" width="16.125" style="425" bestFit="1" customWidth="1"/>
    <col min="3329" max="3329" width="13.875" style="425" bestFit="1" customWidth="1"/>
    <col min="3330" max="3330" width="17.25" style="425" bestFit="1" customWidth="1"/>
    <col min="3331" max="3332" width="20.5" style="425" bestFit="1" customWidth="1"/>
    <col min="3333" max="3333" width="0" style="425" hidden="1" customWidth="1"/>
    <col min="3334" max="3334" width="18.375" style="425" bestFit="1" customWidth="1"/>
    <col min="3335" max="3336" width="0" style="425" hidden="1" customWidth="1"/>
    <col min="3337" max="3580" width="9" style="425"/>
    <col min="3581" max="3581" width="6.625" style="425" customWidth="1"/>
    <col min="3582" max="3583" width="21.625" style="425" customWidth="1"/>
    <col min="3584" max="3584" width="16.125" style="425" bestFit="1" customWidth="1"/>
    <col min="3585" max="3585" width="13.875" style="425" bestFit="1" customWidth="1"/>
    <col min="3586" max="3586" width="17.25" style="425" bestFit="1" customWidth="1"/>
    <col min="3587" max="3588" width="20.5" style="425" bestFit="1" customWidth="1"/>
    <col min="3589" max="3589" width="0" style="425" hidden="1" customWidth="1"/>
    <col min="3590" max="3590" width="18.375" style="425" bestFit="1" customWidth="1"/>
    <col min="3591" max="3592" width="0" style="425" hidden="1" customWidth="1"/>
    <col min="3593" max="3836" width="9" style="425"/>
    <col min="3837" max="3837" width="6.625" style="425" customWidth="1"/>
    <col min="3838" max="3839" width="21.625" style="425" customWidth="1"/>
    <col min="3840" max="3840" width="16.125" style="425" bestFit="1" customWidth="1"/>
    <col min="3841" max="3841" width="13.875" style="425" bestFit="1" customWidth="1"/>
    <col min="3842" max="3842" width="17.25" style="425" bestFit="1" customWidth="1"/>
    <col min="3843" max="3844" width="20.5" style="425" bestFit="1" customWidth="1"/>
    <col min="3845" max="3845" width="0" style="425" hidden="1" customWidth="1"/>
    <col min="3846" max="3846" width="18.375" style="425" bestFit="1" customWidth="1"/>
    <col min="3847" max="3848" width="0" style="425" hidden="1" customWidth="1"/>
    <col min="3849" max="4092" width="9" style="425"/>
    <col min="4093" max="4093" width="6.625" style="425" customWidth="1"/>
    <col min="4094" max="4095" width="21.625" style="425" customWidth="1"/>
    <col min="4096" max="4096" width="16.125" style="425" bestFit="1" customWidth="1"/>
    <col min="4097" max="4097" width="13.875" style="425" bestFit="1" customWidth="1"/>
    <col min="4098" max="4098" width="17.25" style="425" bestFit="1" customWidth="1"/>
    <col min="4099" max="4100" width="20.5" style="425" bestFit="1" customWidth="1"/>
    <col min="4101" max="4101" width="0" style="425" hidden="1" customWidth="1"/>
    <col min="4102" max="4102" width="18.375" style="425" bestFit="1" customWidth="1"/>
    <col min="4103" max="4104" width="0" style="425" hidden="1" customWidth="1"/>
    <col min="4105" max="4348" width="9" style="425"/>
    <col min="4349" max="4349" width="6.625" style="425" customWidth="1"/>
    <col min="4350" max="4351" width="21.625" style="425" customWidth="1"/>
    <col min="4352" max="4352" width="16.125" style="425" bestFit="1" customWidth="1"/>
    <col min="4353" max="4353" width="13.875" style="425" bestFit="1" customWidth="1"/>
    <col min="4354" max="4354" width="17.25" style="425" bestFit="1" customWidth="1"/>
    <col min="4355" max="4356" width="20.5" style="425" bestFit="1" customWidth="1"/>
    <col min="4357" max="4357" width="0" style="425" hidden="1" customWidth="1"/>
    <col min="4358" max="4358" width="18.375" style="425" bestFit="1" customWidth="1"/>
    <col min="4359" max="4360" width="0" style="425" hidden="1" customWidth="1"/>
    <col min="4361" max="4604" width="9" style="425"/>
    <col min="4605" max="4605" width="6.625" style="425" customWidth="1"/>
    <col min="4606" max="4607" width="21.625" style="425" customWidth="1"/>
    <col min="4608" max="4608" width="16.125" style="425" bestFit="1" customWidth="1"/>
    <col min="4609" max="4609" width="13.875" style="425" bestFit="1" customWidth="1"/>
    <col min="4610" max="4610" width="17.25" style="425" bestFit="1" customWidth="1"/>
    <col min="4611" max="4612" width="20.5" style="425" bestFit="1" customWidth="1"/>
    <col min="4613" max="4613" width="0" style="425" hidden="1" customWidth="1"/>
    <col min="4614" max="4614" width="18.375" style="425" bestFit="1" customWidth="1"/>
    <col min="4615" max="4616" width="0" style="425" hidden="1" customWidth="1"/>
    <col min="4617" max="4860" width="9" style="425"/>
    <col min="4861" max="4861" width="6.625" style="425" customWidth="1"/>
    <col min="4862" max="4863" width="21.625" style="425" customWidth="1"/>
    <col min="4864" max="4864" width="16.125" style="425" bestFit="1" customWidth="1"/>
    <col min="4865" max="4865" width="13.875" style="425" bestFit="1" customWidth="1"/>
    <col min="4866" max="4866" width="17.25" style="425" bestFit="1" customWidth="1"/>
    <col min="4867" max="4868" width="20.5" style="425" bestFit="1" customWidth="1"/>
    <col min="4869" max="4869" width="0" style="425" hidden="1" customWidth="1"/>
    <col min="4870" max="4870" width="18.375" style="425" bestFit="1" customWidth="1"/>
    <col min="4871" max="4872" width="0" style="425" hidden="1" customWidth="1"/>
    <col min="4873" max="5116" width="9" style="425"/>
    <col min="5117" max="5117" width="6.625" style="425" customWidth="1"/>
    <col min="5118" max="5119" width="21.625" style="425" customWidth="1"/>
    <col min="5120" max="5120" width="16.125" style="425" bestFit="1" customWidth="1"/>
    <col min="5121" max="5121" width="13.875" style="425" bestFit="1" customWidth="1"/>
    <col min="5122" max="5122" width="17.25" style="425" bestFit="1" customWidth="1"/>
    <col min="5123" max="5124" width="20.5" style="425" bestFit="1" customWidth="1"/>
    <col min="5125" max="5125" width="0" style="425" hidden="1" customWidth="1"/>
    <col min="5126" max="5126" width="18.375" style="425" bestFit="1" customWidth="1"/>
    <col min="5127" max="5128" width="0" style="425" hidden="1" customWidth="1"/>
    <col min="5129" max="5372" width="9" style="425"/>
    <col min="5373" max="5373" width="6.625" style="425" customWidth="1"/>
    <col min="5374" max="5375" width="21.625" style="425" customWidth="1"/>
    <col min="5376" max="5376" width="16.125" style="425" bestFit="1" customWidth="1"/>
    <col min="5377" max="5377" width="13.875" style="425" bestFit="1" customWidth="1"/>
    <col min="5378" max="5378" width="17.25" style="425" bestFit="1" customWidth="1"/>
    <col min="5379" max="5380" width="20.5" style="425" bestFit="1" customWidth="1"/>
    <col min="5381" max="5381" width="0" style="425" hidden="1" customWidth="1"/>
    <col min="5382" max="5382" width="18.375" style="425" bestFit="1" customWidth="1"/>
    <col min="5383" max="5384" width="0" style="425" hidden="1" customWidth="1"/>
    <col min="5385" max="5628" width="9" style="425"/>
    <col min="5629" max="5629" width="6.625" style="425" customWidth="1"/>
    <col min="5630" max="5631" width="21.625" style="425" customWidth="1"/>
    <col min="5632" max="5632" width="16.125" style="425" bestFit="1" customWidth="1"/>
    <col min="5633" max="5633" width="13.875" style="425" bestFit="1" customWidth="1"/>
    <col min="5634" max="5634" width="17.25" style="425" bestFit="1" customWidth="1"/>
    <col min="5635" max="5636" width="20.5" style="425" bestFit="1" customWidth="1"/>
    <col min="5637" max="5637" width="0" style="425" hidden="1" customWidth="1"/>
    <col min="5638" max="5638" width="18.375" style="425" bestFit="1" customWidth="1"/>
    <col min="5639" max="5640" width="0" style="425" hidden="1" customWidth="1"/>
    <col min="5641" max="5884" width="9" style="425"/>
    <col min="5885" max="5885" width="6.625" style="425" customWidth="1"/>
    <col min="5886" max="5887" width="21.625" style="425" customWidth="1"/>
    <col min="5888" max="5888" width="16.125" style="425" bestFit="1" customWidth="1"/>
    <col min="5889" max="5889" width="13.875" style="425" bestFit="1" customWidth="1"/>
    <col min="5890" max="5890" width="17.25" style="425" bestFit="1" customWidth="1"/>
    <col min="5891" max="5892" width="20.5" style="425" bestFit="1" customWidth="1"/>
    <col min="5893" max="5893" width="0" style="425" hidden="1" customWidth="1"/>
    <col min="5894" max="5894" width="18.375" style="425" bestFit="1" customWidth="1"/>
    <col min="5895" max="5896" width="0" style="425" hidden="1" customWidth="1"/>
    <col min="5897" max="6140" width="9" style="425"/>
    <col min="6141" max="6141" width="6.625" style="425" customWidth="1"/>
    <col min="6142" max="6143" width="21.625" style="425" customWidth="1"/>
    <col min="6144" max="6144" width="16.125" style="425" bestFit="1" customWidth="1"/>
    <col min="6145" max="6145" width="13.875" style="425" bestFit="1" customWidth="1"/>
    <col min="6146" max="6146" width="17.25" style="425" bestFit="1" customWidth="1"/>
    <col min="6147" max="6148" width="20.5" style="425" bestFit="1" customWidth="1"/>
    <col min="6149" max="6149" width="0" style="425" hidden="1" customWidth="1"/>
    <col min="6150" max="6150" width="18.375" style="425" bestFit="1" customWidth="1"/>
    <col min="6151" max="6152" width="0" style="425" hidden="1" customWidth="1"/>
    <col min="6153" max="6396" width="9" style="425"/>
    <col min="6397" max="6397" width="6.625" style="425" customWidth="1"/>
    <col min="6398" max="6399" width="21.625" style="425" customWidth="1"/>
    <col min="6400" max="6400" width="16.125" style="425" bestFit="1" customWidth="1"/>
    <col min="6401" max="6401" width="13.875" style="425" bestFit="1" customWidth="1"/>
    <col min="6402" max="6402" width="17.25" style="425" bestFit="1" customWidth="1"/>
    <col min="6403" max="6404" width="20.5" style="425" bestFit="1" customWidth="1"/>
    <col min="6405" max="6405" width="0" style="425" hidden="1" customWidth="1"/>
    <col min="6406" max="6406" width="18.375" style="425" bestFit="1" customWidth="1"/>
    <col min="6407" max="6408" width="0" style="425" hidden="1" customWidth="1"/>
    <col min="6409" max="6652" width="9" style="425"/>
    <col min="6653" max="6653" width="6.625" style="425" customWidth="1"/>
    <col min="6654" max="6655" width="21.625" style="425" customWidth="1"/>
    <col min="6656" max="6656" width="16.125" style="425" bestFit="1" customWidth="1"/>
    <col min="6657" max="6657" width="13.875" style="425" bestFit="1" customWidth="1"/>
    <col min="6658" max="6658" width="17.25" style="425" bestFit="1" customWidth="1"/>
    <col min="6659" max="6660" width="20.5" style="425" bestFit="1" customWidth="1"/>
    <col min="6661" max="6661" width="0" style="425" hidden="1" customWidth="1"/>
    <col min="6662" max="6662" width="18.375" style="425" bestFit="1" customWidth="1"/>
    <col min="6663" max="6664" width="0" style="425" hidden="1" customWidth="1"/>
    <col min="6665" max="6908" width="9" style="425"/>
    <col min="6909" max="6909" width="6.625" style="425" customWidth="1"/>
    <col min="6910" max="6911" width="21.625" style="425" customWidth="1"/>
    <col min="6912" max="6912" width="16.125" style="425" bestFit="1" customWidth="1"/>
    <col min="6913" max="6913" width="13.875" style="425" bestFit="1" customWidth="1"/>
    <col min="6914" max="6914" width="17.25" style="425" bestFit="1" customWidth="1"/>
    <col min="6915" max="6916" width="20.5" style="425" bestFit="1" customWidth="1"/>
    <col min="6917" max="6917" width="0" style="425" hidden="1" customWidth="1"/>
    <col min="6918" max="6918" width="18.375" style="425" bestFit="1" customWidth="1"/>
    <col min="6919" max="6920" width="0" style="425" hidden="1" customWidth="1"/>
    <col min="6921" max="7164" width="9" style="425"/>
    <col min="7165" max="7165" width="6.625" style="425" customWidth="1"/>
    <col min="7166" max="7167" width="21.625" style="425" customWidth="1"/>
    <col min="7168" max="7168" width="16.125" style="425" bestFit="1" customWidth="1"/>
    <col min="7169" max="7169" width="13.875" style="425" bestFit="1" customWidth="1"/>
    <col min="7170" max="7170" width="17.25" style="425" bestFit="1" customWidth="1"/>
    <col min="7171" max="7172" width="20.5" style="425" bestFit="1" customWidth="1"/>
    <col min="7173" max="7173" width="0" style="425" hidden="1" customWidth="1"/>
    <col min="7174" max="7174" width="18.375" style="425" bestFit="1" customWidth="1"/>
    <col min="7175" max="7176" width="0" style="425" hidden="1" customWidth="1"/>
    <col min="7177" max="7420" width="9" style="425"/>
    <col min="7421" max="7421" width="6.625" style="425" customWidth="1"/>
    <col min="7422" max="7423" width="21.625" style="425" customWidth="1"/>
    <col min="7424" max="7424" width="16.125" style="425" bestFit="1" customWidth="1"/>
    <col min="7425" max="7425" width="13.875" style="425" bestFit="1" customWidth="1"/>
    <col min="7426" max="7426" width="17.25" style="425" bestFit="1" customWidth="1"/>
    <col min="7427" max="7428" width="20.5" style="425" bestFit="1" customWidth="1"/>
    <col min="7429" max="7429" width="0" style="425" hidden="1" customWidth="1"/>
    <col min="7430" max="7430" width="18.375" style="425" bestFit="1" customWidth="1"/>
    <col min="7431" max="7432" width="0" style="425" hidden="1" customWidth="1"/>
    <col min="7433" max="7676" width="9" style="425"/>
    <col min="7677" max="7677" width="6.625" style="425" customWidth="1"/>
    <col min="7678" max="7679" width="21.625" style="425" customWidth="1"/>
    <col min="7680" max="7680" width="16.125" style="425" bestFit="1" customWidth="1"/>
    <col min="7681" max="7681" width="13.875" style="425" bestFit="1" customWidth="1"/>
    <col min="7682" max="7682" width="17.25" style="425" bestFit="1" customWidth="1"/>
    <col min="7683" max="7684" width="20.5" style="425" bestFit="1" customWidth="1"/>
    <col min="7685" max="7685" width="0" style="425" hidden="1" customWidth="1"/>
    <col min="7686" max="7686" width="18.375" style="425" bestFit="1" customWidth="1"/>
    <col min="7687" max="7688" width="0" style="425" hidden="1" customWidth="1"/>
    <col min="7689" max="7932" width="9" style="425"/>
    <col min="7933" max="7933" width="6.625" style="425" customWidth="1"/>
    <col min="7934" max="7935" width="21.625" style="425" customWidth="1"/>
    <col min="7936" max="7936" width="16.125" style="425" bestFit="1" customWidth="1"/>
    <col min="7937" max="7937" width="13.875" style="425" bestFit="1" customWidth="1"/>
    <col min="7938" max="7938" width="17.25" style="425" bestFit="1" customWidth="1"/>
    <col min="7939" max="7940" width="20.5" style="425" bestFit="1" customWidth="1"/>
    <col min="7941" max="7941" width="0" style="425" hidden="1" customWidth="1"/>
    <col min="7942" max="7942" width="18.375" style="425" bestFit="1" customWidth="1"/>
    <col min="7943" max="7944" width="0" style="425" hidden="1" customWidth="1"/>
    <col min="7945" max="8188" width="9" style="425"/>
    <col min="8189" max="8189" width="6.625" style="425" customWidth="1"/>
    <col min="8190" max="8191" width="21.625" style="425" customWidth="1"/>
    <col min="8192" max="8192" width="16.125" style="425" bestFit="1" customWidth="1"/>
    <col min="8193" max="8193" width="13.875" style="425" bestFit="1" customWidth="1"/>
    <col min="8194" max="8194" width="17.25" style="425" bestFit="1" customWidth="1"/>
    <col min="8195" max="8196" width="20.5" style="425" bestFit="1" customWidth="1"/>
    <col min="8197" max="8197" width="0" style="425" hidden="1" customWidth="1"/>
    <col min="8198" max="8198" width="18.375" style="425" bestFit="1" customWidth="1"/>
    <col min="8199" max="8200" width="0" style="425" hidden="1" customWidth="1"/>
    <col min="8201" max="8444" width="9" style="425"/>
    <col min="8445" max="8445" width="6.625" style="425" customWidth="1"/>
    <col min="8446" max="8447" width="21.625" style="425" customWidth="1"/>
    <col min="8448" max="8448" width="16.125" style="425" bestFit="1" customWidth="1"/>
    <col min="8449" max="8449" width="13.875" style="425" bestFit="1" customWidth="1"/>
    <col min="8450" max="8450" width="17.25" style="425" bestFit="1" customWidth="1"/>
    <col min="8451" max="8452" width="20.5" style="425" bestFit="1" customWidth="1"/>
    <col min="8453" max="8453" width="0" style="425" hidden="1" customWidth="1"/>
    <col min="8454" max="8454" width="18.375" style="425" bestFit="1" customWidth="1"/>
    <col min="8455" max="8456" width="0" style="425" hidden="1" customWidth="1"/>
    <col min="8457" max="8700" width="9" style="425"/>
    <col min="8701" max="8701" width="6.625" style="425" customWidth="1"/>
    <col min="8702" max="8703" width="21.625" style="425" customWidth="1"/>
    <col min="8704" max="8704" width="16.125" style="425" bestFit="1" customWidth="1"/>
    <col min="8705" max="8705" width="13.875" style="425" bestFit="1" customWidth="1"/>
    <col min="8706" max="8706" width="17.25" style="425" bestFit="1" customWidth="1"/>
    <col min="8707" max="8708" width="20.5" style="425" bestFit="1" customWidth="1"/>
    <col min="8709" max="8709" width="0" style="425" hidden="1" customWidth="1"/>
    <col min="8710" max="8710" width="18.375" style="425" bestFit="1" customWidth="1"/>
    <col min="8711" max="8712" width="0" style="425" hidden="1" customWidth="1"/>
    <col min="8713" max="8956" width="9" style="425"/>
    <col min="8957" max="8957" width="6.625" style="425" customWidth="1"/>
    <col min="8958" max="8959" width="21.625" style="425" customWidth="1"/>
    <col min="8960" max="8960" width="16.125" style="425" bestFit="1" customWidth="1"/>
    <col min="8961" max="8961" width="13.875" style="425" bestFit="1" customWidth="1"/>
    <col min="8962" max="8962" width="17.25" style="425" bestFit="1" customWidth="1"/>
    <col min="8963" max="8964" width="20.5" style="425" bestFit="1" customWidth="1"/>
    <col min="8965" max="8965" width="0" style="425" hidden="1" customWidth="1"/>
    <col min="8966" max="8966" width="18.375" style="425" bestFit="1" customWidth="1"/>
    <col min="8967" max="8968" width="0" style="425" hidden="1" customWidth="1"/>
    <col min="8969" max="9212" width="9" style="425"/>
    <col min="9213" max="9213" width="6.625" style="425" customWidth="1"/>
    <col min="9214" max="9215" width="21.625" style="425" customWidth="1"/>
    <col min="9216" max="9216" width="16.125" style="425" bestFit="1" customWidth="1"/>
    <col min="9217" max="9217" width="13.875" style="425" bestFit="1" customWidth="1"/>
    <col min="9218" max="9218" width="17.25" style="425" bestFit="1" customWidth="1"/>
    <col min="9219" max="9220" width="20.5" style="425" bestFit="1" customWidth="1"/>
    <col min="9221" max="9221" width="0" style="425" hidden="1" customWidth="1"/>
    <col min="9222" max="9222" width="18.375" style="425" bestFit="1" customWidth="1"/>
    <col min="9223" max="9224" width="0" style="425" hidden="1" customWidth="1"/>
    <col min="9225" max="9468" width="9" style="425"/>
    <col min="9469" max="9469" width="6.625" style="425" customWidth="1"/>
    <col min="9470" max="9471" width="21.625" style="425" customWidth="1"/>
    <col min="9472" max="9472" width="16.125" style="425" bestFit="1" customWidth="1"/>
    <col min="9473" max="9473" width="13.875" style="425" bestFit="1" customWidth="1"/>
    <col min="9474" max="9474" width="17.25" style="425" bestFit="1" customWidth="1"/>
    <col min="9475" max="9476" width="20.5" style="425" bestFit="1" customWidth="1"/>
    <col min="9477" max="9477" width="0" style="425" hidden="1" customWidth="1"/>
    <col min="9478" max="9478" width="18.375" style="425" bestFit="1" customWidth="1"/>
    <col min="9479" max="9480" width="0" style="425" hidden="1" customWidth="1"/>
    <col min="9481" max="9724" width="9" style="425"/>
    <col min="9725" max="9725" width="6.625" style="425" customWidth="1"/>
    <col min="9726" max="9727" width="21.625" style="425" customWidth="1"/>
    <col min="9728" max="9728" width="16.125" style="425" bestFit="1" customWidth="1"/>
    <col min="9729" max="9729" width="13.875" style="425" bestFit="1" customWidth="1"/>
    <col min="9730" max="9730" width="17.25" style="425" bestFit="1" customWidth="1"/>
    <col min="9731" max="9732" width="20.5" style="425" bestFit="1" customWidth="1"/>
    <col min="9733" max="9733" width="0" style="425" hidden="1" customWidth="1"/>
    <col min="9734" max="9734" width="18.375" style="425" bestFit="1" customWidth="1"/>
    <col min="9735" max="9736" width="0" style="425" hidden="1" customWidth="1"/>
    <col min="9737" max="9980" width="9" style="425"/>
    <col min="9981" max="9981" width="6.625" style="425" customWidth="1"/>
    <col min="9982" max="9983" width="21.625" style="425" customWidth="1"/>
    <col min="9984" max="9984" width="16.125" style="425" bestFit="1" customWidth="1"/>
    <col min="9985" max="9985" width="13.875" style="425" bestFit="1" customWidth="1"/>
    <col min="9986" max="9986" width="17.25" style="425" bestFit="1" customWidth="1"/>
    <col min="9987" max="9988" width="20.5" style="425" bestFit="1" customWidth="1"/>
    <col min="9989" max="9989" width="0" style="425" hidden="1" customWidth="1"/>
    <col min="9990" max="9990" width="18.375" style="425" bestFit="1" customWidth="1"/>
    <col min="9991" max="9992" width="0" style="425" hidden="1" customWidth="1"/>
    <col min="9993" max="10236" width="9" style="425"/>
    <col min="10237" max="10237" width="6.625" style="425" customWidth="1"/>
    <col min="10238" max="10239" width="21.625" style="425" customWidth="1"/>
    <col min="10240" max="10240" width="16.125" style="425" bestFit="1" customWidth="1"/>
    <col min="10241" max="10241" width="13.875" style="425" bestFit="1" customWidth="1"/>
    <col min="10242" max="10242" width="17.25" style="425" bestFit="1" customWidth="1"/>
    <col min="10243" max="10244" width="20.5" style="425" bestFit="1" customWidth="1"/>
    <col min="10245" max="10245" width="0" style="425" hidden="1" customWidth="1"/>
    <col min="10246" max="10246" width="18.375" style="425" bestFit="1" customWidth="1"/>
    <col min="10247" max="10248" width="0" style="425" hidden="1" customWidth="1"/>
    <col min="10249" max="10492" width="9" style="425"/>
    <col min="10493" max="10493" width="6.625" style="425" customWidth="1"/>
    <col min="10494" max="10495" width="21.625" style="425" customWidth="1"/>
    <col min="10496" max="10496" width="16.125" style="425" bestFit="1" customWidth="1"/>
    <col min="10497" max="10497" width="13.875" style="425" bestFit="1" customWidth="1"/>
    <col min="10498" max="10498" width="17.25" style="425" bestFit="1" customWidth="1"/>
    <col min="10499" max="10500" width="20.5" style="425" bestFit="1" customWidth="1"/>
    <col min="10501" max="10501" width="0" style="425" hidden="1" customWidth="1"/>
    <col min="10502" max="10502" width="18.375" style="425" bestFit="1" customWidth="1"/>
    <col min="10503" max="10504" width="0" style="425" hidden="1" customWidth="1"/>
    <col min="10505" max="10748" width="9" style="425"/>
    <col min="10749" max="10749" width="6.625" style="425" customWidth="1"/>
    <col min="10750" max="10751" width="21.625" style="425" customWidth="1"/>
    <col min="10752" max="10752" width="16.125" style="425" bestFit="1" customWidth="1"/>
    <col min="10753" max="10753" width="13.875" style="425" bestFit="1" customWidth="1"/>
    <col min="10754" max="10754" width="17.25" style="425" bestFit="1" customWidth="1"/>
    <col min="10755" max="10756" width="20.5" style="425" bestFit="1" customWidth="1"/>
    <col min="10757" max="10757" width="0" style="425" hidden="1" customWidth="1"/>
    <col min="10758" max="10758" width="18.375" style="425" bestFit="1" customWidth="1"/>
    <col min="10759" max="10760" width="0" style="425" hidden="1" customWidth="1"/>
    <col min="10761" max="11004" width="9" style="425"/>
    <col min="11005" max="11005" width="6.625" style="425" customWidth="1"/>
    <col min="11006" max="11007" width="21.625" style="425" customWidth="1"/>
    <col min="11008" max="11008" width="16.125" style="425" bestFit="1" customWidth="1"/>
    <col min="11009" max="11009" width="13.875" style="425" bestFit="1" customWidth="1"/>
    <col min="11010" max="11010" width="17.25" style="425" bestFit="1" customWidth="1"/>
    <col min="11011" max="11012" width="20.5" style="425" bestFit="1" customWidth="1"/>
    <col min="11013" max="11013" width="0" style="425" hidden="1" customWidth="1"/>
    <col min="11014" max="11014" width="18.375" style="425" bestFit="1" customWidth="1"/>
    <col min="11015" max="11016" width="0" style="425" hidden="1" customWidth="1"/>
    <col min="11017" max="11260" width="9" style="425"/>
    <col min="11261" max="11261" width="6.625" style="425" customWidth="1"/>
    <col min="11262" max="11263" width="21.625" style="425" customWidth="1"/>
    <col min="11264" max="11264" width="16.125" style="425" bestFit="1" customWidth="1"/>
    <col min="11265" max="11265" width="13.875" style="425" bestFit="1" customWidth="1"/>
    <col min="11266" max="11266" width="17.25" style="425" bestFit="1" customWidth="1"/>
    <col min="11267" max="11268" width="20.5" style="425" bestFit="1" customWidth="1"/>
    <col min="11269" max="11269" width="0" style="425" hidden="1" customWidth="1"/>
    <col min="11270" max="11270" width="18.375" style="425" bestFit="1" customWidth="1"/>
    <col min="11271" max="11272" width="0" style="425" hidden="1" customWidth="1"/>
    <col min="11273" max="11516" width="9" style="425"/>
    <col min="11517" max="11517" width="6.625" style="425" customWidth="1"/>
    <col min="11518" max="11519" width="21.625" style="425" customWidth="1"/>
    <col min="11520" max="11520" width="16.125" style="425" bestFit="1" customWidth="1"/>
    <col min="11521" max="11521" width="13.875" style="425" bestFit="1" customWidth="1"/>
    <col min="11522" max="11522" width="17.25" style="425" bestFit="1" customWidth="1"/>
    <col min="11523" max="11524" width="20.5" style="425" bestFit="1" customWidth="1"/>
    <col min="11525" max="11525" width="0" style="425" hidden="1" customWidth="1"/>
    <col min="11526" max="11526" width="18.375" style="425" bestFit="1" customWidth="1"/>
    <col min="11527" max="11528" width="0" style="425" hidden="1" customWidth="1"/>
    <col min="11529" max="11772" width="9" style="425"/>
    <col min="11773" max="11773" width="6.625" style="425" customWidth="1"/>
    <col min="11774" max="11775" width="21.625" style="425" customWidth="1"/>
    <col min="11776" max="11776" width="16.125" style="425" bestFit="1" customWidth="1"/>
    <col min="11777" max="11777" width="13.875" style="425" bestFit="1" customWidth="1"/>
    <col min="11778" max="11778" width="17.25" style="425" bestFit="1" customWidth="1"/>
    <col min="11779" max="11780" width="20.5" style="425" bestFit="1" customWidth="1"/>
    <col min="11781" max="11781" width="0" style="425" hidden="1" customWidth="1"/>
    <col min="11782" max="11782" width="18.375" style="425" bestFit="1" customWidth="1"/>
    <col min="11783" max="11784" width="0" style="425" hidden="1" customWidth="1"/>
    <col min="11785" max="12028" width="9" style="425"/>
    <col min="12029" max="12029" width="6.625" style="425" customWidth="1"/>
    <col min="12030" max="12031" width="21.625" style="425" customWidth="1"/>
    <col min="12032" max="12032" width="16.125" style="425" bestFit="1" customWidth="1"/>
    <col min="12033" max="12033" width="13.875" style="425" bestFit="1" customWidth="1"/>
    <col min="12034" max="12034" width="17.25" style="425" bestFit="1" customWidth="1"/>
    <col min="12035" max="12036" width="20.5" style="425" bestFit="1" customWidth="1"/>
    <col min="12037" max="12037" width="0" style="425" hidden="1" customWidth="1"/>
    <col min="12038" max="12038" width="18.375" style="425" bestFit="1" customWidth="1"/>
    <col min="12039" max="12040" width="0" style="425" hidden="1" customWidth="1"/>
    <col min="12041" max="12284" width="9" style="425"/>
    <col min="12285" max="12285" width="6.625" style="425" customWidth="1"/>
    <col min="12286" max="12287" width="21.625" style="425" customWidth="1"/>
    <col min="12288" max="12288" width="16.125" style="425" bestFit="1" customWidth="1"/>
    <col min="12289" max="12289" width="13.875" style="425" bestFit="1" customWidth="1"/>
    <col min="12290" max="12290" width="17.25" style="425" bestFit="1" customWidth="1"/>
    <col min="12291" max="12292" width="20.5" style="425" bestFit="1" customWidth="1"/>
    <col min="12293" max="12293" width="0" style="425" hidden="1" customWidth="1"/>
    <col min="12294" max="12294" width="18.375" style="425" bestFit="1" customWidth="1"/>
    <col min="12295" max="12296" width="0" style="425" hidden="1" customWidth="1"/>
    <col min="12297" max="12540" width="9" style="425"/>
    <col min="12541" max="12541" width="6.625" style="425" customWidth="1"/>
    <col min="12542" max="12543" width="21.625" style="425" customWidth="1"/>
    <col min="12544" max="12544" width="16.125" style="425" bestFit="1" customWidth="1"/>
    <col min="12545" max="12545" width="13.875" style="425" bestFit="1" customWidth="1"/>
    <col min="12546" max="12546" width="17.25" style="425" bestFit="1" customWidth="1"/>
    <col min="12547" max="12548" width="20.5" style="425" bestFit="1" customWidth="1"/>
    <col min="12549" max="12549" width="0" style="425" hidden="1" customWidth="1"/>
    <col min="12550" max="12550" width="18.375" style="425" bestFit="1" customWidth="1"/>
    <col min="12551" max="12552" width="0" style="425" hidden="1" customWidth="1"/>
    <col min="12553" max="12796" width="9" style="425"/>
    <col min="12797" max="12797" width="6.625" style="425" customWidth="1"/>
    <col min="12798" max="12799" width="21.625" style="425" customWidth="1"/>
    <col min="12800" max="12800" width="16.125" style="425" bestFit="1" customWidth="1"/>
    <col min="12801" max="12801" width="13.875" style="425" bestFit="1" customWidth="1"/>
    <col min="12802" max="12802" width="17.25" style="425" bestFit="1" customWidth="1"/>
    <col min="12803" max="12804" width="20.5" style="425" bestFit="1" customWidth="1"/>
    <col min="12805" max="12805" width="0" style="425" hidden="1" customWidth="1"/>
    <col min="12806" max="12806" width="18.375" style="425" bestFit="1" customWidth="1"/>
    <col min="12807" max="12808" width="0" style="425" hidden="1" customWidth="1"/>
    <col min="12809" max="13052" width="9" style="425"/>
    <col min="13053" max="13053" width="6.625" style="425" customWidth="1"/>
    <col min="13054" max="13055" width="21.625" style="425" customWidth="1"/>
    <col min="13056" max="13056" width="16.125" style="425" bestFit="1" customWidth="1"/>
    <col min="13057" max="13057" width="13.875" style="425" bestFit="1" customWidth="1"/>
    <col min="13058" max="13058" width="17.25" style="425" bestFit="1" customWidth="1"/>
    <col min="13059" max="13060" width="20.5" style="425" bestFit="1" customWidth="1"/>
    <col min="13061" max="13061" width="0" style="425" hidden="1" customWidth="1"/>
    <col min="13062" max="13062" width="18.375" style="425" bestFit="1" customWidth="1"/>
    <col min="13063" max="13064" width="0" style="425" hidden="1" customWidth="1"/>
    <col min="13065" max="13308" width="9" style="425"/>
    <col min="13309" max="13309" width="6.625" style="425" customWidth="1"/>
    <col min="13310" max="13311" width="21.625" style="425" customWidth="1"/>
    <col min="13312" max="13312" width="16.125" style="425" bestFit="1" customWidth="1"/>
    <col min="13313" max="13313" width="13.875" style="425" bestFit="1" customWidth="1"/>
    <col min="13314" max="13314" width="17.25" style="425" bestFit="1" customWidth="1"/>
    <col min="13315" max="13316" width="20.5" style="425" bestFit="1" customWidth="1"/>
    <col min="13317" max="13317" width="0" style="425" hidden="1" customWidth="1"/>
    <col min="13318" max="13318" width="18.375" style="425" bestFit="1" customWidth="1"/>
    <col min="13319" max="13320" width="0" style="425" hidden="1" customWidth="1"/>
    <col min="13321" max="13564" width="9" style="425"/>
    <col min="13565" max="13565" width="6.625" style="425" customWidth="1"/>
    <col min="13566" max="13567" width="21.625" style="425" customWidth="1"/>
    <col min="13568" max="13568" width="16.125" style="425" bestFit="1" customWidth="1"/>
    <col min="13569" max="13569" width="13.875" style="425" bestFit="1" customWidth="1"/>
    <col min="13570" max="13570" width="17.25" style="425" bestFit="1" customWidth="1"/>
    <col min="13571" max="13572" width="20.5" style="425" bestFit="1" customWidth="1"/>
    <col min="13573" max="13573" width="0" style="425" hidden="1" customWidth="1"/>
    <col min="13574" max="13574" width="18.375" style="425" bestFit="1" customWidth="1"/>
    <col min="13575" max="13576" width="0" style="425" hidden="1" customWidth="1"/>
    <col min="13577" max="13820" width="9" style="425"/>
    <col min="13821" max="13821" width="6.625" style="425" customWidth="1"/>
    <col min="13822" max="13823" width="21.625" style="425" customWidth="1"/>
    <col min="13824" max="13824" width="16.125" style="425" bestFit="1" customWidth="1"/>
    <col min="13825" max="13825" width="13.875" style="425" bestFit="1" customWidth="1"/>
    <col min="13826" max="13826" width="17.25" style="425" bestFit="1" customWidth="1"/>
    <col min="13827" max="13828" width="20.5" style="425" bestFit="1" customWidth="1"/>
    <col min="13829" max="13829" width="0" style="425" hidden="1" customWidth="1"/>
    <col min="13830" max="13830" width="18.375" style="425" bestFit="1" customWidth="1"/>
    <col min="13831" max="13832" width="0" style="425" hidden="1" customWidth="1"/>
    <col min="13833" max="14076" width="9" style="425"/>
    <col min="14077" max="14077" width="6.625" style="425" customWidth="1"/>
    <col min="14078" max="14079" width="21.625" style="425" customWidth="1"/>
    <col min="14080" max="14080" width="16.125" style="425" bestFit="1" customWidth="1"/>
    <col min="14081" max="14081" width="13.875" style="425" bestFit="1" customWidth="1"/>
    <col min="14082" max="14082" width="17.25" style="425" bestFit="1" customWidth="1"/>
    <col min="14083" max="14084" width="20.5" style="425" bestFit="1" customWidth="1"/>
    <col min="14085" max="14085" width="0" style="425" hidden="1" customWidth="1"/>
    <col min="14086" max="14086" width="18.375" style="425" bestFit="1" customWidth="1"/>
    <col min="14087" max="14088" width="0" style="425" hidden="1" customWidth="1"/>
    <col min="14089" max="14332" width="9" style="425"/>
    <col min="14333" max="14333" width="6.625" style="425" customWidth="1"/>
    <col min="14334" max="14335" width="21.625" style="425" customWidth="1"/>
    <col min="14336" max="14336" width="16.125" style="425" bestFit="1" customWidth="1"/>
    <col min="14337" max="14337" width="13.875" style="425" bestFit="1" customWidth="1"/>
    <col min="14338" max="14338" width="17.25" style="425" bestFit="1" customWidth="1"/>
    <col min="14339" max="14340" width="20.5" style="425" bestFit="1" customWidth="1"/>
    <col min="14341" max="14341" width="0" style="425" hidden="1" customWidth="1"/>
    <col min="14342" max="14342" width="18.375" style="425" bestFit="1" customWidth="1"/>
    <col min="14343" max="14344" width="0" style="425" hidden="1" customWidth="1"/>
    <col min="14345" max="14588" width="9" style="425"/>
    <col min="14589" max="14589" width="6.625" style="425" customWidth="1"/>
    <col min="14590" max="14591" width="21.625" style="425" customWidth="1"/>
    <col min="14592" max="14592" width="16.125" style="425" bestFit="1" customWidth="1"/>
    <col min="14593" max="14593" width="13.875" style="425" bestFit="1" customWidth="1"/>
    <col min="14594" max="14594" width="17.25" style="425" bestFit="1" customWidth="1"/>
    <col min="14595" max="14596" width="20.5" style="425" bestFit="1" customWidth="1"/>
    <col min="14597" max="14597" width="0" style="425" hidden="1" customWidth="1"/>
    <col min="14598" max="14598" width="18.375" style="425" bestFit="1" customWidth="1"/>
    <col min="14599" max="14600" width="0" style="425" hidden="1" customWidth="1"/>
    <col min="14601" max="14844" width="9" style="425"/>
    <col min="14845" max="14845" width="6.625" style="425" customWidth="1"/>
    <col min="14846" max="14847" width="21.625" style="425" customWidth="1"/>
    <col min="14848" max="14848" width="16.125" style="425" bestFit="1" customWidth="1"/>
    <col min="14849" max="14849" width="13.875" style="425" bestFit="1" customWidth="1"/>
    <col min="14850" max="14850" width="17.25" style="425" bestFit="1" customWidth="1"/>
    <col min="14851" max="14852" width="20.5" style="425" bestFit="1" customWidth="1"/>
    <col min="14853" max="14853" width="0" style="425" hidden="1" customWidth="1"/>
    <col min="14854" max="14854" width="18.375" style="425" bestFit="1" customWidth="1"/>
    <col min="14855" max="14856" width="0" style="425" hidden="1" customWidth="1"/>
    <col min="14857" max="15100" width="9" style="425"/>
    <col min="15101" max="15101" width="6.625" style="425" customWidth="1"/>
    <col min="15102" max="15103" width="21.625" style="425" customWidth="1"/>
    <col min="15104" max="15104" width="16.125" style="425" bestFit="1" customWidth="1"/>
    <col min="15105" max="15105" width="13.875" style="425" bestFit="1" customWidth="1"/>
    <col min="15106" max="15106" width="17.25" style="425" bestFit="1" customWidth="1"/>
    <col min="15107" max="15108" width="20.5" style="425" bestFit="1" customWidth="1"/>
    <col min="15109" max="15109" width="0" style="425" hidden="1" customWidth="1"/>
    <col min="15110" max="15110" width="18.375" style="425" bestFit="1" customWidth="1"/>
    <col min="15111" max="15112" width="0" style="425" hidden="1" customWidth="1"/>
    <col min="15113" max="15356" width="9" style="425"/>
    <col min="15357" max="15357" width="6.625" style="425" customWidth="1"/>
    <col min="15358" max="15359" width="21.625" style="425" customWidth="1"/>
    <col min="15360" max="15360" width="16.125" style="425" bestFit="1" customWidth="1"/>
    <col min="15361" max="15361" width="13.875" style="425" bestFit="1" customWidth="1"/>
    <col min="15362" max="15362" width="17.25" style="425" bestFit="1" customWidth="1"/>
    <col min="15363" max="15364" width="20.5" style="425" bestFit="1" customWidth="1"/>
    <col min="15365" max="15365" width="0" style="425" hidden="1" customWidth="1"/>
    <col min="15366" max="15366" width="18.375" style="425" bestFit="1" customWidth="1"/>
    <col min="15367" max="15368" width="0" style="425" hidden="1" customWidth="1"/>
    <col min="15369" max="15612" width="9" style="425"/>
    <col min="15613" max="15613" width="6.625" style="425" customWidth="1"/>
    <col min="15614" max="15615" width="21.625" style="425" customWidth="1"/>
    <col min="15616" max="15616" width="16.125" style="425" bestFit="1" customWidth="1"/>
    <col min="15617" max="15617" width="13.875" style="425" bestFit="1" customWidth="1"/>
    <col min="15618" max="15618" width="17.25" style="425" bestFit="1" customWidth="1"/>
    <col min="15619" max="15620" width="20.5" style="425" bestFit="1" customWidth="1"/>
    <col min="15621" max="15621" width="0" style="425" hidden="1" customWidth="1"/>
    <col min="15622" max="15622" width="18.375" style="425" bestFit="1" customWidth="1"/>
    <col min="15623" max="15624" width="0" style="425" hidden="1" customWidth="1"/>
    <col min="15625" max="15868" width="9" style="425"/>
    <col min="15869" max="15869" width="6.625" style="425" customWidth="1"/>
    <col min="15870" max="15871" width="21.625" style="425" customWidth="1"/>
    <col min="15872" max="15872" width="16.125" style="425" bestFit="1" customWidth="1"/>
    <col min="15873" max="15873" width="13.875" style="425" bestFit="1" customWidth="1"/>
    <col min="15874" max="15874" width="17.25" style="425" bestFit="1" customWidth="1"/>
    <col min="15875" max="15876" width="20.5" style="425" bestFit="1" customWidth="1"/>
    <col min="15877" max="15877" width="0" style="425" hidden="1" customWidth="1"/>
    <col min="15878" max="15878" width="18.375" style="425" bestFit="1" customWidth="1"/>
    <col min="15879" max="15880" width="0" style="425" hidden="1" customWidth="1"/>
    <col min="15881" max="16124" width="9" style="425"/>
    <col min="16125" max="16125" width="6.625" style="425" customWidth="1"/>
    <col min="16126" max="16127" width="21.625" style="425" customWidth="1"/>
    <col min="16128" max="16128" width="16.125" style="425" bestFit="1" customWidth="1"/>
    <col min="16129" max="16129" width="13.875" style="425" bestFit="1" customWidth="1"/>
    <col min="16130" max="16130" width="17.25" style="425" bestFit="1" customWidth="1"/>
    <col min="16131" max="16132" width="20.5" style="425" bestFit="1" customWidth="1"/>
    <col min="16133" max="16133" width="0" style="425" hidden="1" customWidth="1"/>
    <col min="16134" max="16134" width="18.375" style="425" bestFit="1" customWidth="1"/>
    <col min="16135" max="16136" width="0" style="425" hidden="1" customWidth="1"/>
    <col min="16137" max="16384" width="9" style="425"/>
  </cols>
  <sheetData>
    <row r="1" spans="1:3" ht="20.25">
      <c r="A1" s="576" t="s">
        <v>1777</v>
      </c>
      <c r="B1" s="577"/>
      <c r="C1" s="577"/>
    </row>
    <row r="2" spans="1:3" ht="35.1" customHeight="1">
      <c r="A2" s="578" t="s">
        <v>1790</v>
      </c>
      <c r="B2" s="502"/>
      <c r="C2" s="477" t="s">
        <v>1778</v>
      </c>
    </row>
    <row r="3" spans="1:3" ht="30" customHeight="1">
      <c r="A3" s="478" t="s">
        <v>697</v>
      </c>
      <c r="B3" s="478" t="s">
        <v>1779</v>
      </c>
      <c r="C3" s="478" t="s">
        <v>1678</v>
      </c>
    </row>
    <row r="4" spans="1:3" ht="30" customHeight="1">
      <c r="A4" s="478">
        <v>1</v>
      </c>
      <c r="B4" s="478" t="s">
        <v>1780</v>
      </c>
      <c r="C4" s="479">
        <f>莘庄镇调整!L4</f>
        <v>-5631661.1400000006</v>
      </c>
    </row>
    <row r="5" spans="1:3" ht="30" customHeight="1">
      <c r="A5" s="478">
        <v>2</v>
      </c>
      <c r="B5" s="478" t="s">
        <v>1781</v>
      </c>
      <c r="C5" s="479">
        <f>莘庄镇调整!L38</f>
        <v>108086.25</v>
      </c>
    </row>
    <row r="6" spans="1:3" ht="30" customHeight="1">
      <c r="A6" s="478">
        <v>3</v>
      </c>
      <c r="B6" s="478" t="s">
        <v>1782</v>
      </c>
      <c r="C6" s="479">
        <f>莘庄镇调整!L31</f>
        <v>58530</v>
      </c>
    </row>
    <row r="7" spans="1:3" ht="30" customHeight="1">
      <c r="A7" s="478">
        <v>4</v>
      </c>
      <c r="B7" s="478" t="s">
        <v>1776</v>
      </c>
      <c r="C7" s="479">
        <f>残疾就业保障调整!F8</f>
        <v>-95540.410000000033</v>
      </c>
    </row>
    <row r="8" spans="1:3" ht="30" customHeight="1">
      <c r="A8" s="478">
        <v>5</v>
      </c>
      <c r="B8" s="480" t="s">
        <v>1783</v>
      </c>
      <c r="C8" s="479">
        <f>公办义务教育减免书薄费调整!K4</f>
        <v>-88719.31</v>
      </c>
    </row>
    <row r="9" spans="1:3" ht="30" customHeight="1">
      <c r="A9" s="478">
        <v>6</v>
      </c>
      <c r="B9" s="480" t="s">
        <v>1784</v>
      </c>
      <c r="C9" s="479">
        <f>公办营养午餐调整!H4</f>
        <v>11595</v>
      </c>
    </row>
    <row r="10" spans="1:3" ht="30" customHeight="1">
      <c r="A10" s="478">
        <v>7</v>
      </c>
      <c r="B10" s="480" t="s">
        <v>1785</v>
      </c>
      <c r="C10" s="479">
        <f>公办义务教育资助调整!R7</f>
        <v>-17176.5</v>
      </c>
    </row>
    <row r="11" spans="1:3" ht="30" customHeight="1">
      <c r="A11" s="478">
        <v>8</v>
      </c>
      <c r="B11" s="478" t="s">
        <v>1786</v>
      </c>
      <c r="C11" s="479">
        <f>公办学前教育资助调整!AB7</f>
        <v>16928</v>
      </c>
    </row>
    <row r="12" spans="1:3" ht="30" customHeight="1">
      <c r="A12" s="478">
        <v>9</v>
      </c>
      <c r="B12" s="478" t="s">
        <v>1787</v>
      </c>
      <c r="C12" s="479">
        <f>'2024年校舍维修清算'!K7</f>
        <v>70220</v>
      </c>
    </row>
    <row r="13" spans="1:3" ht="30" customHeight="1">
      <c r="A13" s="478">
        <v>10</v>
      </c>
      <c r="B13" s="478" t="s">
        <v>1788</v>
      </c>
      <c r="C13" s="479">
        <v>9000000</v>
      </c>
    </row>
    <row r="14" spans="1:3" ht="30" customHeight="1">
      <c r="A14" s="478"/>
      <c r="B14" s="478" t="s">
        <v>1789</v>
      </c>
      <c r="C14" s="481">
        <f>SUM(C4:C13)</f>
        <v>3432261.8899999997</v>
      </c>
    </row>
    <row r="15" spans="1:3" ht="30" customHeight="1"/>
    <row r="16" spans="1:3" ht="30" customHeight="1"/>
  </sheetData>
  <mergeCells count="2">
    <mergeCell ref="A1:C1"/>
    <mergeCell ref="A2:B2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34.xml><?xml version="1.0" encoding="utf-8"?>
<worksheet xmlns="http://schemas.openxmlformats.org/spreadsheetml/2006/main" xmlns:r="http://schemas.openxmlformats.org/officeDocument/2006/relationships">
  <dimension ref="A1:N74"/>
  <sheetViews>
    <sheetView workbookViewId="0">
      <pane xSplit="4" ySplit="2" topLeftCell="E21" activePane="bottomRight" state="frozen"/>
      <selection activeCell="M8" sqref="M8"/>
      <selection pane="topRight" activeCell="M8" sqref="M8"/>
      <selection pane="bottomLeft" activeCell="M8" sqref="M8"/>
      <selection pane="bottomRight" activeCell="M8" sqref="M8"/>
    </sheetView>
  </sheetViews>
  <sheetFormatPr defaultColWidth="15.625" defaultRowHeight="18" customHeight="1"/>
  <cols>
    <col min="1" max="1" width="5.25" style="41" customWidth="1"/>
    <col min="2" max="2" width="30.625" style="1" customWidth="1"/>
    <col min="3" max="3" width="4.5" style="1" hidden="1" customWidth="1"/>
    <col min="4" max="4" width="5.75" style="42" hidden="1" customWidth="1"/>
    <col min="5" max="16384" width="15.625" style="1"/>
  </cols>
  <sheetData>
    <row r="1" spans="1:14" ht="18" customHeight="1">
      <c r="A1" s="579" t="s">
        <v>1775</v>
      </c>
      <c r="B1" s="580"/>
      <c r="C1" s="580"/>
      <c r="D1" s="580"/>
      <c r="E1" s="580"/>
      <c r="F1" s="580"/>
      <c r="G1" s="580"/>
      <c r="H1" s="580"/>
      <c r="I1" s="580"/>
      <c r="J1" s="580"/>
      <c r="K1" s="580"/>
      <c r="L1" s="502"/>
    </row>
    <row r="2" spans="1:14" ht="18" customHeight="1">
      <c r="A2" s="373" t="s">
        <v>12</v>
      </c>
      <c r="B2" s="373" t="s">
        <v>13</v>
      </c>
      <c r="C2" s="373" t="s">
        <v>14</v>
      </c>
      <c r="D2" s="374" t="s">
        <v>15</v>
      </c>
      <c r="E2" s="374" t="s">
        <v>1684</v>
      </c>
      <c r="F2" s="374" t="s">
        <v>1685</v>
      </c>
      <c r="G2" s="374" t="s">
        <v>1686</v>
      </c>
      <c r="H2" s="374" t="s">
        <v>1687</v>
      </c>
      <c r="I2" s="374" t="s">
        <v>1688</v>
      </c>
      <c r="J2" s="374" t="s">
        <v>21</v>
      </c>
      <c r="K2" s="391" t="s">
        <v>1689</v>
      </c>
      <c r="L2" s="391" t="s">
        <v>1690</v>
      </c>
    </row>
    <row r="3" spans="1:14" ht="18" customHeight="1">
      <c r="A3" s="375" t="s">
        <v>23</v>
      </c>
      <c r="B3" s="376" t="s">
        <v>24</v>
      </c>
      <c r="C3" s="376"/>
      <c r="D3" s="377" t="s">
        <v>25</v>
      </c>
      <c r="E3" s="378">
        <f>E4+E31+E38</f>
        <v>24361018.109999999</v>
      </c>
      <c r="F3" s="378">
        <f>F4+F31+F38</f>
        <v>56228078.909999996</v>
      </c>
      <c r="G3" s="378">
        <f>G4+G31+G38</f>
        <v>9567732.4199999999</v>
      </c>
      <c r="H3" s="378">
        <f>H4+H31+H38</f>
        <v>17066522.66</v>
      </c>
      <c r="I3" s="378">
        <f>I4+I31+I38</f>
        <v>2555376.0699999998</v>
      </c>
      <c r="J3" s="379">
        <f t="shared" ref="J3:J66" si="0">SUM(E3:I3)</f>
        <v>109778728.16999999</v>
      </c>
      <c r="K3" s="392">
        <v>115243773.06</v>
      </c>
      <c r="L3" s="393">
        <f>J3-K3</f>
        <v>-5465044.8900000155</v>
      </c>
      <c r="M3" s="394"/>
    </row>
    <row r="4" spans="1:14" ht="18" customHeight="1">
      <c r="A4" s="375" t="s">
        <v>26</v>
      </c>
      <c r="B4" s="376" t="s">
        <v>0</v>
      </c>
      <c r="C4" s="376"/>
      <c r="D4" s="377" t="s">
        <v>25</v>
      </c>
      <c r="E4" s="378">
        <f>E5+E8+E12+E15+E20+E25+E27+E29+E30</f>
        <v>21005253.710000001</v>
      </c>
      <c r="F4" s="378">
        <f>F5+F8+F12+F15+F20+F25+F27+F29+F30</f>
        <v>46479114.899999999</v>
      </c>
      <c r="G4" s="378">
        <f>G5+G8+G12+G15+G20+G25+G27+G29+G30</f>
        <v>8275868.5299999993</v>
      </c>
      <c r="H4" s="378">
        <f>H5+H8+H12+H15+H20+H25+H27+H29+H30</f>
        <v>14458175.810000001</v>
      </c>
      <c r="I4" s="378">
        <f>I5+I8+I12+I15+I20+I25+I27+I29+I30</f>
        <v>2213128.8899999997</v>
      </c>
      <c r="J4" s="379">
        <f t="shared" si="0"/>
        <v>92431541.840000004</v>
      </c>
      <c r="K4" s="392">
        <v>98063202.980000004</v>
      </c>
      <c r="L4" s="393">
        <f t="shared" ref="L4:L67" si="1">J4-K4</f>
        <v>-5631661.1400000006</v>
      </c>
    </row>
    <row r="5" spans="1:14" ht="18" customHeight="1">
      <c r="A5" s="375" t="s">
        <v>27</v>
      </c>
      <c r="B5" s="376" t="s">
        <v>28</v>
      </c>
      <c r="C5" s="376"/>
      <c r="D5" s="377" t="s">
        <v>25</v>
      </c>
      <c r="E5" s="378">
        <f>E6+E7</f>
        <v>2950367</v>
      </c>
      <c r="F5" s="378">
        <f>F6+F7</f>
        <v>6475234.2000000002</v>
      </c>
      <c r="G5" s="378">
        <f>G6+G7</f>
        <v>1103004</v>
      </c>
      <c r="H5" s="378">
        <f>H6+H7</f>
        <v>1893463</v>
      </c>
      <c r="I5" s="378">
        <f>I6+I7</f>
        <v>318138</v>
      </c>
      <c r="J5" s="379">
        <f t="shared" si="0"/>
        <v>12740206.199999999</v>
      </c>
      <c r="K5" s="392">
        <v>12856676</v>
      </c>
      <c r="L5" s="393">
        <f t="shared" si="1"/>
        <v>-116469.80000000075</v>
      </c>
    </row>
    <row r="6" spans="1:14" ht="18" customHeight="1">
      <c r="A6" s="375" t="s">
        <v>29</v>
      </c>
      <c r="B6" s="376" t="s">
        <v>30</v>
      </c>
      <c r="C6" s="376" t="s">
        <v>31</v>
      </c>
      <c r="D6" s="377" t="s">
        <v>32</v>
      </c>
      <c r="E6" s="381">
        <v>1717409</v>
      </c>
      <c r="F6" s="381">
        <v>3235731</v>
      </c>
      <c r="G6" s="381">
        <v>691680</v>
      </c>
      <c r="H6" s="381">
        <v>1155794</v>
      </c>
      <c r="I6" s="381">
        <v>160380</v>
      </c>
      <c r="J6" s="379">
        <f t="shared" si="0"/>
        <v>6960994</v>
      </c>
      <c r="K6" s="392">
        <v>7105868</v>
      </c>
      <c r="L6" s="393">
        <f t="shared" si="1"/>
        <v>-144874</v>
      </c>
      <c r="N6" s="394"/>
    </row>
    <row r="7" spans="1:14" ht="18" customHeight="1">
      <c r="A7" s="375" t="s">
        <v>33</v>
      </c>
      <c r="B7" s="376" t="s">
        <v>34</v>
      </c>
      <c r="C7" s="376" t="s">
        <v>31</v>
      </c>
      <c r="D7" s="377" t="s">
        <v>32</v>
      </c>
      <c r="E7" s="381">
        <v>1232958</v>
      </c>
      <c r="F7" s="381">
        <v>3239503.2</v>
      </c>
      <c r="G7" s="381">
        <v>411324</v>
      </c>
      <c r="H7" s="381">
        <v>737669</v>
      </c>
      <c r="I7" s="381">
        <v>157758</v>
      </c>
      <c r="J7" s="379">
        <f t="shared" si="0"/>
        <v>5779212.2000000002</v>
      </c>
      <c r="K7" s="392">
        <v>5750808</v>
      </c>
      <c r="L7" s="393">
        <f t="shared" si="1"/>
        <v>28404.200000000186</v>
      </c>
    </row>
    <row r="8" spans="1:14" ht="18" customHeight="1">
      <c r="A8" s="375" t="s">
        <v>35</v>
      </c>
      <c r="B8" s="376" t="s">
        <v>36</v>
      </c>
      <c r="C8" s="376"/>
      <c r="D8" s="377" t="s">
        <v>25</v>
      </c>
      <c r="E8" s="378">
        <f>E9+E10</f>
        <v>353196</v>
      </c>
      <c r="F8" s="378">
        <f>F9+F10</f>
        <v>645929</v>
      </c>
      <c r="G8" s="378">
        <f>G9+G10</f>
        <v>144084</v>
      </c>
      <c r="H8" s="378">
        <f>H9+H10</f>
        <v>245477</v>
      </c>
      <c r="I8" s="378">
        <f>I9+I10</f>
        <v>32196</v>
      </c>
      <c r="J8" s="379">
        <f t="shared" si="0"/>
        <v>1420882</v>
      </c>
      <c r="K8" s="392">
        <v>1434612</v>
      </c>
      <c r="L8" s="393">
        <f t="shared" si="1"/>
        <v>-13730</v>
      </c>
    </row>
    <row r="9" spans="1:14" ht="18" customHeight="1">
      <c r="A9" s="375" t="s">
        <v>37</v>
      </c>
      <c r="B9" s="376" t="s">
        <v>38</v>
      </c>
      <c r="C9" s="376" t="s">
        <v>31</v>
      </c>
      <c r="D9" s="377" t="s">
        <v>32</v>
      </c>
      <c r="E9" s="381">
        <v>4716</v>
      </c>
      <c r="F9" s="378">
        <f>11181+9948</f>
        <v>21129</v>
      </c>
      <c r="G9" s="381">
        <v>1524</v>
      </c>
      <c r="H9" s="381">
        <v>2597</v>
      </c>
      <c r="I9" s="381">
        <v>516</v>
      </c>
      <c r="J9" s="379">
        <f t="shared" si="0"/>
        <v>30482</v>
      </c>
      <c r="K9" s="392">
        <v>30132</v>
      </c>
      <c r="L9" s="393">
        <f t="shared" si="1"/>
        <v>350</v>
      </c>
    </row>
    <row r="10" spans="1:14" ht="18" customHeight="1">
      <c r="A10" s="375" t="s">
        <v>39</v>
      </c>
      <c r="B10" s="376" t="s">
        <v>40</v>
      </c>
      <c r="C10" s="376"/>
      <c r="D10" s="377" t="s">
        <v>25</v>
      </c>
      <c r="E10" s="378">
        <f>E11</f>
        <v>348480</v>
      </c>
      <c r="F10" s="378">
        <f>F11</f>
        <v>624800</v>
      </c>
      <c r="G10" s="378">
        <f>G11</f>
        <v>142560</v>
      </c>
      <c r="H10" s="378">
        <f>H11</f>
        <v>242880</v>
      </c>
      <c r="I10" s="378">
        <f>I11</f>
        <v>31680</v>
      </c>
      <c r="J10" s="379">
        <f t="shared" si="0"/>
        <v>1390400</v>
      </c>
      <c r="K10" s="392">
        <v>1404480</v>
      </c>
      <c r="L10" s="393">
        <f t="shared" si="1"/>
        <v>-14080</v>
      </c>
    </row>
    <row r="11" spans="1:14" s="13" customFormat="1" ht="18" customHeight="1">
      <c r="A11" s="375" t="s">
        <v>41</v>
      </c>
      <c r="B11" s="382" t="s">
        <v>1691</v>
      </c>
      <c r="C11" s="382" t="s">
        <v>31</v>
      </c>
      <c r="D11" s="377" t="s">
        <v>32</v>
      </c>
      <c r="E11" s="381">
        <v>348480</v>
      </c>
      <c r="F11" s="381">
        <v>624800</v>
      </c>
      <c r="G11" s="381">
        <v>142560</v>
      </c>
      <c r="H11" s="381">
        <v>242880</v>
      </c>
      <c r="I11" s="381">
        <v>31680</v>
      </c>
      <c r="J11" s="379">
        <f t="shared" si="0"/>
        <v>1390400</v>
      </c>
      <c r="K11" s="392">
        <v>1404480</v>
      </c>
      <c r="L11" s="393">
        <f t="shared" si="1"/>
        <v>-14080</v>
      </c>
    </row>
    <row r="12" spans="1:14" ht="18" customHeight="1">
      <c r="A12" s="375" t="s">
        <v>43</v>
      </c>
      <c r="B12" s="376" t="s">
        <v>44</v>
      </c>
      <c r="C12" s="376"/>
      <c r="D12" s="377" t="s">
        <v>45</v>
      </c>
      <c r="E12" s="378">
        <f>E13+E14</f>
        <v>109628.64000000001</v>
      </c>
      <c r="F12" s="378">
        <f>F13+F14</f>
        <v>237360.51</v>
      </c>
      <c r="G12" s="378">
        <f>G13+G14</f>
        <v>41670.720000000001</v>
      </c>
      <c r="H12" s="378">
        <f>H13+H14</f>
        <v>74199.149999999994</v>
      </c>
      <c r="I12" s="378">
        <f>I13+I14</f>
        <v>11430.36</v>
      </c>
      <c r="J12" s="379">
        <f t="shared" si="0"/>
        <v>474289.38</v>
      </c>
      <c r="K12" s="392">
        <v>492837.84</v>
      </c>
      <c r="L12" s="393">
        <f t="shared" si="1"/>
        <v>-18548.460000000021</v>
      </c>
    </row>
    <row r="13" spans="1:14" s="13" customFormat="1" ht="18" customHeight="1">
      <c r="A13" s="375" t="s">
        <v>46</v>
      </c>
      <c r="B13" s="382" t="s">
        <v>1692</v>
      </c>
      <c r="C13" s="382" t="s">
        <v>31</v>
      </c>
      <c r="D13" s="377" t="s">
        <v>1693</v>
      </c>
      <c r="E13" s="381">
        <v>37122.400000000001</v>
      </c>
      <c r="F13" s="381">
        <v>76606.039999999994</v>
      </c>
      <c r="G13" s="381">
        <v>14110.47</v>
      </c>
      <c r="H13" s="381">
        <v>25125.71</v>
      </c>
      <c r="I13" s="381">
        <v>3870.58</v>
      </c>
      <c r="J13" s="379">
        <f t="shared" si="0"/>
        <v>156835.19999999998</v>
      </c>
      <c r="K13" s="392">
        <v>166886.84000000003</v>
      </c>
      <c r="L13" s="393">
        <f t="shared" si="1"/>
        <v>-10051.640000000043</v>
      </c>
    </row>
    <row r="14" spans="1:14" s="13" customFormat="1" ht="18" customHeight="1">
      <c r="A14" s="375" t="s">
        <v>49</v>
      </c>
      <c r="B14" s="382" t="s">
        <v>1694</v>
      </c>
      <c r="C14" s="382" t="s">
        <v>31</v>
      </c>
      <c r="D14" s="377" t="s">
        <v>1693</v>
      </c>
      <c r="E14" s="381">
        <v>72506.240000000005</v>
      </c>
      <c r="F14" s="381">
        <v>160754.47</v>
      </c>
      <c r="G14" s="381">
        <v>27560.25</v>
      </c>
      <c r="H14" s="381">
        <v>49073.440000000002</v>
      </c>
      <c r="I14" s="381">
        <v>7559.78</v>
      </c>
      <c r="J14" s="379">
        <f t="shared" si="0"/>
        <v>317454.18000000005</v>
      </c>
      <c r="K14" s="392">
        <v>325951</v>
      </c>
      <c r="L14" s="393">
        <f t="shared" si="1"/>
        <v>-8496.8199999999488</v>
      </c>
    </row>
    <row r="15" spans="1:14" ht="18" customHeight="1">
      <c r="A15" s="375" t="s">
        <v>51</v>
      </c>
      <c r="B15" s="376" t="s">
        <v>52</v>
      </c>
      <c r="C15" s="376"/>
      <c r="D15" s="377" t="s">
        <v>25</v>
      </c>
      <c r="E15" s="378">
        <f>E16+E17+E18+E19</f>
        <v>11588216</v>
      </c>
      <c r="F15" s="378">
        <f>F16+F17+F18+F19</f>
        <v>25848771.75</v>
      </c>
      <c r="G15" s="378">
        <f>G16+G17+G18+G19</f>
        <v>4706208</v>
      </c>
      <c r="H15" s="378">
        <f>H16+H17+H18+H19</f>
        <v>8188788</v>
      </c>
      <c r="I15" s="378">
        <f>I16+I17+I18+I19</f>
        <v>1227156</v>
      </c>
      <c r="J15" s="379">
        <f t="shared" si="0"/>
        <v>51559139.75</v>
      </c>
      <c r="K15" s="392">
        <v>53943500</v>
      </c>
      <c r="L15" s="393">
        <f t="shared" si="1"/>
        <v>-2384360.25</v>
      </c>
    </row>
    <row r="16" spans="1:14" ht="18" customHeight="1">
      <c r="A16" s="375" t="s">
        <v>53</v>
      </c>
      <c r="B16" s="384" t="s">
        <v>54</v>
      </c>
      <c r="C16" s="384" t="s">
        <v>31</v>
      </c>
      <c r="D16" s="386" t="s">
        <v>1695</v>
      </c>
      <c r="E16" s="380">
        <v>10707672</v>
      </c>
      <c r="F16" s="380">
        <v>23242415</v>
      </c>
      <c r="G16" s="380">
        <v>4544208</v>
      </c>
      <c r="H16" s="380">
        <v>7685184</v>
      </c>
      <c r="I16" s="380">
        <v>1191156</v>
      </c>
      <c r="J16" s="379">
        <f t="shared" si="0"/>
        <v>47370635</v>
      </c>
      <c r="K16" s="395">
        <v>49628388</v>
      </c>
      <c r="L16" s="393">
        <f t="shared" si="1"/>
        <v>-2257753</v>
      </c>
    </row>
    <row r="17" spans="1:12" ht="18" customHeight="1">
      <c r="A17" s="375" t="s">
        <v>56</v>
      </c>
      <c r="B17" s="384" t="s">
        <v>57</v>
      </c>
      <c r="C17" s="384" t="s">
        <v>31</v>
      </c>
      <c r="D17" s="386" t="s">
        <v>58</v>
      </c>
      <c r="E17" s="380">
        <v>484544</v>
      </c>
      <c r="F17" s="380">
        <v>622899</v>
      </c>
      <c r="G17" s="380"/>
      <c r="H17" s="380">
        <v>225104</v>
      </c>
      <c r="I17" s="380"/>
      <c r="J17" s="379">
        <f t="shared" si="0"/>
        <v>1332547</v>
      </c>
      <c r="K17" s="395">
        <v>1529112</v>
      </c>
      <c r="L17" s="393">
        <f t="shared" si="1"/>
        <v>-196565</v>
      </c>
    </row>
    <row r="18" spans="1:12" ht="18" customHeight="1">
      <c r="A18" s="375" t="s">
        <v>59</v>
      </c>
      <c r="B18" s="384" t="s">
        <v>1696</v>
      </c>
      <c r="C18" s="384" t="s">
        <v>31</v>
      </c>
      <c r="D18" s="377" t="s">
        <v>32</v>
      </c>
      <c r="E18" s="380">
        <v>396000</v>
      </c>
      <c r="F18" s="380">
        <v>717500</v>
      </c>
      <c r="G18" s="380">
        <v>162000</v>
      </c>
      <c r="H18" s="380">
        <v>278500</v>
      </c>
      <c r="I18" s="380">
        <v>36000</v>
      </c>
      <c r="J18" s="379">
        <f t="shared" si="0"/>
        <v>1590000</v>
      </c>
      <c r="K18" s="395">
        <v>1596000</v>
      </c>
      <c r="L18" s="393">
        <f t="shared" si="1"/>
        <v>-6000</v>
      </c>
    </row>
    <row r="19" spans="1:12" ht="18" customHeight="1">
      <c r="A19" s="375" t="s">
        <v>1697</v>
      </c>
      <c r="B19" s="384" t="s">
        <v>1698</v>
      </c>
      <c r="C19" s="384" t="s">
        <v>31</v>
      </c>
      <c r="D19" s="377" t="s">
        <v>32</v>
      </c>
      <c r="E19" s="380"/>
      <c r="F19" s="380">
        <v>1265957.75</v>
      </c>
      <c r="G19" s="380"/>
      <c r="H19" s="380"/>
      <c r="I19" s="380"/>
      <c r="J19" s="379">
        <f t="shared" si="0"/>
        <v>1265957.75</v>
      </c>
      <c r="K19" s="395">
        <v>1190000</v>
      </c>
      <c r="L19" s="393">
        <f t="shared" si="1"/>
        <v>75957.75</v>
      </c>
    </row>
    <row r="20" spans="1:12" ht="18" customHeight="1">
      <c r="A20" s="375" t="s">
        <v>63</v>
      </c>
      <c r="B20" s="376" t="s">
        <v>64</v>
      </c>
      <c r="C20" s="376"/>
      <c r="D20" s="386" t="s">
        <v>25</v>
      </c>
      <c r="E20" s="385">
        <f>E21+E22</f>
        <v>1484490.15</v>
      </c>
      <c r="F20" s="385">
        <f>F21+F22</f>
        <v>3304936.04</v>
      </c>
      <c r="G20" s="385">
        <f>G21+G22</f>
        <v>564150.22</v>
      </c>
      <c r="H20" s="385">
        <f>H21+H22</f>
        <v>996473.81</v>
      </c>
      <c r="I20" s="385">
        <f>I21+I22</f>
        <v>153541.26999999999</v>
      </c>
      <c r="J20" s="379">
        <f t="shared" si="0"/>
        <v>6503591.4899999984</v>
      </c>
      <c r="K20" s="395">
        <v>9126624</v>
      </c>
      <c r="L20" s="393">
        <f t="shared" si="1"/>
        <v>-2623032.5100000016</v>
      </c>
    </row>
    <row r="21" spans="1:12" ht="18" customHeight="1">
      <c r="A21" s="375" t="s">
        <v>65</v>
      </c>
      <c r="B21" s="376" t="s">
        <v>1699</v>
      </c>
      <c r="C21" s="376" t="s">
        <v>67</v>
      </c>
      <c r="D21" s="377" t="s">
        <v>1693</v>
      </c>
      <c r="E21" s="380">
        <v>1342400.15</v>
      </c>
      <c r="F21" s="380">
        <v>2974911.04</v>
      </c>
      <c r="G21" s="380">
        <v>509745.22</v>
      </c>
      <c r="H21" s="380">
        <v>907873.81</v>
      </c>
      <c r="I21" s="380">
        <v>139771.26999999999</v>
      </c>
      <c r="J21" s="379">
        <f t="shared" si="0"/>
        <v>5874701.4899999984</v>
      </c>
      <c r="K21" s="395">
        <v>6519017.1400000006</v>
      </c>
      <c r="L21" s="393">
        <f t="shared" si="1"/>
        <v>-644315.65000000224</v>
      </c>
    </row>
    <row r="22" spans="1:12" ht="18" customHeight="1">
      <c r="A22" s="375" t="s">
        <v>68</v>
      </c>
      <c r="B22" s="376" t="s">
        <v>1700</v>
      </c>
      <c r="C22" s="376"/>
      <c r="D22" s="386" t="s">
        <v>48</v>
      </c>
      <c r="E22" s="385">
        <f>E23+E24</f>
        <v>142090</v>
      </c>
      <c r="F22" s="385">
        <f>F23+F24</f>
        <v>330025</v>
      </c>
      <c r="G22" s="385">
        <f>G23+G24</f>
        <v>54405</v>
      </c>
      <c r="H22" s="385">
        <f>H23+H24</f>
        <v>88600</v>
      </c>
      <c r="I22" s="385">
        <f>I23+I24</f>
        <v>13770</v>
      </c>
      <c r="J22" s="379">
        <f t="shared" si="0"/>
        <v>628890</v>
      </c>
      <c r="K22" s="395">
        <v>2607606.8600000003</v>
      </c>
      <c r="L22" s="393">
        <f t="shared" si="1"/>
        <v>-1978716.8600000003</v>
      </c>
    </row>
    <row r="23" spans="1:12" ht="18" customHeight="1">
      <c r="A23" s="375" t="s">
        <v>70</v>
      </c>
      <c r="B23" s="376" t="s">
        <v>1701</v>
      </c>
      <c r="C23" s="376" t="s">
        <v>67</v>
      </c>
      <c r="D23" s="377" t="s">
        <v>1702</v>
      </c>
      <c r="E23" s="380"/>
      <c r="F23" s="380">
        <v>35000</v>
      </c>
      <c r="G23" s="380"/>
      <c r="H23" s="380"/>
      <c r="I23" s="380"/>
      <c r="J23" s="379">
        <f t="shared" si="0"/>
        <v>35000</v>
      </c>
      <c r="K23" s="395">
        <v>1303803.4300000002</v>
      </c>
      <c r="L23" s="393">
        <f t="shared" si="1"/>
        <v>-1268803.4300000002</v>
      </c>
    </row>
    <row r="24" spans="1:12" ht="18" customHeight="1">
      <c r="A24" s="375" t="s">
        <v>72</v>
      </c>
      <c r="B24" s="376" t="s">
        <v>1703</v>
      </c>
      <c r="C24" s="376" t="s">
        <v>67</v>
      </c>
      <c r="D24" s="377" t="s">
        <v>1702</v>
      </c>
      <c r="E24" s="380">
        <v>142090</v>
      </c>
      <c r="F24" s="380">
        <v>295025</v>
      </c>
      <c r="G24" s="380">
        <v>54405</v>
      </c>
      <c r="H24" s="380">
        <v>88600</v>
      </c>
      <c r="I24" s="380">
        <v>13770</v>
      </c>
      <c r="J24" s="379">
        <f t="shared" si="0"/>
        <v>593890</v>
      </c>
      <c r="K24" s="395">
        <v>1303803.4300000002</v>
      </c>
      <c r="L24" s="393">
        <f t="shared" si="1"/>
        <v>-709913.43000000017</v>
      </c>
    </row>
    <row r="25" spans="1:12" ht="18" customHeight="1">
      <c r="A25" s="375" t="s">
        <v>74</v>
      </c>
      <c r="B25" s="376" t="s">
        <v>75</v>
      </c>
      <c r="C25" s="376"/>
      <c r="D25" s="377" t="s">
        <v>25</v>
      </c>
      <c r="E25" s="378">
        <f>E26</f>
        <v>2320141.2799999998</v>
      </c>
      <c r="F25" s="378">
        <f>F26</f>
        <v>5144020.91</v>
      </c>
      <c r="G25" s="378">
        <f>G26</f>
        <v>881903.36</v>
      </c>
      <c r="H25" s="378">
        <f>H26</f>
        <v>1570342.66</v>
      </c>
      <c r="I25" s="378">
        <f>I26</f>
        <v>241910.22</v>
      </c>
      <c r="J25" s="379">
        <f t="shared" si="0"/>
        <v>10158318.43</v>
      </c>
      <c r="K25" s="392">
        <v>10430427.43</v>
      </c>
      <c r="L25" s="393">
        <f t="shared" si="1"/>
        <v>-272109</v>
      </c>
    </row>
    <row r="26" spans="1:12" s="13" customFormat="1" ht="18" customHeight="1">
      <c r="A26" s="375" t="s">
        <v>76</v>
      </c>
      <c r="B26" s="382" t="s">
        <v>1704</v>
      </c>
      <c r="C26" s="382" t="s">
        <v>78</v>
      </c>
      <c r="D26" s="377" t="s">
        <v>1693</v>
      </c>
      <c r="E26" s="381">
        <v>2320141.2799999998</v>
      </c>
      <c r="F26" s="381">
        <v>5144020.91</v>
      </c>
      <c r="G26" s="381">
        <v>881903.36</v>
      </c>
      <c r="H26" s="381">
        <v>1570342.66</v>
      </c>
      <c r="I26" s="381">
        <v>241910.22</v>
      </c>
      <c r="J26" s="379">
        <f t="shared" si="0"/>
        <v>10158318.43</v>
      </c>
      <c r="K26" s="392">
        <v>10430427.43</v>
      </c>
      <c r="L26" s="393">
        <f t="shared" si="1"/>
        <v>-272109</v>
      </c>
    </row>
    <row r="27" spans="1:12" ht="18" customHeight="1">
      <c r="A27" s="375" t="s">
        <v>79</v>
      </c>
      <c r="B27" s="376" t="s">
        <v>80</v>
      </c>
      <c r="C27" s="376"/>
      <c r="D27" s="377" t="s">
        <v>25</v>
      </c>
      <c r="E27" s="378">
        <f>E28</f>
        <v>1160070.6399999999</v>
      </c>
      <c r="F27" s="378">
        <f>F28</f>
        <v>2572010.4900000002</v>
      </c>
      <c r="G27" s="378">
        <f>G28</f>
        <v>440918.23</v>
      </c>
      <c r="H27" s="378">
        <f>H28</f>
        <v>786270.19</v>
      </c>
      <c r="I27" s="378">
        <f>I28</f>
        <v>120955.04</v>
      </c>
      <c r="J27" s="379">
        <f t="shared" si="0"/>
        <v>5080224.59</v>
      </c>
      <c r="K27" s="392">
        <v>5215213.71</v>
      </c>
      <c r="L27" s="393">
        <f t="shared" si="1"/>
        <v>-134989.12000000011</v>
      </c>
    </row>
    <row r="28" spans="1:12" s="13" customFormat="1" ht="18" customHeight="1">
      <c r="A28" s="375" t="s">
        <v>81</v>
      </c>
      <c r="B28" s="382" t="s">
        <v>82</v>
      </c>
      <c r="C28" s="382" t="s">
        <v>83</v>
      </c>
      <c r="D28" s="377" t="s">
        <v>1693</v>
      </c>
      <c r="E28" s="381">
        <v>1160070.6399999999</v>
      </c>
      <c r="F28" s="381">
        <v>2572010.4900000002</v>
      </c>
      <c r="G28" s="381">
        <v>440918.23</v>
      </c>
      <c r="H28" s="381">
        <v>786270.19</v>
      </c>
      <c r="I28" s="381">
        <v>120955.04</v>
      </c>
      <c r="J28" s="379">
        <f t="shared" si="0"/>
        <v>5080224.59</v>
      </c>
      <c r="K28" s="392">
        <v>5215213.71</v>
      </c>
      <c r="L28" s="393">
        <f t="shared" si="1"/>
        <v>-134989.12000000011</v>
      </c>
    </row>
    <row r="29" spans="1:12" ht="18" customHeight="1">
      <c r="A29" s="375" t="s">
        <v>84</v>
      </c>
      <c r="B29" s="376" t="s">
        <v>1705</v>
      </c>
      <c r="C29" s="376" t="s">
        <v>86</v>
      </c>
      <c r="D29" s="377" t="s">
        <v>1706</v>
      </c>
      <c r="E29" s="380">
        <v>1009644</v>
      </c>
      <c r="F29" s="380">
        <v>2210852</v>
      </c>
      <c r="G29" s="380">
        <v>386430</v>
      </c>
      <c r="H29" s="380">
        <v>686162</v>
      </c>
      <c r="I29" s="380">
        <v>106302</v>
      </c>
      <c r="J29" s="379">
        <f t="shared" si="0"/>
        <v>4399390</v>
      </c>
      <c r="K29" s="395">
        <v>4563312</v>
      </c>
      <c r="L29" s="393">
        <f t="shared" si="1"/>
        <v>-163922</v>
      </c>
    </row>
    <row r="30" spans="1:12" ht="18" customHeight="1">
      <c r="A30" s="375" t="s">
        <v>88</v>
      </c>
      <c r="B30" s="376" t="s">
        <v>1707</v>
      </c>
      <c r="C30" s="384" t="s">
        <v>31</v>
      </c>
      <c r="D30" s="383" t="s">
        <v>1708</v>
      </c>
      <c r="E30" s="380">
        <v>29500</v>
      </c>
      <c r="F30" s="380">
        <v>40000</v>
      </c>
      <c r="G30" s="380">
        <v>7500</v>
      </c>
      <c r="H30" s="380">
        <v>17000</v>
      </c>
      <c r="I30" s="380">
        <v>1500</v>
      </c>
      <c r="J30" s="379">
        <f t="shared" si="0"/>
        <v>95500</v>
      </c>
      <c r="K30" s="395">
        <v>0</v>
      </c>
      <c r="L30" s="393">
        <f t="shared" si="1"/>
        <v>95500</v>
      </c>
    </row>
    <row r="31" spans="1:12" ht="18" customHeight="1">
      <c r="A31" s="375" t="s">
        <v>91</v>
      </c>
      <c r="B31" s="376" t="s">
        <v>92</v>
      </c>
      <c r="C31" s="376"/>
      <c r="D31" s="377" t="s">
        <v>25</v>
      </c>
      <c r="E31" s="378">
        <f>E32+E34+E36</f>
        <v>234145</v>
      </c>
      <c r="F31" s="378">
        <f>F32+F34+F36</f>
        <v>1734185</v>
      </c>
      <c r="G31" s="378">
        <f>G32+G34+G36</f>
        <v>1440</v>
      </c>
      <c r="H31" s="378">
        <f>H32+H34+H36</f>
        <v>13610</v>
      </c>
      <c r="I31" s="378">
        <f>I32+I34+I36</f>
        <v>55620</v>
      </c>
      <c r="J31" s="379">
        <f t="shared" si="0"/>
        <v>2039000</v>
      </c>
      <c r="K31" s="392">
        <v>1980470</v>
      </c>
      <c r="L31" s="393">
        <f t="shared" si="1"/>
        <v>58530</v>
      </c>
    </row>
    <row r="32" spans="1:12" ht="18" customHeight="1">
      <c r="A32" s="375" t="s">
        <v>93</v>
      </c>
      <c r="B32" s="376" t="s">
        <v>1709</v>
      </c>
      <c r="C32" s="376" t="s">
        <v>95</v>
      </c>
      <c r="D32" s="386" t="s">
        <v>1710</v>
      </c>
      <c r="E32" s="385">
        <f>E33</f>
        <v>230305</v>
      </c>
      <c r="F32" s="385">
        <f>F33</f>
        <v>1729595</v>
      </c>
      <c r="G32" s="385">
        <f>G33</f>
        <v>0</v>
      </c>
      <c r="H32" s="385">
        <f>H33</f>
        <v>10850</v>
      </c>
      <c r="I32" s="385">
        <f>I33</f>
        <v>55620</v>
      </c>
      <c r="J32" s="379">
        <f t="shared" si="0"/>
        <v>2026370</v>
      </c>
      <c r="K32" s="395">
        <v>1965230</v>
      </c>
      <c r="L32" s="393">
        <f t="shared" si="1"/>
        <v>61140</v>
      </c>
    </row>
    <row r="33" spans="1:12" ht="18" customHeight="1">
      <c r="A33" s="375" t="s">
        <v>97</v>
      </c>
      <c r="B33" s="376" t="s">
        <v>1711</v>
      </c>
      <c r="C33" s="376" t="s">
        <v>95</v>
      </c>
      <c r="D33" s="386" t="s">
        <v>1710</v>
      </c>
      <c r="E33" s="381">
        <v>230305</v>
      </c>
      <c r="F33" s="381">
        <v>1729595</v>
      </c>
      <c r="G33" s="381"/>
      <c r="H33" s="381">
        <v>10850</v>
      </c>
      <c r="I33" s="381">
        <v>55620</v>
      </c>
      <c r="J33" s="379">
        <f t="shared" si="0"/>
        <v>2026370</v>
      </c>
      <c r="K33" s="392">
        <v>1965230</v>
      </c>
      <c r="L33" s="393">
        <f t="shared" si="1"/>
        <v>61140</v>
      </c>
    </row>
    <row r="34" spans="1:12" ht="18" customHeight="1">
      <c r="A34" s="375" t="s">
        <v>99</v>
      </c>
      <c r="B34" s="376" t="s">
        <v>100</v>
      </c>
      <c r="C34" s="376"/>
      <c r="D34" s="377" t="s">
        <v>25</v>
      </c>
      <c r="E34" s="378">
        <f>E35</f>
        <v>3840</v>
      </c>
      <c r="F34" s="378">
        <f>F35</f>
        <v>4590</v>
      </c>
      <c r="G34" s="378">
        <f>G35</f>
        <v>1440</v>
      </c>
      <c r="H34" s="378">
        <f>H35</f>
        <v>2760</v>
      </c>
      <c r="I34" s="378">
        <f>I35</f>
        <v>0</v>
      </c>
      <c r="J34" s="379">
        <f t="shared" si="0"/>
        <v>12630</v>
      </c>
      <c r="K34" s="392">
        <v>15240</v>
      </c>
      <c r="L34" s="393">
        <f t="shared" si="1"/>
        <v>-2610</v>
      </c>
    </row>
    <row r="35" spans="1:12" ht="18" customHeight="1">
      <c r="A35" s="375" t="s">
        <v>101</v>
      </c>
      <c r="B35" s="376" t="s">
        <v>102</v>
      </c>
      <c r="C35" s="376" t="s">
        <v>31</v>
      </c>
      <c r="D35" s="377" t="s">
        <v>32</v>
      </c>
      <c r="E35" s="381">
        <v>3840</v>
      </c>
      <c r="F35" s="381">
        <v>4590</v>
      </c>
      <c r="G35" s="381">
        <v>1440</v>
      </c>
      <c r="H35" s="381">
        <v>2760</v>
      </c>
      <c r="I35" s="381"/>
      <c r="J35" s="379">
        <f t="shared" si="0"/>
        <v>12630</v>
      </c>
      <c r="K35" s="392">
        <v>15240</v>
      </c>
      <c r="L35" s="393">
        <f t="shared" si="1"/>
        <v>-2610</v>
      </c>
    </row>
    <row r="36" spans="1:12" ht="18" customHeight="1">
      <c r="A36" s="375" t="s">
        <v>103</v>
      </c>
      <c r="B36" s="376" t="s">
        <v>104</v>
      </c>
      <c r="C36" s="376"/>
      <c r="D36" s="377" t="s">
        <v>25</v>
      </c>
      <c r="E36" s="378">
        <f>E37</f>
        <v>0</v>
      </c>
      <c r="F36" s="378">
        <f>F37</f>
        <v>0</v>
      </c>
      <c r="G36" s="378">
        <f>G37</f>
        <v>0</v>
      </c>
      <c r="H36" s="378">
        <f>H37</f>
        <v>0</v>
      </c>
      <c r="I36" s="378">
        <f>I37</f>
        <v>0</v>
      </c>
      <c r="J36" s="379">
        <f t="shared" si="0"/>
        <v>0</v>
      </c>
      <c r="K36" s="392">
        <v>0</v>
      </c>
      <c r="L36" s="393">
        <f t="shared" si="1"/>
        <v>0</v>
      </c>
    </row>
    <row r="37" spans="1:12" ht="18" customHeight="1">
      <c r="A37" s="375" t="s">
        <v>105</v>
      </c>
      <c r="B37" s="376" t="s">
        <v>1712</v>
      </c>
      <c r="C37" s="376" t="s">
        <v>31</v>
      </c>
      <c r="D37" s="386" t="s">
        <v>107</v>
      </c>
      <c r="E37" s="380"/>
      <c r="F37" s="380"/>
      <c r="G37" s="380"/>
      <c r="H37" s="380"/>
      <c r="I37" s="380"/>
      <c r="J37" s="379">
        <f t="shared" si="0"/>
        <v>0</v>
      </c>
      <c r="K37" s="395">
        <v>0</v>
      </c>
      <c r="L37" s="393">
        <f t="shared" si="1"/>
        <v>0</v>
      </c>
    </row>
    <row r="38" spans="1:12" ht="18" customHeight="1">
      <c r="A38" s="375" t="s">
        <v>108</v>
      </c>
      <c r="B38" s="376" t="s">
        <v>109</v>
      </c>
      <c r="C38" s="376"/>
      <c r="D38" s="377" t="s">
        <v>25</v>
      </c>
      <c r="E38" s="378">
        <f>E39+E41+E43+E45+E47+E50+E52+E54+E58</f>
        <v>3121619.4</v>
      </c>
      <c r="F38" s="378">
        <f>F39+F41+F43+F45+F47+F50+F52+F54+F58</f>
        <v>8014779.0099999998</v>
      </c>
      <c r="G38" s="378">
        <f>G39+G41+G43+G45+G47+G50+G52+G54+G58</f>
        <v>1290423.8900000001</v>
      </c>
      <c r="H38" s="378">
        <f>H39+H41+H43+H45+H47+H50+H52+H54+H58</f>
        <v>2594736.85</v>
      </c>
      <c r="I38" s="378">
        <f>I39+I41+I43+I45+I47+I50+I52+I54+I58</f>
        <v>286627.18</v>
      </c>
      <c r="J38" s="379">
        <f t="shared" si="0"/>
        <v>15308186.33</v>
      </c>
      <c r="K38" s="392">
        <v>15200100.08</v>
      </c>
      <c r="L38" s="393">
        <f t="shared" si="1"/>
        <v>108086.25</v>
      </c>
    </row>
    <row r="39" spans="1:12" ht="18" customHeight="1">
      <c r="A39" s="375" t="s">
        <v>110</v>
      </c>
      <c r="B39" s="376" t="s">
        <v>111</v>
      </c>
      <c r="C39" s="376"/>
      <c r="D39" s="377" t="s">
        <v>112</v>
      </c>
      <c r="E39" s="381">
        <v>2255000</v>
      </c>
      <c r="F39" s="381">
        <v>5766485</v>
      </c>
      <c r="G39" s="381">
        <v>858000</v>
      </c>
      <c r="H39" s="381">
        <v>2009150</v>
      </c>
      <c r="I39" s="381">
        <v>134400</v>
      </c>
      <c r="J39" s="379">
        <f t="shared" si="0"/>
        <v>11023035</v>
      </c>
      <c r="K39" s="392">
        <v>10894560</v>
      </c>
      <c r="L39" s="393">
        <f t="shared" si="1"/>
        <v>128475</v>
      </c>
    </row>
    <row r="40" spans="1:12" ht="18" customHeight="1">
      <c r="A40" s="375" t="s">
        <v>113</v>
      </c>
      <c r="B40" s="376" t="s">
        <v>1713</v>
      </c>
      <c r="C40" s="376" t="s">
        <v>1714</v>
      </c>
      <c r="D40" s="388" t="s">
        <v>1715</v>
      </c>
      <c r="E40" s="381">
        <v>87981.5</v>
      </c>
      <c r="F40" s="381">
        <v>288324.25</v>
      </c>
      <c r="G40" s="381">
        <v>35893</v>
      </c>
      <c r="H40" s="381">
        <v>75575.5</v>
      </c>
      <c r="I40" s="381">
        <v>6720</v>
      </c>
      <c r="J40" s="379">
        <f t="shared" si="0"/>
        <v>494494.25</v>
      </c>
      <c r="K40" s="392">
        <v>491707</v>
      </c>
      <c r="L40" s="393">
        <f t="shared" si="1"/>
        <v>2787.25</v>
      </c>
    </row>
    <row r="41" spans="1:12" ht="18" customHeight="1">
      <c r="A41" s="375" t="s">
        <v>117</v>
      </c>
      <c r="B41" s="376" t="s">
        <v>118</v>
      </c>
      <c r="C41" s="376"/>
      <c r="D41" s="377"/>
      <c r="E41" s="378">
        <f>E42</f>
        <v>26000</v>
      </c>
      <c r="F41" s="378">
        <f>F42</f>
        <v>49200</v>
      </c>
      <c r="G41" s="378">
        <f>G42</f>
        <v>10800</v>
      </c>
      <c r="H41" s="378">
        <f>H42</f>
        <v>19200</v>
      </c>
      <c r="I41" s="378">
        <f>I42</f>
        <v>0</v>
      </c>
      <c r="J41" s="379">
        <f t="shared" si="0"/>
        <v>105200</v>
      </c>
      <c r="K41" s="392">
        <v>106400</v>
      </c>
      <c r="L41" s="393">
        <f t="shared" si="1"/>
        <v>-1200</v>
      </c>
    </row>
    <row r="42" spans="1:12" s="13" customFormat="1" ht="18" customHeight="1">
      <c r="A42" s="375" t="s">
        <v>119</v>
      </c>
      <c r="B42" s="382" t="s">
        <v>120</v>
      </c>
      <c r="C42" s="382" t="s">
        <v>31</v>
      </c>
      <c r="D42" s="387" t="s">
        <v>1716</v>
      </c>
      <c r="E42" s="381">
        <v>26000</v>
      </c>
      <c r="F42" s="381">
        <v>49200</v>
      </c>
      <c r="G42" s="381">
        <v>10800</v>
      </c>
      <c r="H42" s="381">
        <v>19200</v>
      </c>
      <c r="I42" s="381"/>
      <c r="J42" s="379">
        <f t="shared" si="0"/>
        <v>105200</v>
      </c>
      <c r="K42" s="392">
        <v>106400</v>
      </c>
      <c r="L42" s="393">
        <f t="shared" si="1"/>
        <v>-1200</v>
      </c>
    </row>
    <row r="43" spans="1:12" ht="18" customHeight="1">
      <c r="A43" s="375" t="s">
        <v>122</v>
      </c>
      <c r="B43" s="376" t="s">
        <v>123</v>
      </c>
      <c r="C43" s="376"/>
      <c r="D43" s="377" t="s">
        <v>25</v>
      </c>
      <c r="E43" s="378">
        <f>E44</f>
        <v>133698.9</v>
      </c>
      <c r="F43" s="378">
        <f>F44</f>
        <v>424758.3</v>
      </c>
      <c r="G43" s="378">
        <f>G44</f>
        <v>133521.60000000001</v>
      </c>
      <c r="H43" s="378">
        <f>H44</f>
        <v>102155.85</v>
      </c>
      <c r="I43" s="378">
        <f>I44</f>
        <v>54900</v>
      </c>
      <c r="J43" s="379">
        <f t="shared" si="0"/>
        <v>849034.64999999991</v>
      </c>
      <c r="K43" s="392">
        <v>845884.65</v>
      </c>
      <c r="L43" s="393">
        <f t="shared" si="1"/>
        <v>3149.9999999998836</v>
      </c>
    </row>
    <row r="44" spans="1:12" s="13" customFormat="1" ht="18" customHeight="1">
      <c r="A44" s="375" t="s">
        <v>124</v>
      </c>
      <c r="B44" s="382" t="s">
        <v>125</v>
      </c>
      <c r="C44" s="382" t="s">
        <v>31</v>
      </c>
      <c r="D44" s="387" t="s">
        <v>1717</v>
      </c>
      <c r="E44" s="381">
        <v>133698.9</v>
      </c>
      <c r="F44" s="381">
        <v>424758.3</v>
      </c>
      <c r="G44" s="381">
        <v>133521.60000000001</v>
      </c>
      <c r="H44" s="381">
        <v>102155.85</v>
      </c>
      <c r="I44" s="381">
        <v>54900</v>
      </c>
      <c r="J44" s="379">
        <f t="shared" si="0"/>
        <v>849034.64999999991</v>
      </c>
      <c r="K44" s="392">
        <v>845884.65</v>
      </c>
      <c r="L44" s="393">
        <f t="shared" si="1"/>
        <v>3149.9999999998836</v>
      </c>
    </row>
    <row r="45" spans="1:12" ht="18" customHeight="1">
      <c r="A45" s="375" t="s">
        <v>127</v>
      </c>
      <c r="B45" s="376" t="s">
        <v>128</v>
      </c>
      <c r="C45" s="376"/>
      <c r="D45" s="377" t="s">
        <v>25</v>
      </c>
      <c r="E45" s="378">
        <f>E46</f>
        <v>26120</v>
      </c>
      <c r="F45" s="378">
        <f>F46</f>
        <v>119152</v>
      </c>
      <c r="G45" s="378">
        <f>G46</f>
        <v>28984</v>
      </c>
      <c r="H45" s="378">
        <f>H46</f>
        <v>26976</v>
      </c>
      <c r="I45" s="378">
        <f>I46</f>
        <v>20000</v>
      </c>
      <c r="J45" s="379">
        <f t="shared" si="0"/>
        <v>221232</v>
      </c>
      <c r="K45" s="392">
        <v>222832</v>
      </c>
      <c r="L45" s="393">
        <f t="shared" si="1"/>
        <v>-1600</v>
      </c>
    </row>
    <row r="46" spans="1:12" s="13" customFormat="1" ht="18" customHeight="1">
      <c r="A46" s="375" t="s">
        <v>129</v>
      </c>
      <c r="B46" s="382" t="s">
        <v>130</v>
      </c>
      <c r="C46" s="382" t="s">
        <v>31</v>
      </c>
      <c r="D46" s="387" t="s">
        <v>1718</v>
      </c>
      <c r="E46" s="381">
        <v>26120</v>
      </c>
      <c r="F46" s="381">
        <v>119152</v>
      </c>
      <c r="G46" s="381">
        <v>28984</v>
      </c>
      <c r="H46" s="381">
        <v>26976</v>
      </c>
      <c r="I46" s="381">
        <v>20000</v>
      </c>
      <c r="J46" s="379">
        <f t="shared" si="0"/>
        <v>221232</v>
      </c>
      <c r="K46" s="392">
        <v>222832</v>
      </c>
      <c r="L46" s="393">
        <f t="shared" si="1"/>
        <v>-1600</v>
      </c>
    </row>
    <row r="47" spans="1:12" ht="18" customHeight="1">
      <c r="A47" s="375" t="s">
        <v>132</v>
      </c>
      <c r="B47" s="376" t="s">
        <v>1719</v>
      </c>
      <c r="C47" s="376"/>
      <c r="D47" s="377" t="s">
        <v>25</v>
      </c>
      <c r="E47" s="378">
        <f>E48+E49</f>
        <v>345600</v>
      </c>
      <c r="F47" s="378">
        <f>F48+F49</f>
        <v>925560</v>
      </c>
      <c r="G47" s="378">
        <f>G48+G49</f>
        <v>116640</v>
      </c>
      <c r="H47" s="378">
        <f>H48+H49</f>
        <v>204840</v>
      </c>
      <c r="I47" s="378">
        <f>I48+I49</f>
        <v>32720</v>
      </c>
      <c r="J47" s="379">
        <f t="shared" si="0"/>
        <v>1625360</v>
      </c>
      <c r="K47" s="392">
        <v>1602720</v>
      </c>
      <c r="L47" s="393">
        <f t="shared" si="1"/>
        <v>22640</v>
      </c>
    </row>
    <row r="48" spans="1:12" s="13" customFormat="1" ht="18" customHeight="1">
      <c r="A48" s="375" t="s">
        <v>134</v>
      </c>
      <c r="B48" s="382" t="s">
        <v>1720</v>
      </c>
      <c r="C48" s="382" t="s">
        <v>31</v>
      </c>
      <c r="D48" s="387" t="s">
        <v>1721</v>
      </c>
      <c r="E48" s="381">
        <v>285120</v>
      </c>
      <c r="F48" s="381">
        <v>510840</v>
      </c>
      <c r="G48" s="381">
        <v>116640</v>
      </c>
      <c r="H48" s="381">
        <v>200520</v>
      </c>
      <c r="I48" s="381">
        <v>25920</v>
      </c>
      <c r="J48" s="379">
        <f t="shared" si="0"/>
        <v>1139040</v>
      </c>
      <c r="K48" s="392">
        <v>1149120</v>
      </c>
      <c r="L48" s="393">
        <f t="shared" si="1"/>
        <v>-10080</v>
      </c>
    </row>
    <row r="49" spans="1:12" s="13" customFormat="1" ht="18" customHeight="1">
      <c r="A49" s="375" t="s">
        <v>137</v>
      </c>
      <c r="B49" s="382" t="s">
        <v>1722</v>
      </c>
      <c r="C49" s="382" t="s">
        <v>31</v>
      </c>
      <c r="D49" s="387" t="s">
        <v>1723</v>
      </c>
      <c r="E49" s="381">
        <v>60480</v>
      </c>
      <c r="F49" s="381">
        <v>414720</v>
      </c>
      <c r="G49" s="381"/>
      <c r="H49" s="381">
        <v>4320</v>
      </c>
      <c r="I49" s="381">
        <v>6800</v>
      </c>
      <c r="J49" s="379">
        <f t="shared" si="0"/>
        <v>486320</v>
      </c>
      <c r="K49" s="392">
        <v>453600</v>
      </c>
      <c r="L49" s="393">
        <f t="shared" si="1"/>
        <v>32720</v>
      </c>
    </row>
    <row r="50" spans="1:12" ht="18" customHeight="1">
      <c r="A50" s="375" t="s">
        <v>140</v>
      </c>
      <c r="B50" s="376" t="s">
        <v>1724</v>
      </c>
      <c r="C50" s="376"/>
      <c r="D50" s="377" t="s">
        <v>25</v>
      </c>
      <c r="E50" s="378">
        <f>E51</f>
        <v>300240</v>
      </c>
      <c r="F50" s="378">
        <f>F51</f>
        <v>668173.71</v>
      </c>
      <c r="G50" s="378">
        <f>G51</f>
        <v>109378.29</v>
      </c>
      <c r="H50" s="378">
        <f>H51</f>
        <v>196440</v>
      </c>
      <c r="I50" s="378">
        <f>I51</f>
        <v>32607.18</v>
      </c>
      <c r="J50" s="379">
        <f t="shared" si="0"/>
        <v>1306839.18</v>
      </c>
      <c r="K50" s="392">
        <v>1303803.4300000002</v>
      </c>
      <c r="L50" s="393">
        <f t="shared" si="1"/>
        <v>3035.7499999997672</v>
      </c>
    </row>
    <row r="51" spans="1:12" s="13" customFormat="1" ht="18" customHeight="1">
      <c r="A51" s="375" t="s">
        <v>142</v>
      </c>
      <c r="B51" s="382" t="s">
        <v>143</v>
      </c>
      <c r="C51" s="382" t="s">
        <v>31</v>
      </c>
      <c r="D51" s="377" t="s">
        <v>1725</v>
      </c>
      <c r="E51" s="381">
        <v>300240</v>
      </c>
      <c r="F51" s="381">
        <v>668173.71</v>
      </c>
      <c r="G51" s="381">
        <v>109378.29</v>
      </c>
      <c r="H51" s="381">
        <v>196440</v>
      </c>
      <c r="I51" s="381">
        <v>32607.18</v>
      </c>
      <c r="J51" s="379">
        <f t="shared" si="0"/>
        <v>1306839.18</v>
      </c>
      <c r="K51" s="392">
        <v>1303803.4300000002</v>
      </c>
      <c r="L51" s="393">
        <f t="shared" si="1"/>
        <v>3035.7499999997672</v>
      </c>
    </row>
    <row r="52" spans="1:12" ht="18" customHeight="1">
      <c r="A52" s="375" t="s">
        <v>144</v>
      </c>
      <c r="B52" s="376" t="s">
        <v>1726</v>
      </c>
      <c r="C52" s="376"/>
      <c r="D52" s="377" t="s">
        <v>25</v>
      </c>
      <c r="E52" s="378">
        <f>E53</f>
        <v>17500</v>
      </c>
      <c r="F52" s="378">
        <f>F53</f>
        <v>20000</v>
      </c>
      <c r="G52" s="378">
        <f>G53</f>
        <v>0</v>
      </c>
      <c r="H52" s="378">
        <f>H53</f>
        <v>0</v>
      </c>
      <c r="I52" s="378">
        <f>I53</f>
        <v>0</v>
      </c>
      <c r="J52" s="379">
        <f t="shared" si="0"/>
        <v>37500</v>
      </c>
      <c r="K52" s="392">
        <v>64000</v>
      </c>
      <c r="L52" s="393">
        <f t="shared" si="1"/>
        <v>-26500</v>
      </c>
    </row>
    <row r="53" spans="1:12" ht="18" customHeight="1">
      <c r="A53" s="375" t="s">
        <v>146</v>
      </c>
      <c r="B53" s="376" t="s">
        <v>147</v>
      </c>
      <c r="C53" s="376" t="s">
        <v>31</v>
      </c>
      <c r="D53" s="388" t="s">
        <v>1727</v>
      </c>
      <c r="E53" s="381">
        <v>17500</v>
      </c>
      <c r="F53" s="381">
        <v>20000</v>
      </c>
      <c r="G53" s="381"/>
      <c r="H53" s="381"/>
      <c r="I53" s="381"/>
      <c r="J53" s="379">
        <f t="shared" si="0"/>
        <v>37500</v>
      </c>
      <c r="K53" s="392">
        <v>64000</v>
      </c>
      <c r="L53" s="393">
        <f t="shared" si="1"/>
        <v>-26500</v>
      </c>
    </row>
    <row r="54" spans="1:12" ht="18" customHeight="1">
      <c r="A54" s="375" t="s">
        <v>149</v>
      </c>
      <c r="B54" s="376" t="s">
        <v>1728</v>
      </c>
      <c r="C54" s="376"/>
      <c r="D54" s="377" t="s">
        <v>25</v>
      </c>
      <c r="E54" s="378">
        <f>E55+E57</f>
        <v>7460.5</v>
      </c>
      <c r="F54" s="378">
        <f>F55+F57</f>
        <v>41450</v>
      </c>
      <c r="G54" s="378">
        <f>G55+G57</f>
        <v>1100</v>
      </c>
      <c r="H54" s="378">
        <f>H55+H57</f>
        <v>3975</v>
      </c>
      <c r="I54" s="378">
        <f>I55+I57</f>
        <v>0</v>
      </c>
      <c r="J54" s="379">
        <f t="shared" si="0"/>
        <v>53985.5</v>
      </c>
      <c r="K54" s="392">
        <v>53900</v>
      </c>
      <c r="L54" s="393">
        <f t="shared" si="1"/>
        <v>85.5</v>
      </c>
    </row>
    <row r="55" spans="1:12" ht="18" customHeight="1">
      <c r="A55" s="375" t="s">
        <v>151</v>
      </c>
      <c r="B55" s="376" t="s">
        <v>1729</v>
      </c>
      <c r="C55" s="376" t="s">
        <v>31</v>
      </c>
      <c r="D55" s="377" t="s">
        <v>25</v>
      </c>
      <c r="E55" s="378">
        <f>E56</f>
        <v>5600</v>
      </c>
      <c r="F55" s="378">
        <f>F56</f>
        <v>38400</v>
      </c>
      <c r="G55" s="378">
        <f>G56</f>
        <v>0</v>
      </c>
      <c r="H55" s="378">
        <f>H56</f>
        <v>400</v>
      </c>
      <c r="I55" s="378">
        <f>I56</f>
        <v>0</v>
      </c>
      <c r="J55" s="379">
        <f t="shared" si="0"/>
        <v>44400</v>
      </c>
      <c r="K55" s="392">
        <v>42000</v>
      </c>
      <c r="L55" s="393">
        <f t="shared" si="1"/>
        <v>2400</v>
      </c>
    </row>
    <row r="56" spans="1:12" s="13" customFormat="1" ht="18" customHeight="1">
      <c r="A56" s="375" t="s">
        <v>153</v>
      </c>
      <c r="B56" s="382" t="s">
        <v>154</v>
      </c>
      <c r="C56" s="382" t="s">
        <v>31</v>
      </c>
      <c r="D56" s="387" t="s">
        <v>1730</v>
      </c>
      <c r="E56" s="381">
        <v>5600</v>
      </c>
      <c r="F56" s="381">
        <v>38400</v>
      </c>
      <c r="G56" s="381"/>
      <c r="H56" s="381">
        <v>400</v>
      </c>
      <c r="I56" s="381"/>
      <c r="J56" s="379">
        <f t="shared" si="0"/>
        <v>44400</v>
      </c>
      <c r="K56" s="392">
        <v>42000</v>
      </c>
      <c r="L56" s="393">
        <f t="shared" si="1"/>
        <v>2400</v>
      </c>
    </row>
    <row r="57" spans="1:12" ht="18" customHeight="1">
      <c r="A57" s="375" t="s">
        <v>156</v>
      </c>
      <c r="B57" s="376" t="s">
        <v>1731</v>
      </c>
      <c r="C57" s="376" t="s">
        <v>31</v>
      </c>
      <c r="D57" s="388" t="s">
        <v>1732</v>
      </c>
      <c r="E57" s="389">
        <v>1860.5</v>
      </c>
      <c r="F57" s="389">
        <v>3050</v>
      </c>
      <c r="G57" s="389">
        <v>1100</v>
      </c>
      <c r="H57" s="389">
        <v>3575</v>
      </c>
      <c r="I57" s="389"/>
      <c r="J57" s="379">
        <f t="shared" si="0"/>
        <v>9585.5</v>
      </c>
      <c r="K57" s="395">
        <v>11900</v>
      </c>
      <c r="L57" s="393">
        <f t="shared" si="1"/>
        <v>-2314.5</v>
      </c>
    </row>
    <row r="58" spans="1:12" ht="18" customHeight="1">
      <c r="A58" s="375" t="s">
        <v>159</v>
      </c>
      <c r="B58" s="376" t="s">
        <v>1733</v>
      </c>
      <c r="C58" s="376"/>
      <c r="D58" s="377" t="s">
        <v>25</v>
      </c>
      <c r="E58" s="378">
        <f>E59</f>
        <v>10000</v>
      </c>
      <c r="F58" s="378">
        <f>F59</f>
        <v>0</v>
      </c>
      <c r="G58" s="378">
        <f>G59</f>
        <v>32000</v>
      </c>
      <c r="H58" s="378">
        <f>H59</f>
        <v>32000</v>
      </c>
      <c r="I58" s="378">
        <f>I59</f>
        <v>12000</v>
      </c>
      <c r="J58" s="379">
        <f t="shared" si="0"/>
        <v>86000</v>
      </c>
      <c r="K58" s="392">
        <v>106000</v>
      </c>
      <c r="L58" s="393">
        <f t="shared" si="1"/>
        <v>-20000</v>
      </c>
    </row>
    <row r="59" spans="1:12" ht="18" customHeight="1" thickBot="1">
      <c r="A59" s="375" t="s">
        <v>161</v>
      </c>
      <c r="B59" s="31" t="s">
        <v>162</v>
      </c>
      <c r="C59" s="376" t="s">
        <v>31</v>
      </c>
      <c r="D59" s="32" t="s">
        <v>1734</v>
      </c>
      <c r="E59" s="33">
        <v>10000</v>
      </c>
      <c r="F59" s="33"/>
      <c r="G59" s="33">
        <v>32000</v>
      </c>
      <c r="H59" s="33">
        <v>32000</v>
      </c>
      <c r="I59" s="33">
        <v>12000</v>
      </c>
      <c r="J59" s="379">
        <f t="shared" si="0"/>
        <v>86000</v>
      </c>
      <c r="K59" s="395">
        <v>106000</v>
      </c>
      <c r="L59" s="393">
        <f t="shared" si="1"/>
        <v>-20000</v>
      </c>
    </row>
    <row r="60" spans="1:12" ht="18" customHeight="1" thickTop="1">
      <c r="A60" s="375" t="s">
        <v>164</v>
      </c>
      <c r="B60" s="36" t="s">
        <v>165</v>
      </c>
      <c r="C60" s="36"/>
      <c r="D60" s="37"/>
      <c r="E60" s="38"/>
      <c r="F60" s="38"/>
      <c r="G60" s="38"/>
      <c r="H60" s="38"/>
      <c r="I60" s="38"/>
      <c r="J60" s="379">
        <f t="shared" si="0"/>
        <v>0</v>
      </c>
      <c r="K60" s="395">
        <v>0</v>
      </c>
      <c r="L60" s="393">
        <f t="shared" si="1"/>
        <v>0</v>
      </c>
    </row>
    <row r="61" spans="1:12" ht="18" customHeight="1">
      <c r="A61" s="375" t="s">
        <v>166</v>
      </c>
      <c r="B61" s="376" t="s">
        <v>167</v>
      </c>
      <c r="C61" s="376"/>
      <c r="D61" s="377" t="s">
        <v>1735</v>
      </c>
      <c r="E61" s="378">
        <f>E62+E63+E64+E65</f>
        <v>65</v>
      </c>
      <c r="F61" s="378">
        <f>F62+F63+F64+F65</f>
        <v>123</v>
      </c>
      <c r="G61" s="378">
        <f>G62+G63+G64+G65</f>
        <v>27</v>
      </c>
      <c r="H61" s="378">
        <f>H62+H63+H64+H65</f>
        <v>48</v>
      </c>
      <c r="I61" s="378">
        <f>I62+I63+I64+I65</f>
        <v>6</v>
      </c>
      <c r="J61" s="379">
        <f t="shared" si="0"/>
        <v>269</v>
      </c>
      <c r="K61" s="392">
        <v>266</v>
      </c>
      <c r="L61" s="393">
        <f t="shared" si="1"/>
        <v>3</v>
      </c>
    </row>
    <row r="62" spans="1:12" ht="18" customHeight="1">
      <c r="A62" s="375" t="s">
        <v>169</v>
      </c>
      <c r="B62" s="390" t="s">
        <v>170</v>
      </c>
      <c r="C62" s="390"/>
      <c r="D62" s="386"/>
      <c r="E62" s="380"/>
      <c r="F62" s="380">
        <v>61</v>
      </c>
      <c r="G62" s="380"/>
      <c r="H62" s="380"/>
      <c r="I62" s="380"/>
      <c r="J62" s="379">
        <f t="shared" si="0"/>
        <v>61</v>
      </c>
      <c r="K62" s="392">
        <v>55</v>
      </c>
      <c r="L62" s="393">
        <f t="shared" si="1"/>
        <v>6</v>
      </c>
    </row>
    <row r="63" spans="1:12" ht="18" customHeight="1">
      <c r="A63" s="375" t="s">
        <v>171</v>
      </c>
      <c r="B63" s="390" t="s">
        <v>172</v>
      </c>
      <c r="C63" s="390"/>
      <c r="D63" s="377"/>
      <c r="E63" s="381"/>
      <c r="F63" s="381">
        <v>62</v>
      </c>
      <c r="G63" s="381"/>
      <c r="H63" s="381"/>
      <c r="I63" s="381"/>
      <c r="J63" s="379">
        <f t="shared" si="0"/>
        <v>62</v>
      </c>
      <c r="K63" s="392">
        <v>64</v>
      </c>
      <c r="L63" s="393">
        <f t="shared" si="1"/>
        <v>-2</v>
      </c>
    </row>
    <row r="64" spans="1:12" ht="18" customHeight="1">
      <c r="A64" s="375" t="s">
        <v>173</v>
      </c>
      <c r="B64" s="390" t="s">
        <v>174</v>
      </c>
      <c r="C64" s="390"/>
      <c r="D64" s="386"/>
      <c r="E64" s="380">
        <v>65</v>
      </c>
      <c r="F64" s="380"/>
      <c r="G64" s="380">
        <v>27</v>
      </c>
      <c r="H64" s="380">
        <v>48</v>
      </c>
      <c r="I64" s="380"/>
      <c r="J64" s="379">
        <f t="shared" si="0"/>
        <v>140</v>
      </c>
      <c r="K64" s="392">
        <v>141</v>
      </c>
      <c r="L64" s="393">
        <f t="shared" si="1"/>
        <v>-1</v>
      </c>
    </row>
    <row r="65" spans="1:13" ht="18" customHeight="1">
      <c r="A65" s="375" t="s">
        <v>175</v>
      </c>
      <c r="B65" s="390" t="s">
        <v>176</v>
      </c>
      <c r="C65" s="390"/>
      <c r="D65" s="386"/>
      <c r="E65" s="380"/>
      <c r="F65" s="380"/>
      <c r="G65" s="380"/>
      <c r="H65" s="380"/>
      <c r="I65" s="380">
        <v>6</v>
      </c>
      <c r="J65" s="379">
        <f t="shared" si="0"/>
        <v>6</v>
      </c>
      <c r="K65" s="392">
        <v>6</v>
      </c>
      <c r="L65" s="393">
        <f t="shared" si="1"/>
        <v>0</v>
      </c>
    </row>
    <row r="66" spans="1:13" ht="18" customHeight="1">
      <c r="A66" s="375" t="s">
        <v>177</v>
      </c>
      <c r="B66" s="376" t="s">
        <v>178</v>
      </c>
      <c r="C66" s="376"/>
      <c r="D66" s="377" t="s">
        <v>1736</v>
      </c>
      <c r="E66" s="378">
        <f>E67+E68+E69+E70</f>
        <v>568</v>
      </c>
      <c r="F66" s="378">
        <f>F67+F68+F69+F70</f>
        <v>1672</v>
      </c>
      <c r="G66" s="378">
        <f>G67+G68+G69+G70</f>
        <v>246</v>
      </c>
      <c r="H66" s="378">
        <f>H67+H68+H69+H70</f>
        <v>486</v>
      </c>
      <c r="I66" s="378">
        <f>I67+I68+I69+I70</f>
        <v>0</v>
      </c>
      <c r="J66" s="379">
        <f t="shared" si="0"/>
        <v>2972</v>
      </c>
      <c r="K66" s="392">
        <v>2975</v>
      </c>
      <c r="L66" s="393">
        <f t="shared" si="1"/>
        <v>-3</v>
      </c>
    </row>
    <row r="67" spans="1:13" ht="18" customHeight="1">
      <c r="A67" s="375" t="s">
        <v>180</v>
      </c>
      <c r="B67" s="390" t="s">
        <v>170</v>
      </c>
      <c r="C67" s="390"/>
      <c r="D67" s="386"/>
      <c r="E67" s="380"/>
      <c r="F67" s="380">
        <v>854</v>
      </c>
      <c r="G67" s="380"/>
      <c r="H67" s="380"/>
      <c r="I67" s="380"/>
      <c r="J67" s="379">
        <f t="shared" ref="J67:J73" si="2">SUM(E67:I67)</f>
        <v>854</v>
      </c>
      <c r="K67" s="392">
        <v>731</v>
      </c>
      <c r="L67" s="393">
        <f t="shared" si="1"/>
        <v>123</v>
      </c>
    </row>
    <row r="68" spans="1:13" ht="18" customHeight="1">
      <c r="A68" s="375" t="s">
        <v>181</v>
      </c>
      <c r="B68" s="390" t="s">
        <v>172</v>
      </c>
      <c r="C68" s="390"/>
      <c r="D68" s="377"/>
      <c r="E68" s="381"/>
      <c r="F68" s="381">
        <v>818</v>
      </c>
      <c r="G68" s="381"/>
      <c r="H68" s="381"/>
      <c r="I68" s="381"/>
      <c r="J68" s="379">
        <f t="shared" si="2"/>
        <v>818</v>
      </c>
      <c r="K68" s="392">
        <v>824</v>
      </c>
      <c r="L68" s="393">
        <f t="shared" ref="L68:L73" si="3">J68-K68</f>
        <v>-6</v>
      </c>
    </row>
    <row r="69" spans="1:13" ht="18" customHeight="1">
      <c r="A69" s="375" t="s">
        <v>182</v>
      </c>
      <c r="B69" s="390" t="s">
        <v>174</v>
      </c>
      <c r="C69" s="390"/>
      <c r="D69" s="386"/>
      <c r="E69" s="380">
        <v>568</v>
      </c>
      <c r="F69" s="380"/>
      <c r="G69" s="380">
        <v>246</v>
      </c>
      <c r="H69" s="380">
        <v>486</v>
      </c>
      <c r="I69" s="380"/>
      <c r="J69" s="379">
        <f t="shared" si="2"/>
        <v>1300</v>
      </c>
      <c r="K69" s="392">
        <v>1420</v>
      </c>
      <c r="L69" s="393">
        <f t="shared" si="3"/>
        <v>-120</v>
      </c>
    </row>
    <row r="70" spans="1:13" ht="18" customHeight="1">
      <c r="A70" s="375" t="s">
        <v>183</v>
      </c>
      <c r="B70" s="390" t="s">
        <v>176</v>
      </c>
      <c r="C70" s="390"/>
      <c r="D70" s="386"/>
      <c r="E70" s="380"/>
      <c r="F70" s="380"/>
      <c r="G70" s="380"/>
      <c r="H70" s="380"/>
      <c r="I70" s="380"/>
      <c r="J70" s="379">
        <f t="shared" si="2"/>
        <v>0</v>
      </c>
      <c r="K70" s="392">
        <v>0</v>
      </c>
      <c r="L70" s="393">
        <f t="shared" si="3"/>
        <v>0</v>
      </c>
    </row>
    <row r="71" spans="1:13" ht="18" customHeight="1">
      <c r="A71" s="375" t="s">
        <v>184</v>
      </c>
      <c r="B71" s="376" t="s">
        <v>1737</v>
      </c>
      <c r="C71" s="376"/>
      <c r="D71" s="377"/>
      <c r="E71" s="381">
        <v>14</v>
      </c>
      <c r="F71" s="381">
        <v>96</v>
      </c>
      <c r="G71" s="381"/>
      <c r="H71" s="381">
        <v>1</v>
      </c>
      <c r="I71" s="381">
        <v>3</v>
      </c>
      <c r="J71" s="379">
        <f t="shared" si="2"/>
        <v>114</v>
      </c>
      <c r="K71" s="392">
        <v>105</v>
      </c>
      <c r="L71" s="393">
        <f t="shared" si="3"/>
        <v>9</v>
      </c>
    </row>
    <row r="72" spans="1:13" ht="18" customHeight="1">
      <c r="A72" s="375" t="s">
        <v>186</v>
      </c>
      <c r="B72" s="390" t="s">
        <v>1738</v>
      </c>
      <c r="C72" s="390"/>
      <c r="D72" s="388"/>
      <c r="E72" s="381">
        <v>8913.26</v>
      </c>
      <c r="F72" s="381">
        <v>28317.22</v>
      </c>
      <c r="G72" s="381">
        <v>8901.44</v>
      </c>
      <c r="H72" s="381">
        <v>6810.39</v>
      </c>
      <c r="I72" s="381">
        <v>3660</v>
      </c>
      <c r="J72" s="379">
        <f t="shared" si="2"/>
        <v>56602.310000000005</v>
      </c>
      <c r="K72" s="392">
        <v>56392.310000000005</v>
      </c>
      <c r="L72" s="393">
        <f t="shared" si="3"/>
        <v>210</v>
      </c>
      <c r="M72" s="1" t="s">
        <v>1739</v>
      </c>
    </row>
    <row r="73" spans="1:13" ht="18" customHeight="1">
      <c r="A73" s="375" t="s">
        <v>188</v>
      </c>
      <c r="B73" s="390" t="s">
        <v>1740</v>
      </c>
      <c r="C73" s="390"/>
      <c r="D73" s="388"/>
      <c r="E73" s="381">
        <v>3265</v>
      </c>
      <c r="F73" s="381">
        <v>14894</v>
      </c>
      <c r="G73" s="381">
        <v>3623</v>
      </c>
      <c r="H73" s="381">
        <v>3372</v>
      </c>
      <c r="I73" s="381">
        <v>2700</v>
      </c>
      <c r="J73" s="379">
        <f t="shared" si="2"/>
        <v>27854</v>
      </c>
      <c r="K73" s="392">
        <v>27854</v>
      </c>
      <c r="L73" s="393">
        <f t="shared" si="3"/>
        <v>0</v>
      </c>
    </row>
    <row r="74" spans="1:13" ht="18" customHeight="1">
      <c r="E74" s="396">
        <f t="shared" ref="E74:J74" si="4">E4/E61</f>
        <v>323157.7493846154</v>
      </c>
      <c r="F74" s="396">
        <f t="shared" si="4"/>
        <v>377878.98292682925</v>
      </c>
      <c r="G74" s="396">
        <f t="shared" si="4"/>
        <v>306513.64925925923</v>
      </c>
      <c r="H74" s="396">
        <f t="shared" si="4"/>
        <v>301211.99604166666</v>
      </c>
      <c r="I74" s="396">
        <f t="shared" si="4"/>
        <v>368854.81499999994</v>
      </c>
      <c r="J74" s="396">
        <f t="shared" si="4"/>
        <v>343611.67970260227</v>
      </c>
    </row>
  </sheetData>
  <protectedRanges>
    <protectedRange password="E9C1" sqref="D29 C30 A4:D5 B6:D28 B31:D73 J4:K73 A6:A73 A2:K3" name="区域1_1_2"/>
    <protectedRange password="E9C1" sqref="B29:C29 B30" name="区域1_1_1_1"/>
    <protectedRange password="E9C1" sqref="D30" name="区域1_2_1"/>
  </protectedRanges>
  <mergeCells count="1">
    <mergeCell ref="A1:L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8" orientation="landscape" r:id="rId1"/>
  <headerFooter>
    <oddFooter>第 &amp;P 页，共 &amp;N 页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dimension ref="A1:F8"/>
  <sheetViews>
    <sheetView workbookViewId="0">
      <selection activeCell="M8" sqref="M8"/>
    </sheetView>
  </sheetViews>
  <sheetFormatPr defaultColWidth="9" defaultRowHeight="13.5" outlineLevelRow="2"/>
  <cols>
    <col min="1" max="1" width="19.25" style="446" customWidth="1"/>
    <col min="2" max="2" width="40.25" style="446" customWidth="1"/>
    <col min="3" max="3" width="20.625" style="446" hidden="1" customWidth="1"/>
    <col min="4" max="4" width="20.625" style="446" customWidth="1"/>
    <col min="5" max="5" width="24.75" style="446" customWidth="1"/>
    <col min="6" max="6" width="18.25" style="446" customWidth="1"/>
    <col min="7" max="16384" width="9" style="446"/>
  </cols>
  <sheetData>
    <row r="1" spans="1:6" s="438" customFormat="1" ht="20.25">
      <c r="A1" s="581" t="s">
        <v>1679</v>
      </c>
      <c r="B1" s="582"/>
      <c r="C1" s="582"/>
      <c r="D1" s="582"/>
      <c r="E1" s="582"/>
      <c r="F1" s="583"/>
    </row>
    <row r="2" spans="1:6" s="440" customFormat="1" ht="17.100000000000001" customHeight="1">
      <c r="A2" s="439" t="s">
        <v>1673</v>
      </c>
      <c r="B2" s="439" t="s">
        <v>1674</v>
      </c>
      <c r="C2" s="439" t="s">
        <v>1675</v>
      </c>
      <c r="D2" s="439" t="s">
        <v>1676</v>
      </c>
      <c r="E2" s="439" t="s">
        <v>1677</v>
      </c>
      <c r="F2" s="439" t="s">
        <v>1678</v>
      </c>
    </row>
    <row r="3" spans="1:6" s="440" customFormat="1" ht="17.100000000000001" customHeight="1" outlineLevel="2">
      <c r="A3" s="441" t="s">
        <v>1680</v>
      </c>
      <c r="B3" s="442" t="s">
        <v>1681</v>
      </c>
      <c r="C3" s="441">
        <v>1050840</v>
      </c>
      <c r="D3" s="203">
        <v>189518.7</v>
      </c>
      <c r="E3" s="203">
        <f>ROUND(C3/0.07*0.015*0.9,2)</f>
        <v>202662</v>
      </c>
      <c r="F3" s="204">
        <f>D3-E3</f>
        <v>-13143.299999999988</v>
      </c>
    </row>
    <row r="4" spans="1:6" s="440" customFormat="1" ht="17.100000000000001" customHeight="1" outlineLevel="2">
      <c r="A4" s="441" t="s">
        <v>1680</v>
      </c>
      <c r="B4" s="442" t="s">
        <v>1682</v>
      </c>
      <c r="C4" s="441">
        <v>687540</v>
      </c>
      <c r="D4" s="203">
        <v>129269.9</v>
      </c>
      <c r="E4" s="203">
        <f>ROUND(C4/0.07*0.015*0.9,2)</f>
        <v>132597</v>
      </c>
      <c r="F4" s="204">
        <f t="shared" ref="F4:F7" si="0">D4-E4</f>
        <v>-3327.1000000000058</v>
      </c>
    </row>
    <row r="5" spans="1:6" s="440" customFormat="1" ht="17.100000000000001" customHeight="1" outlineLevel="2">
      <c r="A5" s="441" t="s">
        <v>1680</v>
      </c>
      <c r="B5" s="442" t="s">
        <v>1683</v>
      </c>
      <c r="C5" s="441">
        <v>382824</v>
      </c>
      <c r="D5" s="203">
        <v>69546.2</v>
      </c>
      <c r="E5" s="203">
        <f t="shared" ref="E5:E7" si="1">ROUND(C5/0.07*0.015*0.9,2)</f>
        <v>73830.34</v>
      </c>
      <c r="F5" s="204">
        <f t="shared" si="0"/>
        <v>-4284.1399999999994</v>
      </c>
    </row>
    <row r="6" spans="1:6" s="440" customFormat="1" ht="17.100000000000001" customHeight="1" outlineLevel="2">
      <c r="A6" s="441" t="s">
        <v>1680</v>
      </c>
      <c r="B6" s="442" t="s">
        <v>471</v>
      </c>
      <c r="C6" s="441">
        <v>103500</v>
      </c>
      <c r="D6" s="203"/>
      <c r="E6" s="203">
        <f t="shared" si="1"/>
        <v>19960.71</v>
      </c>
      <c r="F6" s="204">
        <f t="shared" si="0"/>
        <v>-19960.71</v>
      </c>
    </row>
    <row r="7" spans="1:6" s="440" customFormat="1" ht="17.100000000000001" customHeight="1" outlineLevel="2">
      <c r="A7" s="441" t="s">
        <v>1680</v>
      </c>
      <c r="B7" s="443" t="s">
        <v>466</v>
      </c>
      <c r="C7" s="441">
        <v>2338608</v>
      </c>
      <c r="D7" s="203">
        <v>396192.1</v>
      </c>
      <c r="E7" s="203">
        <f t="shared" si="1"/>
        <v>451017.26</v>
      </c>
      <c r="F7" s="204">
        <f t="shared" si="0"/>
        <v>-54825.160000000033</v>
      </c>
    </row>
    <row r="8" spans="1:6" s="440" customFormat="1" ht="17.100000000000001" customHeight="1" outlineLevel="1">
      <c r="A8" s="444" t="s">
        <v>498</v>
      </c>
      <c r="B8" s="445"/>
      <c r="C8" s="439">
        <f>SUBTOTAL(9,C3:C7)</f>
        <v>4563312</v>
      </c>
      <c r="D8" s="460">
        <f>SUM(D3:D7)</f>
        <v>784526.89999999991</v>
      </c>
      <c r="E8" s="460">
        <f>SUM(E3:E7)</f>
        <v>880067.31</v>
      </c>
      <c r="F8" s="461">
        <f>SUM(F3:F7)</f>
        <v>-95540.410000000033</v>
      </c>
    </row>
  </sheetData>
  <mergeCells count="1">
    <mergeCell ref="A1:F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  <headerFooter>
    <oddFooter>第 &amp;P 页，共 &amp;N 页</oddFooter>
  </headerFooter>
</worksheet>
</file>

<file path=xl/worksheets/sheet36.xml><?xml version="1.0" encoding="utf-8"?>
<worksheet xmlns="http://schemas.openxmlformats.org/spreadsheetml/2006/main" xmlns:r="http://schemas.openxmlformats.org/officeDocument/2006/relationships">
  <dimension ref="A1:K4"/>
  <sheetViews>
    <sheetView topLeftCell="B1" workbookViewId="0">
      <selection activeCell="M8" sqref="M8"/>
    </sheetView>
  </sheetViews>
  <sheetFormatPr defaultColWidth="9" defaultRowHeight="13.5" outlineLevelRow="2"/>
  <cols>
    <col min="1" max="1" width="5.25" style="144" hidden="1" customWidth="1"/>
    <col min="2" max="2" width="10.875" style="144" customWidth="1"/>
    <col min="3" max="3" width="10.125" style="144" customWidth="1"/>
    <col min="4" max="4" width="24.375" style="144" customWidth="1"/>
    <col min="5" max="5" width="15.375" style="372" bestFit="1" customWidth="1"/>
    <col min="6" max="6" width="13" style="403" customWidth="1"/>
    <col min="7" max="7" width="17.125" style="403" customWidth="1"/>
    <col min="8" max="8" width="13.625" style="403" customWidth="1"/>
    <col min="9" max="9" width="12.875" style="403" customWidth="1"/>
    <col min="10" max="10" width="13.75" style="403" customWidth="1"/>
    <col min="11" max="11" width="15.875" style="403" customWidth="1"/>
    <col min="12" max="16384" width="9" style="144"/>
  </cols>
  <sheetData>
    <row r="1" spans="1:11" ht="18.75">
      <c r="A1" s="584" t="s">
        <v>1756</v>
      </c>
      <c r="B1" s="584"/>
      <c r="C1" s="584"/>
      <c r="D1" s="584"/>
      <c r="E1" s="577"/>
      <c r="F1" s="577"/>
      <c r="G1" s="577"/>
      <c r="H1" s="577"/>
      <c r="I1" s="577"/>
      <c r="J1" s="577"/>
      <c r="K1" s="577"/>
    </row>
    <row r="2" spans="1:11" ht="15" customHeight="1">
      <c r="A2" s="145" t="s">
        <v>360</v>
      </c>
      <c r="B2" s="397" t="s">
        <v>589</v>
      </c>
      <c r="C2" s="397" t="s">
        <v>717</v>
      </c>
      <c r="D2" s="397" t="s">
        <v>718</v>
      </c>
      <c r="E2" s="397" t="s">
        <v>1754</v>
      </c>
      <c r="F2" s="397" t="s">
        <v>1755</v>
      </c>
      <c r="G2" s="397" t="s">
        <v>1754</v>
      </c>
      <c r="H2" s="397" t="s">
        <v>1755</v>
      </c>
      <c r="I2" s="397" t="s">
        <v>608</v>
      </c>
      <c r="J2" s="397" t="s">
        <v>496</v>
      </c>
      <c r="K2" s="397" t="s">
        <v>1678</v>
      </c>
    </row>
    <row r="3" spans="1:11" ht="15" customHeight="1" outlineLevel="2">
      <c r="A3" s="148" t="s">
        <v>721</v>
      </c>
      <c r="B3" s="398" t="s">
        <v>2</v>
      </c>
      <c r="C3" s="398" t="s">
        <v>722</v>
      </c>
      <c r="D3" s="398" t="s">
        <v>1757</v>
      </c>
      <c r="E3" s="401">
        <v>205550.53</v>
      </c>
      <c r="F3" s="203">
        <v>28799.16</v>
      </c>
      <c r="G3" s="203">
        <v>247863.55</v>
      </c>
      <c r="H3" s="203">
        <v>31797.449999999997</v>
      </c>
      <c r="I3" s="203">
        <f>E3+F3+G3+H3</f>
        <v>514010.69</v>
      </c>
      <c r="J3" s="203">
        <v>602730</v>
      </c>
      <c r="K3" s="203">
        <f>I3-J3</f>
        <v>-88719.31</v>
      </c>
    </row>
    <row r="4" spans="1:11" ht="15" customHeight="1" outlineLevel="1">
      <c r="A4" s="148"/>
      <c r="B4" s="399" t="s">
        <v>498</v>
      </c>
      <c r="C4" s="400"/>
      <c r="D4" s="400"/>
      <c r="E4" s="402">
        <f>SUBTOTAL(9,E3:E3)</f>
        <v>205550.53</v>
      </c>
      <c r="F4" s="402">
        <f t="shared" ref="F4:K4" si="0">SUBTOTAL(9,F3:F3)</f>
        <v>28799.16</v>
      </c>
      <c r="G4" s="402">
        <f t="shared" si="0"/>
        <v>247863.55</v>
      </c>
      <c r="H4" s="402">
        <f t="shared" si="0"/>
        <v>31797.449999999997</v>
      </c>
      <c r="I4" s="402">
        <f t="shared" si="0"/>
        <v>514010.69</v>
      </c>
      <c r="J4" s="402">
        <f t="shared" si="0"/>
        <v>602730</v>
      </c>
      <c r="K4" s="402">
        <f t="shared" si="0"/>
        <v>-88719.31</v>
      </c>
    </row>
  </sheetData>
  <mergeCells count="1">
    <mergeCell ref="A1:K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0" orientation="landscape" r:id="rId1"/>
  <headerFooter>
    <oddFooter>第 &amp;P 页，共 &amp;N 页</oddFooter>
  </headerFooter>
</worksheet>
</file>

<file path=xl/worksheets/sheet37.xml><?xml version="1.0" encoding="utf-8"?>
<worksheet xmlns="http://schemas.openxmlformats.org/spreadsheetml/2006/main" xmlns:r="http://schemas.openxmlformats.org/officeDocument/2006/relationships">
  <dimension ref="A1:H4"/>
  <sheetViews>
    <sheetView topLeftCell="B1" workbookViewId="0">
      <selection activeCell="M8" sqref="M8"/>
    </sheetView>
  </sheetViews>
  <sheetFormatPr defaultColWidth="9" defaultRowHeight="13.5"/>
  <cols>
    <col min="1" max="1" width="5.25" style="407" hidden="1" customWidth="1"/>
    <col min="2" max="2" width="29.375" style="407" bestFit="1" customWidth="1"/>
    <col min="3" max="3" width="7.25" style="407" customWidth="1"/>
    <col min="4" max="6" width="18.625" style="417" customWidth="1"/>
    <col min="7" max="7" width="18.625" style="418" customWidth="1"/>
    <col min="8" max="8" width="18.625" style="417" customWidth="1"/>
    <col min="9" max="16384" width="9" style="407"/>
  </cols>
  <sheetData>
    <row r="1" spans="1:8" ht="18.75">
      <c r="A1" s="585" t="s">
        <v>1741</v>
      </c>
      <c r="B1" s="585"/>
      <c r="C1" s="585"/>
      <c r="D1" s="585"/>
      <c r="E1" s="585"/>
      <c r="F1" s="586"/>
      <c r="G1" s="583"/>
      <c r="H1" s="583"/>
    </row>
    <row r="2" spans="1:8">
      <c r="A2" s="408" t="s">
        <v>12</v>
      </c>
      <c r="B2" s="408" t="s">
        <v>772</v>
      </c>
      <c r="C2" s="408" t="s">
        <v>773</v>
      </c>
      <c r="D2" s="409" t="s">
        <v>1742</v>
      </c>
      <c r="E2" s="409" t="s">
        <v>774</v>
      </c>
      <c r="F2" s="408" t="s">
        <v>21</v>
      </c>
      <c r="G2" s="410" t="s">
        <v>1744</v>
      </c>
      <c r="H2" s="408" t="s">
        <v>1743</v>
      </c>
    </row>
    <row r="3" spans="1:8">
      <c r="A3" s="411">
        <v>1</v>
      </c>
      <c r="B3" s="412" t="s">
        <v>466</v>
      </c>
      <c r="C3" s="413" t="s">
        <v>370</v>
      </c>
      <c r="D3" s="462">
        <v>102255</v>
      </c>
      <c r="E3" s="463">
        <v>114540</v>
      </c>
      <c r="F3" s="464">
        <f>D3+E3</f>
        <v>216795</v>
      </c>
      <c r="G3" s="465">
        <v>205200</v>
      </c>
      <c r="H3" s="465">
        <f>F3-G3</f>
        <v>11595</v>
      </c>
    </row>
    <row r="4" spans="1:8">
      <c r="A4" s="414"/>
      <c r="B4" s="415" t="s">
        <v>682</v>
      </c>
      <c r="C4" s="416"/>
      <c r="D4" s="466">
        <f>SUM(D3:D3)</f>
        <v>102255</v>
      </c>
      <c r="E4" s="466">
        <f t="shared" ref="E4:H4" si="0">SUM(E3:E3)</f>
        <v>114540</v>
      </c>
      <c r="F4" s="466">
        <f t="shared" si="0"/>
        <v>216795</v>
      </c>
      <c r="G4" s="466">
        <f t="shared" si="0"/>
        <v>205200</v>
      </c>
      <c r="H4" s="466">
        <f t="shared" si="0"/>
        <v>11595</v>
      </c>
    </row>
  </sheetData>
  <mergeCells count="1">
    <mergeCell ref="A1:H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5" orientation="landscape" r:id="rId1"/>
  <headerFooter>
    <oddFooter>第 &amp;P 页，共 &amp;N 页</oddFooter>
  </headerFooter>
</worksheet>
</file>

<file path=xl/worksheets/sheet38.xml><?xml version="1.0" encoding="utf-8"?>
<worksheet xmlns="http://schemas.openxmlformats.org/spreadsheetml/2006/main" xmlns:r="http://schemas.openxmlformats.org/officeDocument/2006/relationships">
  <dimension ref="A1:R7"/>
  <sheetViews>
    <sheetView workbookViewId="0">
      <pane xSplit="3" ySplit="4" topLeftCell="D5" activePane="bottomRight" state="frozen"/>
      <selection activeCell="M8" sqref="M8"/>
      <selection pane="topRight" activeCell="M8" sqref="M8"/>
      <selection pane="bottomLeft" activeCell="M8" sqref="M8"/>
      <selection pane="bottomRight" activeCell="M8" sqref="M8"/>
    </sheetView>
  </sheetViews>
  <sheetFormatPr defaultColWidth="9" defaultRowHeight="13.5"/>
  <cols>
    <col min="1" max="1" width="4.625" style="424" hidden="1" customWidth="1"/>
    <col min="2" max="2" width="16.625" style="419" customWidth="1"/>
    <col min="3" max="3" width="8.625" style="419" customWidth="1"/>
    <col min="4" max="4" width="10.625" style="419" customWidth="1"/>
    <col min="5" max="5" width="10.625" style="419" hidden="1" customWidth="1"/>
    <col min="6" max="10" width="10.625" style="419" customWidth="1"/>
    <col min="11" max="11" width="10.625" style="419" hidden="1" customWidth="1"/>
    <col min="12" max="12" width="10.625" style="419" customWidth="1"/>
    <col min="13" max="13" width="10.625" style="419" hidden="1" customWidth="1"/>
    <col min="14" max="16" width="10.625" style="419" customWidth="1"/>
    <col min="17" max="17" width="12" style="423" customWidth="1"/>
    <col min="18" max="18" width="11.625" style="423" bestFit="1" customWidth="1"/>
    <col min="19" max="16384" width="9" style="419"/>
  </cols>
  <sheetData>
    <row r="1" spans="1:18" ht="28.5" customHeight="1">
      <c r="A1" s="589" t="s">
        <v>926</v>
      </c>
      <c r="B1" s="589"/>
      <c r="C1" s="589"/>
      <c r="D1" s="589"/>
      <c r="E1" s="589"/>
      <c r="F1" s="589"/>
      <c r="G1" s="589"/>
      <c r="H1" s="589"/>
      <c r="I1" s="589"/>
      <c r="J1" s="589"/>
      <c r="K1" s="589"/>
      <c r="L1" s="589"/>
      <c r="M1" s="589"/>
      <c r="N1" s="589"/>
      <c r="O1" s="589"/>
      <c r="P1" s="589"/>
      <c r="Q1" s="583"/>
      <c r="R1" s="583"/>
    </row>
    <row r="2" spans="1:18" ht="13.5" customHeight="1">
      <c r="A2" s="590" t="s">
        <v>12</v>
      </c>
      <c r="B2" s="590" t="s">
        <v>772</v>
      </c>
      <c r="C2" s="590" t="s">
        <v>591</v>
      </c>
      <c r="D2" s="592" t="s">
        <v>1758</v>
      </c>
      <c r="E2" s="592"/>
      <c r="F2" s="592"/>
      <c r="G2" s="592"/>
      <c r="H2" s="592"/>
      <c r="I2" s="592"/>
      <c r="J2" s="592" t="s">
        <v>1759</v>
      </c>
      <c r="K2" s="592"/>
      <c r="L2" s="592"/>
      <c r="M2" s="592"/>
      <c r="N2" s="592"/>
      <c r="O2" s="592"/>
      <c r="P2" s="593" t="s">
        <v>823</v>
      </c>
      <c r="Q2" s="587" t="s">
        <v>1762</v>
      </c>
      <c r="R2" s="587" t="s">
        <v>1678</v>
      </c>
    </row>
    <row r="3" spans="1:18" ht="13.5" customHeight="1">
      <c r="A3" s="590"/>
      <c r="B3" s="590"/>
      <c r="C3" s="590"/>
      <c r="D3" s="458" t="s">
        <v>837</v>
      </c>
      <c r="E3" s="458" t="s">
        <v>841</v>
      </c>
      <c r="F3" s="458" t="s">
        <v>1760</v>
      </c>
      <c r="G3" s="458" t="s">
        <v>845</v>
      </c>
      <c r="H3" s="458" t="s">
        <v>1761</v>
      </c>
      <c r="I3" s="420" t="s">
        <v>608</v>
      </c>
      <c r="J3" s="458" t="s">
        <v>837</v>
      </c>
      <c r="K3" s="458" t="s">
        <v>841</v>
      </c>
      <c r="L3" s="458" t="s">
        <v>1760</v>
      </c>
      <c r="M3" s="458" t="s">
        <v>845</v>
      </c>
      <c r="N3" s="458" t="s">
        <v>1761</v>
      </c>
      <c r="O3" s="420" t="s">
        <v>608</v>
      </c>
      <c r="P3" s="594"/>
      <c r="Q3" s="588"/>
      <c r="R3" s="588"/>
    </row>
    <row r="4" spans="1:18">
      <c r="A4" s="591"/>
      <c r="B4" s="591"/>
      <c r="C4" s="591"/>
      <c r="D4" s="421" t="s">
        <v>831</v>
      </c>
      <c r="E4" s="421" t="s">
        <v>831</v>
      </c>
      <c r="F4" s="421" t="s">
        <v>831</v>
      </c>
      <c r="G4" s="421" t="s">
        <v>831</v>
      </c>
      <c r="H4" s="421" t="s">
        <v>831</v>
      </c>
      <c r="I4" s="421" t="s">
        <v>831</v>
      </c>
      <c r="J4" s="421" t="s">
        <v>831</v>
      </c>
      <c r="K4" s="421" t="s">
        <v>831</v>
      </c>
      <c r="L4" s="421" t="s">
        <v>831</v>
      </c>
      <c r="M4" s="421" t="s">
        <v>831</v>
      </c>
      <c r="N4" s="421" t="s">
        <v>831</v>
      </c>
      <c r="O4" s="421" t="s">
        <v>831</v>
      </c>
      <c r="P4" s="595" t="s">
        <v>831</v>
      </c>
      <c r="Q4" s="588"/>
      <c r="R4" s="588"/>
    </row>
    <row r="5" spans="1:18">
      <c r="A5" s="422">
        <v>1</v>
      </c>
      <c r="B5" s="413" t="s">
        <v>775</v>
      </c>
      <c r="C5" s="413" t="s">
        <v>370</v>
      </c>
      <c r="D5" s="467">
        <v>25650</v>
      </c>
      <c r="E5" s="468"/>
      <c r="F5" s="467">
        <v>2280</v>
      </c>
      <c r="G5" s="467">
        <v>2655</v>
      </c>
      <c r="H5" s="469">
        <v>725</v>
      </c>
      <c r="I5" s="470">
        <f>SUM(D5:H5)</f>
        <v>31310</v>
      </c>
      <c r="J5" s="468">
        <v>22800</v>
      </c>
      <c r="K5" s="468"/>
      <c r="L5" s="468">
        <v>1920</v>
      </c>
      <c r="M5" s="468"/>
      <c r="N5" s="468">
        <v>4212.5</v>
      </c>
      <c r="O5" s="471">
        <f>SUM(J5:N5)</f>
        <v>28932.5</v>
      </c>
      <c r="P5" s="470">
        <f>I5+O5</f>
        <v>60242.5</v>
      </c>
      <c r="Q5" s="472">
        <v>75735</v>
      </c>
      <c r="R5" s="472">
        <f>P5-Q5</f>
        <v>-15492.5</v>
      </c>
    </row>
    <row r="6" spans="1:18">
      <c r="A6" s="422"/>
      <c r="B6" s="413" t="s">
        <v>776</v>
      </c>
      <c r="C6" s="413" t="s">
        <v>370</v>
      </c>
      <c r="D6" s="467">
        <v>12150</v>
      </c>
      <c r="E6" s="468"/>
      <c r="F6" s="467">
        <v>1080</v>
      </c>
      <c r="G6" s="468">
        <v>1180</v>
      </c>
      <c r="H6" s="468">
        <v>3870</v>
      </c>
      <c r="I6" s="470">
        <f>SUM(D6:H6)</f>
        <v>18280</v>
      </c>
      <c r="J6" s="468">
        <v>14250</v>
      </c>
      <c r="K6" s="468"/>
      <c r="L6" s="468">
        <v>1200</v>
      </c>
      <c r="M6" s="468"/>
      <c r="N6" s="468"/>
      <c r="O6" s="471">
        <f>SUM(J6:N6)</f>
        <v>15450</v>
      </c>
      <c r="P6" s="470">
        <f>I6+O6</f>
        <v>33730</v>
      </c>
      <c r="Q6" s="472">
        <v>35414</v>
      </c>
      <c r="R6" s="472">
        <f t="shared" ref="R6" si="0">P6-Q6</f>
        <v>-1684</v>
      </c>
    </row>
    <row r="7" spans="1:18">
      <c r="A7" s="414"/>
      <c r="B7" s="415" t="s">
        <v>682</v>
      </c>
      <c r="C7" s="416"/>
      <c r="D7" s="473">
        <f>SUM(D5:D6)</f>
        <v>37800</v>
      </c>
      <c r="E7" s="473">
        <f t="shared" ref="E7:R7" si="1">SUM(E5:E6)</f>
        <v>0</v>
      </c>
      <c r="F7" s="473">
        <f t="shared" si="1"/>
        <v>3360</v>
      </c>
      <c r="G7" s="473">
        <f t="shared" si="1"/>
        <v>3835</v>
      </c>
      <c r="H7" s="473">
        <f t="shared" si="1"/>
        <v>4595</v>
      </c>
      <c r="I7" s="473">
        <f t="shared" si="1"/>
        <v>49590</v>
      </c>
      <c r="J7" s="473">
        <f t="shared" si="1"/>
        <v>37050</v>
      </c>
      <c r="K7" s="473">
        <f t="shared" si="1"/>
        <v>0</v>
      </c>
      <c r="L7" s="473">
        <f t="shared" si="1"/>
        <v>3120</v>
      </c>
      <c r="M7" s="473">
        <f t="shared" si="1"/>
        <v>0</v>
      </c>
      <c r="N7" s="473">
        <f t="shared" si="1"/>
        <v>4212.5</v>
      </c>
      <c r="O7" s="474">
        <f t="shared" si="1"/>
        <v>44382.5</v>
      </c>
      <c r="P7" s="473">
        <f t="shared" si="1"/>
        <v>93972.5</v>
      </c>
      <c r="Q7" s="473">
        <f t="shared" si="1"/>
        <v>111149</v>
      </c>
      <c r="R7" s="473">
        <f t="shared" si="1"/>
        <v>-17176.5</v>
      </c>
    </row>
  </sheetData>
  <mergeCells count="9">
    <mergeCell ref="Q2:Q4"/>
    <mergeCell ref="R2:R4"/>
    <mergeCell ref="A1:R1"/>
    <mergeCell ref="A2:A4"/>
    <mergeCell ref="B2:B4"/>
    <mergeCell ref="C2:C4"/>
    <mergeCell ref="D2:I2"/>
    <mergeCell ref="J2:O2"/>
    <mergeCell ref="P2:P4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r:id="rId1"/>
  <headerFooter>
    <oddFooter>第 &amp;P 页，共 &amp;N 页</oddFooter>
  </headerFooter>
</worksheet>
</file>

<file path=xl/worksheets/sheet39.xml><?xml version="1.0" encoding="utf-8"?>
<worksheet xmlns="http://schemas.openxmlformats.org/spreadsheetml/2006/main" xmlns:r="http://schemas.openxmlformats.org/officeDocument/2006/relationships">
  <dimension ref="A1:AB7"/>
  <sheetViews>
    <sheetView workbookViewId="0">
      <pane xSplit="1" ySplit="4" topLeftCell="B5" activePane="bottomRight" state="frozen"/>
      <selection activeCell="M8" sqref="M8"/>
      <selection pane="topRight" activeCell="M8" sqref="M8"/>
      <selection pane="bottomLeft" activeCell="M8" sqref="M8"/>
      <selection pane="bottomRight" activeCell="M8" sqref="M8"/>
    </sheetView>
  </sheetViews>
  <sheetFormatPr defaultColWidth="7" defaultRowHeight="21.75" customHeight="1"/>
  <cols>
    <col min="1" max="1" width="26" style="425" customWidth="1"/>
    <col min="2" max="2" width="9.625" style="425" hidden="1" customWidth="1"/>
    <col min="3" max="3" width="6" style="425" hidden="1" customWidth="1"/>
    <col min="4" max="7" width="7.625" style="425" customWidth="1"/>
    <col min="8" max="9" width="7.625" style="425" hidden="1" customWidth="1"/>
    <col min="10" max="16" width="7.625" style="425" customWidth="1"/>
    <col min="17" max="19" width="7.625" style="425" hidden="1" customWidth="1"/>
    <col min="20" max="21" width="7.625" style="425" customWidth="1"/>
    <col min="22" max="22" width="7.625" style="435" hidden="1" customWidth="1"/>
    <col min="23" max="23" width="7.625" style="425" customWidth="1"/>
    <col min="24" max="24" width="7.625" style="436" customWidth="1"/>
    <col min="25" max="25" width="10" style="436" customWidth="1"/>
    <col min="26" max="26" width="9.75" style="436" customWidth="1"/>
    <col min="27" max="27" width="8.5" style="436" customWidth="1"/>
    <col min="28" max="28" width="9.5" style="436" customWidth="1"/>
    <col min="29" max="16384" width="7" style="425"/>
  </cols>
  <sheetData>
    <row r="1" spans="1:28" ht="21.75" customHeight="1">
      <c r="A1" s="589" t="s">
        <v>1745</v>
      </c>
      <c r="B1" s="589"/>
      <c r="C1" s="589"/>
      <c r="D1" s="589"/>
      <c r="E1" s="589"/>
      <c r="F1" s="589"/>
      <c r="G1" s="589"/>
      <c r="H1" s="589"/>
      <c r="I1" s="589"/>
      <c r="J1" s="589"/>
      <c r="K1" s="589"/>
      <c r="L1" s="589"/>
      <c r="M1" s="589"/>
      <c r="N1" s="589"/>
      <c r="O1" s="589"/>
      <c r="P1" s="589"/>
      <c r="Q1" s="589"/>
      <c r="R1" s="589"/>
      <c r="S1" s="589"/>
      <c r="T1" s="589"/>
      <c r="U1" s="589"/>
      <c r="V1" s="589"/>
      <c r="W1" s="589"/>
      <c r="X1" s="589"/>
      <c r="Y1" s="589"/>
      <c r="Z1" s="583"/>
      <c r="AA1" s="583"/>
      <c r="AB1" s="583"/>
    </row>
    <row r="2" spans="1:28" s="426" customFormat="1" ht="21.75" customHeight="1">
      <c r="A2" s="596" t="s">
        <v>12</v>
      </c>
      <c r="B2" s="596" t="s">
        <v>772</v>
      </c>
      <c r="C2" s="596" t="s">
        <v>834</v>
      </c>
      <c r="D2" s="598" t="s">
        <v>1749</v>
      </c>
      <c r="E2" s="598"/>
      <c r="F2" s="598"/>
      <c r="G2" s="598"/>
      <c r="H2" s="598"/>
      <c r="I2" s="598"/>
      <c r="J2" s="598"/>
      <c r="K2" s="598"/>
      <c r="L2" s="598"/>
      <c r="M2" s="598"/>
      <c r="N2" s="598" t="s">
        <v>1746</v>
      </c>
      <c r="O2" s="598"/>
      <c r="P2" s="598"/>
      <c r="Q2" s="598"/>
      <c r="R2" s="598"/>
      <c r="S2" s="598"/>
      <c r="T2" s="598"/>
      <c r="U2" s="598"/>
      <c r="V2" s="598"/>
      <c r="W2" s="598"/>
      <c r="X2" s="587" t="s">
        <v>836</v>
      </c>
      <c r="Y2" s="587" t="s">
        <v>1747</v>
      </c>
      <c r="Z2" s="587" t="s">
        <v>1748</v>
      </c>
      <c r="AA2" s="587" t="s">
        <v>496</v>
      </c>
      <c r="AB2" s="587" t="s">
        <v>1678</v>
      </c>
    </row>
    <row r="3" spans="1:28" s="426" customFormat="1" ht="21.75" customHeight="1">
      <c r="A3" s="596"/>
      <c r="B3" s="596"/>
      <c r="C3" s="596"/>
      <c r="D3" s="459" t="s">
        <v>837</v>
      </c>
      <c r="E3" s="459" t="s">
        <v>838</v>
      </c>
      <c r="F3" s="459" t="s">
        <v>839</v>
      </c>
      <c r="G3" s="459" t="s">
        <v>840</v>
      </c>
      <c r="H3" s="459" t="s">
        <v>841</v>
      </c>
      <c r="I3" s="459" t="s">
        <v>842</v>
      </c>
      <c r="J3" s="459" t="s">
        <v>843</v>
      </c>
      <c r="K3" s="459" t="s">
        <v>844</v>
      </c>
      <c r="L3" s="459" t="s">
        <v>845</v>
      </c>
      <c r="M3" s="427" t="s">
        <v>21</v>
      </c>
      <c r="N3" s="459" t="s">
        <v>837</v>
      </c>
      <c r="O3" s="459" t="s">
        <v>838</v>
      </c>
      <c r="P3" s="459" t="s">
        <v>839</v>
      </c>
      <c r="Q3" s="459" t="s">
        <v>840</v>
      </c>
      <c r="R3" s="459" t="s">
        <v>841</v>
      </c>
      <c r="S3" s="459" t="s">
        <v>842</v>
      </c>
      <c r="T3" s="459" t="s">
        <v>843</v>
      </c>
      <c r="U3" s="459" t="s">
        <v>844</v>
      </c>
      <c r="V3" s="459" t="s">
        <v>845</v>
      </c>
      <c r="W3" s="427" t="s">
        <v>21</v>
      </c>
      <c r="X3" s="587"/>
      <c r="Y3" s="587"/>
      <c r="Z3" s="587"/>
      <c r="AA3" s="587"/>
      <c r="AB3" s="587"/>
    </row>
    <row r="4" spans="1:28" s="406" customFormat="1" ht="21.75" customHeight="1">
      <c r="A4" s="597"/>
      <c r="B4" s="597"/>
      <c r="C4" s="597"/>
      <c r="D4" s="457" t="s">
        <v>831</v>
      </c>
      <c r="E4" s="457" t="s">
        <v>831</v>
      </c>
      <c r="F4" s="457" t="s">
        <v>831</v>
      </c>
      <c r="G4" s="457" t="s">
        <v>831</v>
      </c>
      <c r="H4" s="457" t="s">
        <v>831</v>
      </c>
      <c r="I4" s="457" t="s">
        <v>831</v>
      </c>
      <c r="J4" s="457" t="s">
        <v>831</v>
      </c>
      <c r="K4" s="457" t="s">
        <v>831</v>
      </c>
      <c r="L4" s="457" t="s">
        <v>831</v>
      </c>
      <c r="M4" s="457" t="s">
        <v>831</v>
      </c>
      <c r="N4" s="457" t="s">
        <v>831</v>
      </c>
      <c r="O4" s="457" t="s">
        <v>831</v>
      </c>
      <c r="P4" s="457" t="s">
        <v>831</v>
      </c>
      <c r="Q4" s="457" t="s">
        <v>831</v>
      </c>
      <c r="R4" s="457" t="s">
        <v>831</v>
      </c>
      <c r="S4" s="457" t="s">
        <v>831</v>
      </c>
      <c r="T4" s="457" t="s">
        <v>831</v>
      </c>
      <c r="U4" s="457" t="s">
        <v>831</v>
      </c>
      <c r="V4" s="457" t="s">
        <v>831</v>
      </c>
      <c r="W4" s="457" t="s">
        <v>831</v>
      </c>
      <c r="X4" s="587" t="s">
        <v>831</v>
      </c>
      <c r="Y4" s="587" t="s">
        <v>1750</v>
      </c>
      <c r="Z4" s="587"/>
      <c r="AA4" s="587"/>
      <c r="AB4" s="587"/>
    </row>
    <row r="5" spans="1:28" s="406" customFormat="1" ht="18" customHeight="1">
      <c r="A5" s="428" t="s">
        <v>1751</v>
      </c>
      <c r="B5" s="429" t="s">
        <v>847</v>
      </c>
      <c r="C5" s="429" t="s">
        <v>375</v>
      </c>
      <c r="D5" s="430">
        <v>5060</v>
      </c>
      <c r="E5" s="430">
        <v>2300</v>
      </c>
      <c r="F5" s="430">
        <v>175</v>
      </c>
      <c r="G5" s="430">
        <v>100</v>
      </c>
      <c r="H5" s="430">
        <v>0</v>
      </c>
      <c r="I5" s="430">
        <v>0</v>
      </c>
      <c r="J5" s="430">
        <v>500</v>
      </c>
      <c r="K5" s="430">
        <v>1500</v>
      </c>
      <c r="L5" s="430">
        <v>0</v>
      </c>
      <c r="M5" s="404">
        <f>SUM(D5:L5)</f>
        <v>9635</v>
      </c>
      <c r="N5" s="430">
        <v>6270</v>
      </c>
      <c r="O5" s="430">
        <v>2850</v>
      </c>
      <c r="P5" s="430">
        <v>210</v>
      </c>
      <c r="Q5" s="430"/>
      <c r="R5" s="430"/>
      <c r="S5" s="430"/>
      <c r="T5" s="430">
        <v>600</v>
      </c>
      <c r="U5" s="430">
        <v>1800</v>
      </c>
      <c r="V5" s="430"/>
      <c r="W5" s="405">
        <f>SUM(N5:V5)</f>
        <v>11730</v>
      </c>
      <c r="X5" s="404">
        <f>M5+W5</f>
        <v>21365</v>
      </c>
      <c r="Y5" s="404">
        <v>1800</v>
      </c>
      <c r="Z5" s="404">
        <f>X5-Y5</f>
        <v>19565</v>
      </c>
      <c r="AA5" s="404">
        <v>3942</v>
      </c>
      <c r="AB5" s="475">
        <f>Z5-AA5</f>
        <v>15623</v>
      </c>
    </row>
    <row r="6" spans="1:28" s="406" customFormat="1" ht="18" customHeight="1">
      <c r="A6" s="431" t="s">
        <v>1752</v>
      </c>
      <c r="B6" s="429" t="s">
        <v>847</v>
      </c>
      <c r="C6" s="429" t="s">
        <v>375</v>
      </c>
      <c r="D6" s="404">
        <v>2760</v>
      </c>
      <c r="E6" s="404">
        <v>1380</v>
      </c>
      <c r="F6" s="404">
        <v>105</v>
      </c>
      <c r="G6" s="404">
        <v>60</v>
      </c>
      <c r="H6" s="404">
        <v>0</v>
      </c>
      <c r="I6" s="404">
        <v>0</v>
      </c>
      <c r="J6" s="404">
        <v>300</v>
      </c>
      <c r="K6" s="404">
        <v>900</v>
      </c>
      <c r="L6" s="404">
        <v>0</v>
      </c>
      <c r="M6" s="404">
        <f>SUM(D6:L6)</f>
        <v>5505</v>
      </c>
      <c r="N6" s="430">
        <v>4275</v>
      </c>
      <c r="O6" s="430">
        <v>1425</v>
      </c>
      <c r="P6" s="430">
        <v>150</v>
      </c>
      <c r="Q6" s="430"/>
      <c r="R6" s="430"/>
      <c r="S6" s="430"/>
      <c r="T6" s="430">
        <v>300</v>
      </c>
      <c r="U6" s="430">
        <v>900</v>
      </c>
      <c r="V6" s="430"/>
      <c r="W6" s="405">
        <f>SUM(N6:V6)</f>
        <v>7050</v>
      </c>
      <c r="X6" s="404">
        <f t="shared" ref="X6" si="0">M6+W6</f>
        <v>12555</v>
      </c>
      <c r="Y6" s="404">
        <v>3750</v>
      </c>
      <c r="Z6" s="404">
        <f t="shared" ref="Z6" si="1">X6-Y6</f>
        <v>8805</v>
      </c>
      <c r="AA6" s="404">
        <v>7500</v>
      </c>
      <c r="AB6" s="475">
        <f t="shared" ref="AB6" si="2">Z6-AA6</f>
        <v>1305</v>
      </c>
    </row>
    <row r="7" spans="1:28" s="406" customFormat="1" ht="18" customHeight="1">
      <c r="A7" s="432" t="s">
        <v>1753</v>
      </c>
      <c r="B7" s="433"/>
      <c r="C7" s="433"/>
      <c r="D7" s="434">
        <f>SUM(D5:D6)</f>
        <v>7820</v>
      </c>
      <c r="E7" s="434">
        <f t="shared" ref="E7:AB7" si="3">SUM(E5:E6)</f>
        <v>3680</v>
      </c>
      <c r="F7" s="434">
        <f t="shared" si="3"/>
        <v>280</v>
      </c>
      <c r="G7" s="434">
        <f t="shared" si="3"/>
        <v>160</v>
      </c>
      <c r="H7" s="434">
        <f t="shared" si="3"/>
        <v>0</v>
      </c>
      <c r="I7" s="434">
        <f t="shared" si="3"/>
        <v>0</v>
      </c>
      <c r="J7" s="434">
        <f t="shared" si="3"/>
        <v>800</v>
      </c>
      <c r="K7" s="434">
        <f t="shared" si="3"/>
        <v>2400</v>
      </c>
      <c r="L7" s="434">
        <f t="shared" si="3"/>
        <v>0</v>
      </c>
      <c r="M7" s="434">
        <f t="shared" si="3"/>
        <v>15140</v>
      </c>
      <c r="N7" s="434">
        <f t="shared" si="3"/>
        <v>10545</v>
      </c>
      <c r="O7" s="434">
        <f t="shared" si="3"/>
        <v>4275</v>
      </c>
      <c r="P7" s="434">
        <f t="shared" si="3"/>
        <v>360</v>
      </c>
      <c r="Q7" s="434">
        <f t="shared" si="3"/>
        <v>0</v>
      </c>
      <c r="R7" s="434">
        <f t="shared" si="3"/>
        <v>0</v>
      </c>
      <c r="S7" s="434">
        <f t="shared" si="3"/>
        <v>0</v>
      </c>
      <c r="T7" s="434">
        <f t="shared" si="3"/>
        <v>900</v>
      </c>
      <c r="U7" s="434">
        <f t="shared" si="3"/>
        <v>2700</v>
      </c>
      <c r="V7" s="434">
        <f t="shared" si="3"/>
        <v>0</v>
      </c>
      <c r="W7" s="434">
        <f t="shared" si="3"/>
        <v>18780</v>
      </c>
      <c r="X7" s="434">
        <f t="shared" si="3"/>
        <v>33920</v>
      </c>
      <c r="Y7" s="434">
        <f t="shared" si="3"/>
        <v>5550</v>
      </c>
      <c r="Z7" s="434">
        <f t="shared" si="3"/>
        <v>28370</v>
      </c>
      <c r="AA7" s="434">
        <f t="shared" si="3"/>
        <v>11442</v>
      </c>
      <c r="AB7" s="476">
        <f t="shared" si="3"/>
        <v>16928</v>
      </c>
    </row>
  </sheetData>
  <mergeCells count="11">
    <mergeCell ref="Z2:Z4"/>
    <mergeCell ref="AA2:AA4"/>
    <mergeCell ref="AB2:AB4"/>
    <mergeCell ref="A1:AB1"/>
    <mergeCell ref="A2:A4"/>
    <mergeCell ref="B2:B4"/>
    <mergeCell ref="C2:C4"/>
    <mergeCell ref="D2:M2"/>
    <mergeCell ref="N2:W2"/>
    <mergeCell ref="X2:X4"/>
    <mergeCell ref="Y2:Y4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landscape" r:id="rId1"/>
  <headerFooter>
    <oddFooter>第 &amp;P 页，共 &amp;N 页</oddFooter>
  </headerFooter>
</worksheet>
</file>

<file path=xl/worksheets/sheet40.xml><?xml version="1.0" encoding="utf-8"?>
<worksheet xmlns="http://schemas.openxmlformats.org/spreadsheetml/2006/main" xmlns:r="http://schemas.openxmlformats.org/officeDocument/2006/relationships">
  <dimension ref="A1:L7"/>
  <sheetViews>
    <sheetView topLeftCell="C1" workbookViewId="0">
      <selection activeCell="M8" sqref="M8"/>
    </sheetView>
  </sheetViews>
  <sheetFormatPr defaultColWidth="9" defaultRowHeight="13.5"/>
  <cols>
    <col min="1" max="1" width="33.125" style="448" customWidth="1"/>
    <col min="2" max="2" width="34" style="448" customWidth="1"/>
    <col min="3" max="3" width="10.625" style="448" customWidth="1"/>
    <col min="4" max="4" width="12.125" style="449" customWidth="1"/>
    <col min="5" max="5" width="12.5" style="449" customWidth="1"/>
    <col min="6" max="6" width="10.25" style="449" customWidth="1"/>
    <col min="7" max="7" width="10.5" style="449" customWidth="1"/>
    <col min="8" max="8" width="9.75" style="449" customWidth="1"/>
    <col min="9" max="9" width="12.375" style="450" customWidth="1"/>
    <col min="10" max="10" width="11.625" style="450" customWidth="1"/>
    <col min="11" max="11" width="12.25" style="450" customWidth="1"/>
    <col min="12" max="12" width="7" style="448" customWidth="1"/>
    <col min="13" max="16384" width="9" style="448"/>
  </cols>
  <sheetData>
    <row r="1" spans="1:12" s="447" customFormat="1" ht="30.75" customHeight="1">
      <c r="A1" s="602" t="s">
        <v>1772</v>
      </c>
      <c r="B1" s="602"/>
      <c r="C1" s="602"/>
      <c r="D1" s="603"/>
      <c r="E1" s="603"/>
      <c r="F1" s="603"/>
      <c r="G1" s="603"/>
      <c r="H1" s="603"/>
      <c r="I1" s="603"/>
      <c r="J1" s="603"/>
      <c r="K1" s="603"/>
      <c r="L1" s="604"/>
    </row>
    <row r="2" spans="1:12" s="451" customFormat="1" ht="30" customHeight="1">
      <c r="A2" s="453" t="s">
        <v>590</v>
      </c>
      <c r="B2" s="434" t="s">
        <v>13</v>
      </c>
      <c r="C2" s="455" t="s">
        <v>1769</v>
      </c>
      <c r="D2" s="454" t="s">
        <v>1773</v>
      </c>
      <c r="E2" s="454" t="s">
        <v>1774</v>
      </c>
      <c r="F2" s="454" t="s">
        <v>1667</v>
      </c>
      <c r="G2" s="454" t="s">
        <v>1668</v>
      </c>
      <c r="H2" s="454" t="s">
        <v>1669</v>
      </c>
      <c r="I2" s="456" t="s">
        <v>1670</v>
      </c>
      <c r="J2" s="456" t="s">
        <v>1671</v>
      </c>
      <c r="K2" s="456" t="s">
        <v>1672</v>
      </c>
      <c r="L2" s="455" t="s">
        <v>1770</v>
      </c>
    </row>
    <row r="3" spans="1:12" s="451" customFormat="1" ht="20.100000000000001" customHeight="1">
      <c r="A3" s="404" t="s">
        <v>1763</v>
      </c>
      <c r="B3" s="600" t="s">
        <v>1764</v>
      </c>
      <c r="C3" s="600" t="s">
        <v>350</v>
      </c>
      <c r="D3" s="370">
        <v>243600</v>
      </c>
      <c r="E3" s="370">
        <v>172500</v>
      </c>
      <c r="F3" s="601">
        <v>449943</v>
      </c>
      <c r="G3" s="601">
        <v>449793</v>
      </c>
      <c r="H3" s="601">
        <v>79789</v>
      </c>
      <c r="I3" s="599">
        <f>H3+G3</f>
        <v>529582</v>
      </c>
      <c r="J3" s="599">
        <v>486080</v>
      </c>
      <c r="K3" s="599">
        <f t="shared" ref="K3" si="0">I3-J3</f>
        <v>43502</v>
      </c>
      <c r="L3" s="599"/>
    </row>
    <row r="4" spans="1:12" s="451" customFormat="1" ht="20.100000000000001" customHeight="1">
      <c r="A4" s="404" t="s">
        <v>1765</v>
      </c>
      <c r="B4" s="600"/>
      <c r="C4" s="600"/>
      <c r="D4" s="370">
        <v>364000</v>
      </c>
      <c r="E4" s="370">
        <v>325000</v>
      </c>
      <c r="F4" s="601"/>
      <c r="G4" s="601"/>
      <c r="H4" s="601"/>
      <c r="I4" s="599"/>
      <c r="J4" s="599"/>
      <c r="K4" s="599"/>
      <c r="L4" s="599"/>
    </row>
    <row r="5" spans="1:12" s="451" customFormat="1" ht="20.100000000000001" customHeight="1">
      <c r="A5" s="404" t="s">
        <v>1766</v>
      </c>
      <c r="B5" s="600" t="s">
        <v>1767</v>
      </c>
      <c r="C5" s="600" t="s">
        <v>350</v>
      </c>
      <c r="D5" s="370">
        <v>179700.64</v>
      </c>
      <c r="E5" s="370">
        <v>160447</v>
      </c>
      <c r="F5" s="601">
        <v>240758</v>
      </c>
      <c r="G5" s="601">
        <v>240075</v>
      </c>
      <c r="H5" s="601">
        <f>2775+7900+11899+1000</f>
        <v>23574</v>
      </c>
      <c r="I5" s="599">
        <f>H5+G5</f>
        <v>263649</v>
      </c>
      <c r="J5" s="599">
        <v>236931</v>
      </c>
      <c r="K5" s="599">
        <f t="shared" ref="K5" si="1">I5-J5</f>
        <v>26718</v>
      </c>
      <c r="L5" s="599"/>
    </row>
    <row r="6" spans="1:12" s="451" customFormat="1" ht="20.100000000000001" customHeight="1">
      <c r="A6" s="404" t="s">
        <v>1768</v>
      </c>
      <c r="B6" s="600"/>
      <c r="C6" s="600"/>
      <c r="D6" s="370">
        <v>116462.08</v>
      </c>
      <c r="E6" s="370">
        <v>103984</v>
      </c>
      <c r="F6" s="601"/>
      <c r="G6" s="601"/>
      <c r="H6" s="601"/>
      <c r="I6" s="599"/>
      <c r="J6" s="599"/>
      <c r="K6" s="599"/>
      <c r="L6" s="599"/>
    </row>
    <row r="7" spans="1:12" s="451" customFormat="1" ht="20.100000000000001" customHeight="1">
      <c r="A7" s="434"/>
      <c r="B7" s="434"/>
      <c r="C7" s="434" t="s">
        <v>1771</v>
      </c>
      <c r="D7" s="452">
        <f>SUM(D3:D6)</f>
        <v>903762.72</v>
      </c>
      <c r="E7" s="452">
        <f t="shared" ref="E7:K7" si="2">SUM(E3:E6)</f>
        <v>761931</v>
      </c>
      <c r="F7" s="452">
        <f t="shared" si="2"/>
        <v>690701</v>
      </c>
      <c r="G7" s="452">
        <f t="shared" si="2"/>
        <v>689868</v>
      </c>
      <c r="H7" s="452">
        <f t="shared" si="2"/>
        <v>103363</v>
      </c>
      <c r="I7" s="452">
        <f t="shared" si="2"/>
        <v>793231</v>
      </c>
      <c r="J7" s="452">
        <f t="shared" si="2"/>
        <v>723011</v>
      </c>
      <c r="K7" s="437">
        <f t="shared" si="2"/>
        <v>70220</v>
      </c>
      <c r="L7" s="434"/>
    </row>
  </sheetData>
  <mergeCells count="19">
    <mergeCell ref="L3:L4"/>
    <mergeCell ref="L5:L6"/>
    <mergeCell ref="A1:L1"/>
    <mergeCell ref="C3:C4"/>
    <mergeCell ref="C5:C6"/>
    <mergeCell ref="K5:K6"/>
    <mergeCell ref="B5:B6"/>
    <mergeCell ref="F5:F6"/>
    <mergeCell ref="G5:G6"/>
    <mergeCell ref="H5:H6"/>
    <mergeCell ref="I5:I6"/>
    <mergeCell ref="J5:J6"/>
    <mergeCell ref="J3:J4"/>
    <mergeCell ref="K3:K4"/>
    <mergeCell ref="B3:B4"/>
    <mergeCell ref="F3:F4"/>
    <mergeCell ref="G3:G4"/>
    <mergeCell ref="H3:H4"/>
    <mergeCell ref="I3:I4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landscape" verticalDpi="0" r:id="rId1"/>
  <headerFooter>
    <oddFooter>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40</vt:i4>
      </vt:variant>
      <vt:variant>
        <vt:lpstr>命名范围</vt:lpstr>
      </vt:variant>
      <vt:variant>
        <vt:i4>72</vt:i4>
      </vt:variant>
    </vt:vector>
  </HeadingPairs>
  <TitlesOfParts>
    <vt:vector size="112" baseType="lpstr">
      <vt:lpstr>基本支出合计</vt:lpstr>
      <vt:lpstr>2024年绩效预估</vt:lpstr>
      <vt:lpstr>2023年绩效清算</vt:lpstr>
      <vt:lpstr>残疾就业保障</vt:lpstr>
      <vt:lpstr>抚恤金</vt:lpstr>
      <vt:lpstr>社区教育</vt:lpstr>
      <vt:lpstr>保安经费</vt:lpstr>
      <vt:lpstr>补充公用经费</vt:lpstr>
      <vt:lpstr>清算补充公用经费</vt:lpstr>
      <vt:lpstr>公办义务教育减免书薄费</vt:lpstr>
      <vt:lpstr>公办义务教育资助</vt:lpstr>
      <vt:lpstr>公办义务教育营养午餐</vt:lpstr>
      <vt:lpstr>公办学前资助</vt:lpstr>
      <vt:lpstr>莘庄维修</vt:lpstr>
      <vt:lpstr>吴泾维修</vt:lpstr>
      <vt:lpstr>七宝维修</vt:lpstr>
      <vt:lpstr>浦江维修</vt:lpstr>
      <vt:lpstr>梅陇维修</vt:lpstr>
      <vt:lpstr>马桥维修</vt:lpstr>
      <vt:lpstr>华漕维修</vt:lpstr>
      <vt:lpstr>颛桥维修</vt:lpstr>
      <vt:lpstr>虹桥维修</vt:lpstr>
      <vt:lpstr>尾款清算</vt:lpstr>
      <vt:lpstr>莘庄</vt:lpstr>
      <vt:lpstr>吴泾</vt:lpstr>
      <vt:lpstr>七宝</vt:lpstr>
      <vt:lpstr>浦江</vt:lpstr>
      <vt:lpstr>梅陇</vt:lpstr>
      <vt:lpstr>马桥</vt:lpstr>
      <vt:lpstr>华漕</vt:lpstr>
      <vt:lpstr>颛桥</vt:lpstr>
      <vt:lpstr>虹桥</vt:lpstr>
      <vt:lpstr>莘庄镇</vt:lpstr>
      <vt:lpstr>莘庄镇调整</vt:lpstr>
      <vt:lpstr>残疾就业保障调整</vt:lpstr>
      <vt:lpstr>公办义务教育减免书薄费调整</vt:lpstr>
      <vt:lpstr>公办营养午餐调整</vt:lpstr>
      <vt:lpstr>公办义务教育资助调整</vt:lpstr>
      <vt:lpstr>公办学前教育资助调整</vt:lpstr>
      <vt:lpstr>2024年校舍维修清算</vt:lpstr>
      <vt:lpstr>'2023年绩效清算'!Print_Area</vt:lpstr>
      <vt:lpstr>'2024年绩效预估'!Print_Area</vt:lpstr>
      <vt:lpstr>'2024年校舍维修清算'!Print_Area</vt:lpstr>
      <vt:lpstr>补充公用经费!Print_Area</vt:lpstr>
      <vt:lpstr>残疾就业保障!Print_Area</vt:lpstr>
      <vt:lpstr>残疾就业保障调整!Print_Area</vt:lpstr>
      <vt:lpstr>公办学前教育资助调整!Print_Area</vt:lpstr>
      <vt:lpstr>公办学前资助!Print_Area</vt:lpstr>
      <vt:lpstr>公办义务教育减免书薄费!Print_Area</vt:lpstr>
      <vt:lpstr>公办义务教育减免书薄费调整!Print_Area</vt:lpstr>
      <vt:lpstr>公办义务教育营养午餐!Print_Area</vt:lpstr>
      <vt:lpstr>公办义务教育资助!Print_Area</vt:lpstr>
      <vt:lpstr>公办义务教育资助调整!Print_Area</vt:lpstr>
      <vt:lpstr>公办营养午餐调整!Print_Area</vt:lpstr>
      <vt:lpstr>虹桥!Print_Area</vt:lpstr>
      <vt:lpstr>虹桥维修!Print_Area</vt:lpstr>
      <vt:lpstr>华漕!Print_Area</vt:lpstr>
      <vt:lpstr>华漕维修!Print_Area</vt:lpstr>
      <vt:lpstr>基本支出合计!Print_Area</vt:lpstr>
      <vt:lpstr>马桥!Print_Area</vt:lpstr>
      <vt:lpstr>马桥维修!Print_Area</vt:lpstr>
      <vt:lpstr>梅陇!Print_Area</vt:lpstr>
      <vt:lpstr>梅陇维修!Print_Area</vt:lpstr>
      <vt:lpstr>浦江!Print_Area</vt:lpstr>
      <vt:lpstr>浦江维修!Print_Area</vt:lpstr>
      <vt:lpstr>七宝!Print_Area</vt:lpstr>
      <vt:lpstr>七宝维修!Print_Area</vt:lpstr>
      <vt:lpstr>清算补充公用经费!Print_Area</vt:lpstr>
      <vt:lpstr>社区教育!Print_Area</vt:lpstr>
      <vt:lpstr>莘庄!Print_Area</vt:lpstr>
      <vt:lpstr>莘庄维修!Print_Area</vt:lpstr>
      <vt:lpstr>莘庄镇调整!Print_Area</vt:lpstr>
      <vt:lpstr>尾款清算!Print_Area</vt:lpstr>
      <vt:lpstr>吴泾!Print_Area</vt:lpstr>
      <vt:lpstr>吴泾维修!Print_Area</vt:lpstr>
      <vt:lpstr>颛桥!Print_Area</vt:lpstr>
      <vt:lpstr>颛桥维修!Print_Area</vt:lpstr>
      <vt:lpstr>'2023年绩效清算'!Print_Titles</vt:lpstr>
      <vt:lpstr>'2024年绩效预估'!Print_Titles</vt:lpstr>
      <vt:lpstr>'2024年校舍维修清算'!Print_Titles</vt:lpstr>
      <vt:lpstr>补充公用经费!Print_Titles</vt:lpstr>
      <vt:lpstr>残疾就业保障!Print_Titles</vt:lpstr>
      <vt:lpstr>残疾就业保障调整!Print_Titles</vt:lpstr>
      <vt:lpstr>公办学前教育资助调整!Print_Titles</vt:lpstr>
      <vt:lpstr>公办学前资助!Print_Titles</vt:lpstr>
      <vt:lpstr>公办义务教育减免书薄费!Print_Titles</vt:lpstr>
      <vt:lpstr>公办义务教育减免书薄费调整!Print_Titles</vt:lpstr>
      <vt:lpstr>公办义务教育营养午餐!Print_Titles</vt:lpstr>
      <vt:lpstr>公办义务教育资助!Print_Titles</vt:lpstr>
      <vt:lpstr>公办义务教育资助调整!Print_Titles</vt:lpstr>
      <vt:lpstr>公办营养午餐调整!Print_Titles</vt:lpstr>
      <vt:lpstr>虹桥!Print_Titles</vt:lpstr>
      <vt:lpstr>虹桥维修!Print_Titles</vt:lpstr>
      <vt:lpstr>华漕!Print_Titles</vt:lpstr>
      <vt:lpstr>华漕维修!Print_Titles</vt:lpstr>
      <vt:lpstr>基本支出合计!Print_Titles</vt:lpstr>
      <vt:lpstr>马桥!Print_Titles</vt:lpstr>
      <vt:lpstr>马桥维修!Print_Titles</vt:lpstr>
      <vt:lpstr>梅陇!Print_Titles</vt:lpstr>
      <vt:lpstr>梅陇维修!Print_Titles</vt:lpstr>
      <vt:lpstr>浦江!Print_Titles</vt:lpstr>
      <vt:lpstr>浦江维修!Print_Titles</vt:lpstr>
      <vt:lpstr>七宝!Print_Titles</vt:lpstr>
      <vt:lpstr>七宝维修!Print_Titles</vt:lpstr>
      <vt:lpstr>清算补充公用经费!Print_Titles</vt:lpstr>
      <vt:lpstr>莘庄!Print_Titles</vt:lpstr>
      <vt:lpstr>莘庄镇调整!Print_Titles</vt:lpstr>
      <vt:lpstr>尾款清算!Print_Titles</vt:lpstr>
      <vt:lpstr>吴泾!Print_Titles</vt:lpstr>
      <vt:lpstr>吴泾维修!Print_Titles</vt:lpstr>
      <vt:lpstr>颛桥!Print_Titles</vt:lpstr>
      <vt:lpstr>颛桥维修!Print_Titles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孟爱红</dc:creator>
  <cp:lastModifiedBy>meng</cp:lastModifiedBy>
  <cp:lastPrinted>2024-10-23T02:29:22Z</cp:lastPrinted>
  <dcterms:created xsi:type="dcterms:W3CDTF">2022-11-10T02:18:00Z</dcterms:created>
  <dcterms:modified xsi:type="dcterms:W3CDTF">2024-10-23T02:42:01Z</dcterms:modified>
</cp:coreProperties>
</file>