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马桥镇" sheetId="68" r:id="rId1"/>
    <sheet name="马桥" sheetId="59" state="hidden" r:id="rId2"/>
    <sheet name="清算2024年绩效" sheetId="64" state="hidden" r:id="rId3"/>
    <sheet name="补缴年金" sheetId="67" state="hidden" r:id="rId4"/>
    <sheet name="残疾就业保障" sheetId="31" state="hidden" r:id="rId5"/>
    <sheet name="社区教育" sheetId="43" state="hidden" r:id="rId6"/>
    <sheet name="保安经费" sheetId="33" state="hidden" r:id="rId7"/>
    <sheet name="补充公用经费" sheetId="32" state="hidden" r:id="rId8"/>
    <sheet name="清算补充公用经费" sheetId="65" state="hidden" r:id="rId9"/>
  </sheets>
  <definedNames>
    <definedName name="_xlnm._FilterDatabase" localSheetId="6" hidden="1">保安经费!$A$2:$J$17</definedName>
    <definedName name="_xlnm._FilterDatabase" localSheetId="7" hidden="1">补充公用经费!$A$2:$AN$15</definedName>
    <definedName name="_xlnm._FilterDatabase" localSheetId="4" hidden="1">残疾就业保障!$A$2:$E$15</definedName>
    <definedName name="_xlnm.Print_Area" localSheetId="6">保安经费!$A$1:$J$17</definedName>
    <definedName name="_xlnm.Print_Area" localSheetId="7">补充公用经费!$A$1:$AO$15</definedName>
    <definedName name="_xlnm.Print_Area" localSheetId="4">残疾就业保障!$A$1:$E$15</definedName>
    <definedName name="_xlnm.Print_Area" localSheetId="1">马桥!$A$1:$Q$72</definedName>
    <definedName name="_xlnm.Print_Area" localSheetId="5">社区教育!$A$1:$C$4</definedName>
    <definedName name="_xlnm.Print_Titles" localSheetId="6">保安经费!$1:$2</definedName>
    <definedName name="_xlnm.Print_Titles" localSheetId="7">补充公用经费!$1:$3</definedName>
    <definedName name="_xlnm.Print_Titles" localSheetId="4">残疾就业保障!$1:$2</definedName>
    <definedName name="_xlnm.Print_Titles" localSheetId="1">马桥!$1:$3</definedName>
  </definedNames>
  <calcPr calcId="124519"/>
</workbook>
</file>

<file path=xl/calcChain.xml><?xml version="1.0" encoding="utf-8"?>
<calcChain xmlns="http://schemas.openxmlformats.org/spreadsheetml/2006/main">
  <c r="D4" i="68"/>
  <c r="D12" s="1"/>
  <c r="C11"/>
  <c r="C9"/>
  <c r="C8"/>
  <c r="C7"/>
  <c r="E7" s="1"/>
  <c r="C6"/>
  <c r="G6" s="1"/>
  <c r="C5"/>
  <c r="E5" s="1"/>
  <c r="C4"/>
  <c r="G4" s="1"/>
  <c r="E11"/>
  <c r="G10"/>
  <c r="E10"/>
  <c r="E8"/>
  <c r="E6"/>
  <c r="G5"/>
  <c r="G9" l="1"/>
  <c r="F9"/>
  <c r="F12" s="1"/>
  <c r="E9"/>
  <c r="G7"/>
  <c r="G11"/>
  <c r="G8"/>
  <c r="G12" s="1"/>
  <c r="C12"/>
  <c r="E4"/>
  <c r="E12" s="1"/>
  <c r="J7" i="67" l="1"/>
  <c r="AD14" i="32" l="1"/>
  <c r="AD13"/>
  <c r="AD10"/>
  <c r="AD8"/>
  <c r="AD7"/>
  <c r="AD6"/>
  <c r="AD5"/>
  <c r="AD4"/>
  <c r="D6" i="65" l="1"/>
  <c r="C6"/>
  <c r="E5"/>
  <c r="E4"/>
  <c r="E3"/>
  <c r="E6" l="1"/>
  <c r="L16" i="64" l="1"/>
  <c r="K16"/>
  <c r="J16"/>
  <c r="H16"/>
  <c r="G16"/>
  <c r="F16"/>
  <c r="P15"/>
  <c r="O15"/>
  <c r="N15"/>
  <c r="M15"/>
  <c r="I15"/>
  <c r="P14"/>
  <c r="O14"/>
  <c r="N14"/>
  <c r="M14"/>
  <c r="I14"/>
  <c r="P13"/>
  <c r="O13"/>
  <c r="N13"/>
  <c r="M13"/>
  <c r="I13"/>
  <c r="Q13" s="1"/>
  <c r="P12"/>
  <c r="O12"/>
  <c r="N12"/>
  <c r="M12"/>
  <c r="I12"/>
  <c r="P11"/>
  <c r="O11"/>
  <c r="N11"/>
  <c r="M11"/>
  <c r="I11"/>
  <c r="P10"/>
  <c r="O10"/>
  <c r="N10"/>
  <c r="M10"/>
  <c r="I10"/>
  <c r="Q10" s="1"/>
  <c r="P9"/>
  <c r="O9"/>
  <c r="N9"/>
  <c r="M9"/>
  <c r="I9"/>
  <c r="Q9" s="1"/>
  <c r="P8"/>
  <c r="O8"/>
  <c r="N8"/>
  <c r="M8"/>
  <c r="I8"/>
  <c r="P7"/>
  <c r="O7"/>
  <c r="N7"/>
  <c r="M7"/>
  <c r="I7"/>
  <c r="P6"/>
  <c r="O6"/>
  <c r="N6"/>
  <c r="M6"/>
  <c r="I6"/>
  <c r="Q6" s="1"/>
  <c r="P5"/>
  <c r="O5"/>
  <c r="N5"/>
  <c r="M5"/>
  <c r="I5"/>
  <c r="P4"/>
  <c r="O4"/>
  <c r="N4"/>
  <c r="N16" s="1"/>
  <c r="M4"/>
  <c r="I4"/>
  <c r="Q14" l="1"/>
  <c r="M16"/>
  <c r="Q8"/>
  <c r="Q5"/>
  <c r="Q12"/>
  <c r="O16"/>
  <c r="Q7"/>
  <c r="Q11"/>
  <c r="Q15"/>
  <c r="I16"/>
  <c r="P16"/>
  <c r="Q4"/>
  <c r="Q16" l="1"/>
  <c r="F52" i="59" l="1"/>
  <c r="AC4" i="32"/>
  <c r="AE4" s="1"/>
  <c r="AJ4"/>
  <c r="AK4"/>
  <c r="AC5"/>
  <c r="AF5" s="1"/>
  <c r="AH5"/>
  <c r="AJ5"/>
  <c r="AK5"/>
  <c r="AL5"/>
  <c r="AC6"/>
  <c r="AG6" s="1"/>
  <c r="AJ6"/>
  <c r="AL6"/>
  <c r="AC7"/>
  <c r="AE7" s="1"/>
  <c r="AG7"/>
  <c r="AH7"/>
  <c r="AJ7"/>
  <c r="AK7"/>
  <c r="AL7"/>
  <c r="AC8"/>
  <c r="AG8" s="1"/>
  <c r="AJ8"/>
  <c r="AD9"/>
  <c r="AC9"/>
  <c r="AF9" s="1"/>
  <c r="AH9"/>
  <c r="AJ9"/>
  <c r="AK9"/>
  <c r="AC10"/>
  <c r="AE10" s="1"/>
  <c r="AG10"/>
  <c r="AH10"/>
  <c r="AJ10"/>
  <c r="AK10"/>
  <c r="AL10"/>
  <c r="AD11"/>
  <c r="AC11"/>
  <c r="AG11" s="1"/>
  <c r="AH11"/>
  <c r="AJ11"/>
  <c r="AJ15" s="1"/>
  <c r="AL11"/>
  <c r="AD12"/>
  <c r="AC12"/>
  <c r="AE12" s="1"/>
  <c r="AH12"/>
  <c r="AJ12"/>
  <c r="AC13"/>
  <c r="AG13" s="1"/>
  <c r="AH13"/>
  <c r="AJ13"/>
  <c r="AL13"/>
  <c r="AC14"/>
  <c r="AE14" s="1"/>
  <c r="AF14"/>
  <c r="AG14"/>
  <c r="AH14"/>
  <c r="AJ14"/>
  <c r="AK14"/>
  <c r="AL14"/>
  <c r="AN15"/>
  <c r="AD15"/>
  <c r="AB15"/>
  <c r="AA15"/>
  <c r="Z15"/>
  <c r="Y15"/>
  <c r="X4"/>
  <c r="X5"/>
  <c r="X6"/>
  <c r="X7"/>
  <c r="X8"/>
  <c r="X9"/>
  <c r="X10"/>
  <c r="X11"/>
  <c r="X12"/>
  <c r="X13"/>
  <c r="X14"/>
  <c r="X15"/>
  <c r="W15"/>
  <c r="V15"/>
  <c r="U15"/>
  <c r="T15"/>
  <c r="O4"/>
  <c r="P4"/>
  <c r="Q4"/>
  <c r="R4"/>
  <c r="O5"/>
  <c r="P5"/>
  <c r="Q5"/>
  <c r="R5"/>
  <c r="O6"/>
  <c r="P6"/>
  <c r="Q6"/>
  <c r="R6"/>
  <c r="O7"/>
  <c r="P7"/>
  <c r="Q7"/>
  <c r="R7"/>
  <c r="O8"/>
  <c r="P8"/>
  <c r="Q8"/>
  <c r="R8"/>
  <c r="O9"/>
  <c r="P9"/>
  <c r="Q9"/>
  <c r="R9"/>
  <c r="O10"/>
  <c r="P10"/>
  <c r="Q10"/>
  <c r="R10"/>
  <c r="O11"/>
  <c r="P11"/>
  <c r="Q11"/>
  <c r="R11"/>
  <c r="O12"/>
  <c r="P12"/>
  <c r="Q12"/>
  <c r="R12"/>
  <c r="O13"/>
  <c r="P13"/>
  <c r="Q13"/>
  <c r="R13"/>
  <c r="O14"/>
  <c r="P14"/>
  <c r="Q14"/>
  <c r="R14"/>
  <c r="N4"/>
  <c r="N5"/>
  <c r="N6"/>
  <c r="N7"/>
  <c r="N8"/>
  <c r="N9"/>
  <c r="N10"/>
  <c r="N11"/>
  <c r="N12"/>
  <c r="N13"/>
  <c r="N14"/>
  <c r="M15"/>
  <c r="L15"/>
  <c r="K15"/>
  <c r="J15"/>
  <c r="I4"/>
  <c r="I5"/>
  <c r="I6"/>
  <c r="I7"/>
  <c r="I8"/>
  <c r="I9"/>
  <c r="I10"/>
  <c r="I11"/>
  <c r="I12"/>
  <c r="I13"/>
  <c r="I14"/>
  <c r="H15"/>
  <c r="G15"/>
  <c r="F15"/>
  <c r="E15"/>
  <c r="D15"/>
  <c r="S10" l="1"/>
  <c r="AF10"/>
  <c r="AM10" s="1"/>
  <c r="AO10" s="1"/>
  <c r="AF7"/>
  <c r="AM7" s="1"/>
  <c r="AO7" s="1"/>
  <c r="AK6"/>
  <c r="AG5"/>
  <c r="AK12"/>
  <c r="AF12"/>
  <c r="AM12" s="1"/>
  <c r="AO12" s="1"/>
  <c r="AI5"/>
  <c r="AL4"/>
  <c r="AG4"/>
  <c r="AM4" s="1"/>
  <c r="AO4" s="1"/>
  <c r="AL12"/>
  <c r="AG12"/>
  <c r="AI10"/>
  <c r="AI7"/>
  <c r="AH4"/>
  <c r="S6"/>
  <c r="S5"/>
  <c r="S4"/>
  <c r="AC15"/>
  <c r="AI12"/>
  <c r="AL8"/>
  <c r="AH8"/>
  <c r="AH6"/>
  <c r="AE5"/>
  <c r="AM5" s="1"/>
  <c r="AO5" s="1"/>
  <c r="AF4"/>
  <c r="AE8"/>
  <c r="AM8" s="1"/>
  <c r="AO8" s="1"/>
  <c r="AI8"/>
  <c r="S14"/>
  <c r="AL9"/>
  <c r="AG9"/>
  <c r="AK8"/>
  <c r="AF8"/>
  <c r="AI4"/>
  <c r="AG15"/>
  <c r="AI13"/>
  <c r="AE13"/>
  <c r="AI11"/>
  <c r="AE11"/>
  <c r="S9"/>
  <c r="S8"/>
  <c r="Q15"/>
  <c r="AF13"/>
  <c r="AF11"/>
  <c r="AI9"/>
  <c r="AE9"/>
  <c r="AI6"/>
  <c r="AE6"/>
  <c r="I15"/>
  <c r="N15"/>
  <c r="S13"/>
  <c r="S12"/>
  <c r="S7"/>
  <c r="AI14"/>
  <c r="AM14" s="1"/>
  <c r="AO14" s="1"/>
  <c r="AK13"/>
  <c r="AK11"/>
  <c r="AF6"/>
  <c r="S11"/>
  <c r="R15"/>
  <c r="O15"/>
  <c r="P15"/>
  <c r="AM6" l="1"/>
  <c r="AO6" s="1"/>
  <c r="AH15"/>
  <c r="S15"/>
  <c r="AM9"/>
  <c r="AO9" s="1"/>
  <c r="AK15"/>
  <c r="AE15"/>
  <c r="AL15"/>
  <c r="AM13"/>
  <c r="AO13" s="1"/>
  <c r="AI15"/>
  <c r="AM11"/>
  <c r="AO11" s="1"/>
  <c r="AO15" s="1"/>
  <c r="AF15"/>
  <c r="AM15" l="1"/>
  <c r="E17" i="33" l="1"/>
  <c r="D17"/>
  <c r="G16"/>
  <c r="G15"/>
  <c r="G14"/>
  <c r="G13"/>
  <c r="G12"/>
  <c r="G11"/>
  <c r="G10"/>
  <c r="G9"/>
  <c r="G8"/>
  <c r="G7"/>
  <c r="G6"/>
  <c r="G5"/>
  <c r="G4"/>
  <c r="G3"/>
  <c r="G17" l="1"/>
  <c r="E3" i="31" l="1"/>
  <c r="E4"/>
  <c r="E5"/>
  <c r="E6"/>
  <c r="E7"/>
  <c r="E8"/>
  <c r="E9"/>
  <c r="E10"/>
  <c r="E11"/>
  <c r="E12"/>
  <c r="E13"/>
  <c r="E14"/>
  <c r="D15"/>
  <c r="E15" l="1"/>
  <c r="P74" i="59" l="1"/>
  <c r="O74"/>
  <c r="N74"/>
  <c r="M74"/>
  <c r="L74"/>
  <c r="K74"/>
  <c r="J74"/>
  <c r="I74"/>
  <c r="H74"/>
  <c r="G74"/>
  <c r="F74"/>
  <c r="E74"/>
  <c r="Q72"/>
  <c r="Q71"/>
  <c r="Q70"/>
  <c r="Q69"/>
  <c r="Q68"/>
  <c r="Q67"/>
  <c r="Q66"/>
  <c r="P65"/>
  <c r="O65"/>
  <c r="N65"/>
  <c r="M65"/>
  <c r="L65"/>
  <c r="K65"/>
  <c r="J65"/>
  <c r="I65"/>
  <c r="H65"/>
  <c r="G65"/>
  <c r="F65"/>
  <c r="E65"/>
  <c r="Q65" s="1"/>
  <c r="Q64"/>
  <c r="Q63"/>
  <c r="Q62"/>
  <c r="Q61"/>
  <c r="P60"/>
  <c r="O60"/>
  <c r="N60"/>
  <c r="N47" s="1"/>
  <c r="M60"/>
  <c r="L60"/>
  <c r="K60"/>
  <c r="J60"/>
  <c r="J47" s="1"/>
  <c r="I60"/>
  <c r="H60"/>
  <c r="G60"/>
  <c r="F60"/>
  <c r="F47" s="1"/>
  <c r="E60"/>
  <c r="Q59"/>
  <c r="Q58"/>
  <c r="P57"/>
  <c r="O57"/>
  <c r="N57"/>
  <c r="M57"/>
  <c r="L57"/>
  <c r="K57"/>
  <c r="J57"/>
  <c r="I57"/>
  <c r="H57"/>
  <c r="G57"/>
  <c r="F57"/>
  <c r="E57"/>
  <c r="Q56"/>
  <c r="P55"/>
  <c r="O55"/>
  <c r="N55"/>
  <c r="M55"/>
  <c r="L55"/>
  <c r="K55"/>
  <c r="J55"/>
  <c r="I55"/>
  <c r="H55"/>
  <c r="G55"/>
  <c r="F55"/>
  <c r="E55"/>
  <c r="Q55" s="1"/>
  <c r="P54"/>
  <c r="P53" s="1"/>
  <c r="O54"/>
  <c r="N54"/>
  <c r="M54"/>
  <c r="M53" s="1"/>
  <c r="L54"/>
  <c r="L53" s="1"/>
  <c r="K54"/>
  <c r="J54"/>
  <c r="I54"/>
  <c r="I53" s="1"/>
  <c r="H54"/>
  <c r="H53" s="1"/>
  <c r="G54"/>
  <c r="F54"/>
  <c r="E54"/>
  <c r="Q54" s="1"/>
  <c r="O53"/>
  <c r="N53"/>
  <c r="K53"/>
  <c r="J53"/>
  <c r="G53"/>
  <c r="F53"/>
  <c r="Q52"/>
  <c r="P51"/>
  <c r="O51"/>
  <c r="N51"/>
  <c r="M51"/>
  <c r="L51"/>
  <c r="K51"/>
  <c r="J51"/>
  <c r="I51"/>
  <c r="H51"/>
  <c r="G51"/>
  <c r="F51"/>
  <c r="E51"/>
  <c r="M50"/>
  <c r="L50"/>
  <c r="L49" s="1"/>
  <c r="K50"/>
  <c r="J50"/>
  <c r="I50"/>
  <c r="H50"/>
  <c r="H49" s="1"/>
  <c r="G50"/>
  <c r="F50"/>
  <c r="E50"/>
  <c r="E49" s="1"/>
  <c r="M49"/>
  <c r="K49"/>
  <c r="J49"/>
  <c r="I49"/>
  <c r="G49"/>
  <c r="F49"/>
  <c r="P48"/>
  <c r="O48"/>
  <c r="N48"/>
  <c r="M48"/>
  <c r="L48"/>
  <c r="K48"/>
  <c r="J48"/>
  <c r="I48"/>
  <c r="H48"/>
  <c r="G48"/>
  <c r="F48"/>
  <c r="E48"/>
  <c r="P47"/>
  <c r="O47"/>
  <c r="O46" s="1"/>
  <c r="M47"/>
  <c r="L47"/>
  <c r="K47"/>
  <c r="K46" s="1"/>
  <c r="I47"/>
  <c r="H47"/>
  <c r="G47"/>
  <c r="G46" s="1"/>
  <c r="E47"/>
  <c r="E46" s="1"/>
  <c r="P46"/>
  <c r="M46"/>
  <c r="L46"/>
  <c r="I46"/>
  <c r="H46"/>
  <c r="P45"/>
  <c r="O45"/>
  <c r="N45"/>
  <c r="M45"/>
  <c r="M44" s="1"/>
  <c r="L45"/>
  <c r="K45"/>
  <c r="J45"/>
  <c r="I45"/>
  <c r="I44" s="1"/>
  <c r="H45"/>
  <c r="G45"/>
  <c r="F45"/>
  <c r="E45"/>
  <c r="E44" s="1"/>
  <c r="P44"/>
  <c r="O44"/>
  <c r="N44"/>
  <c r="L44"/>
  <c r="K44"/>
  <c r="J44"/>
  <c r="H44"/>
  <c r="G44"/>
  <c r="F44"/>
  <c r="P43"/>
  <c r="O43"/>
  <c r="O42" s="1"/>
  <c r="N43"/>
  <c r="M43"/>
  <c r="L43"/>
  <c r="K43"/>
  <c r="K42" s="1"/>
  <c r="J43"/>
  <c r="I43"/>
  <c r="H43"/>
  <c r="G43"/>
  <c r="G42" s="1"/>
  <c r="F43"/>
  <c r="E43"/>
  <c r="P42"/>
  <c r="N42"/>
  <c r="M42"/>
  <c r="L42"/>
  <c r="J42"/>
  <c r="I42"/>
  <c r="H42"/>
  <c r="F42"/>
  <c r="E42"/>
  <c r="P41"/>
  <c r="O41"/>
  <c r="M41"/>
  <c r="M40" s="1"/>
  <c r="L41"/>
  <c r="K41"/>
  <c r="I41"/>
  <c r="I40" s="1"/>
  <c r="H41"/>
  <c r="H40" s="1"/>
  <c r="G41"/>
  <c r="E41"/>
  <c r="P40"/>
  <c r="O40"/>
  <c r="L40"/>
  <c r="K40"/>
  <c r="G40"/>
  <c r="L38"/>
  <c r="K38"/>
  <c r="J38"/>
  <c r="I38"/>
  <c r="H38"/>
  <c r="H39" s="1"/>
  <c r="G38"/>
  <c r="Q38" s="1"/>
  <c r="Q36"/>
  <c r="P35"/>
  <c r="O35"/>
  <c r="N35"/>
  <c r="M35"/>
  <c r="L35"/>
  <c r="K35"/>
  <c r="J35"/>
  <c r="I35"/>
  <c r="H35"/>
  <c r="G35"/>
  <c r="F35"/>
  <c r="E35"/>
  <c r="Q35" s="1"/>
  <c r="Q34"/>
  <c r="P33"/>
  <c r="O33"/>
  <c r="N33"/>
  <c r="M33"/>
  <c r="L33"/>
  <c r="K33"/>
  <c r="J33"/>
  <c r="J32" s="1"/>
  <c r="I33"/>
  <c r="H33"/>
  <c r="G33"/>
  <c r="F33"/>
  <c r="E33"/>
  <c r="P32"/>
  <c r="N32"/>
  <c r="L32"/>
  <c r="H32"/>
  <c r="F32"/>
  <c r="Q31"/>
  <c r="P30"/>
  <c r="P27" s="1"/>
  <c r="P26" s="1"/>
  <c r="O30"/>
  <c r="O50" s="1"/>
  <c r="O49" s="1"/>
  <c r="N30"/>
  <c r="N50" s="1"/>
  <c r="N49" s="1"/>
  <c r="O29"/>
  <c r="M29"/>
  <c r="M28" s="1"/>
  <c r="L29"/>
  <c r="L28" s="1"/>
  <c r="K29"/>
  <c r="J29"/>
  <c r="I29"/>
  <c r="H29"/>
  <c r="H28" s="1"/>
  <c r="G29"/>
  <c r="G28" s="1"/>
  <c r="F29"/>
  <c r="E29"/>
  <c r="O28"/>
  <c r="K28"/>
  <c r="J28"/>
  <c r="I28"/>
  <c r="F28"/>
  <c r="E28"/>
  <c r="O27"/>
  <c r="N27"/>
  <c r="N26" s="1"/>
  <c r="M27"/>
  <c r="L27"/>
  <c r="K27"/>
  <c r="J27"/>
  <c r="J26" s="1"/>
  <c r="I27"/>
  <c r="H27"/>
  <c r="G27"/>
  <c r="G26" s="1"/>
  <c r="F27"/>
  <c r="F26" s="1"/>
  <c r="E27"/>
  <c r="Q27" s="1"/>
  <c r="O26"/>
  <c r="M26"/>
  <c r="L26"/>
  <c r="K26"/>
  <c r="I26"/>
  <c r="H26"/>
  <c r="E26"/>
  <c r="P25"/>
  <c r="O25"/>
  <c r="N25"/>
  <c r="M25"/>
  <c r="L25"/>
  <c r="K25"/>
  <c r="J25"/>
  <c r="I25"/>
  <c r="H25"/>
  <c r="G25"/>
  <c r="F25"/>
  <c r="E25"/>
  <c r="Q25" s="1"/>
  <c r="O24"/>
  <c r="N24"/>
  <c r="M24"/>
  <c r="M23" s="1"/>
  <c r="L24"/>
  <c r="K24"/>
  <c r="J24"/>
  <c r="I24"/>
  <c r="I23" s="1"/>
  <c r="H24"/>
  <c r="G24"/>
  <c r="F24"/>
  <c r="E24"/>
  <c r="E23" s="1"/>
  <c r="O23"/>
  <c r="N23"/>
  <c r="K23"/>
  <c r="J23"/>
  <c r="G23"/>
  <c r="F23"/>
  <c r="O22"/>
  <c r="O21" s="1"/>
  <c r="N22"/>
  <c r="M22"/>
  <c r="L22"/>
  <c r="K22"/>
  <c r="K21" s="1"/>
  <c r="J22"/>
  <c r="I22"/>
  <c r="H22"/>
  <c r="G22"/>
  <c r="G21" s="1"/>
  <c r="F22"/>
  <c r="E22"/>
  <c r="H20"/>
  <c r="G20"/>
  <c r="E20"/>
  <c r="P19"/>
  <c r="O19"/>
  <c r="N19"/>
  <c r="N16" s="1"/>
  <c r="M19"/>
  <c r="L19"/>
  <c r="K19"/>
  <c r="J19"/>
  <c r="J16" s="1"/>
  <c r="I19"/>
  <c r="H19"/>
  <c r="G19"/>
  <c r="F19"/>
  <c r="E19"/>
  <c r="Q18"/>
  <c r="Q17"/>
  <c r="P16"/>
  <c r="O16"/>
  <c r="M16"/>
  <c r="L16"/>
  <c r="K16"/>
  <c r="I16"/>
  <c r="H16"/>
  <c r="G16"/>
  <c r="E16"/>
  <c r="O15"/>
  <c r="N15"/>
  <c r="M15"/>
  <c r="L15"/>
  <c r="K15"/>
  <c r="J15"/>
  <c r="I15"/>
  <c r="H15"/>
  <c r="G15"/>
  <c r="F15"/>
  <c r="E15"/>
  <c r="O14"/>
  <c r="O13" s="1"/>
  <c r="N14"/>
  <c r="M14"/>
  <c r="L14"/>
  <c r="K14"/>
  <c r="K13" s="1"/>
  <c r="J14"/>
  <c r="I14"/>
  <c r="H14"/>
  <c r="G14"/>
  <c r="G13" s="1"/>
  <c r="F14"/>
  <c r="E14"/>
  <c r="E13" s="1"/>
  <c r="M13"/>
  <c r="L13"/>
  <c r="I13"/>
  <c r="H13"/>
  <c r="P12"/>
  <c r="O12"/>
  <c r="M12"/>
  <c r="M11" s="1"/>
  <c r="M9" s="1"/>
  <c r="L12"/>
  <c r="K12"/>
  <c r="I12"/>
  <c r="I11" s="1"/>
  <c r="I9" s="1"/>
  <c r="H12"/>
  <c r="G12"/>
  <c r="E12"/>
  <c r="P11"/>
  <c r="O11"/>
  <c r="L11"/>
  <c r="K11"/>
  <c r="K9" s="1"/>
  <c r="H11"/>
  <c r="G11"/>
  <c r="Q10"/>
  <c r="P9"/>
  <c r="O9"/>
  <c r="L9"/>
  <c r="H9"/>
  <c r="G9"/>
  <c r="P8"/>
  <c r="O8"/>
  <c r="N8"/>
  <c r="L8"/>
  <c r="Q8" s="1"/>
  <c r="P7"/>
  <c r="O7"/>
  <c r="N7"/>
  <c r="N6" s="1"/>
  <c r="L7"/>
  <c r="Q7" s="1"/>
  <c r="P6"/>
  <c r="O6"/>
  <c r="M6"/>
  <c r="K6"/>
  <c r="J6"/>
  <c r="I6"/>
  <c r="H6"/>
  <c r="G6"/>
  <c r="F6"/>
  <c r="E6"/>
  <c r="F21" l="1"/>
  <c r="N21"/>
  <c r="H23"/>
  <c r="H21" s="1"/>
  <c r="H5" s="1"/>
  <c r="H73" s="1"/>
  <c r="L23"/>
  <c r="L21" s="1"/>
  <c r="I37"/>
  <c r="Q44"/>
  <c r="E53"/>
  <c r="Q53" s="1"/>
  <c r="Q60"/>
  <c r="M37"/>
  <c r="Q43"/>
  <c r="Q48"/>
  <c r="Q51"/>
  <c r="Q74"/>
  <c r="Q19"/>
  <c r="J21"/>
  <c r="I21"/>
  <c r="I5" s="1"/>
  <c r="M21"/>
  <c r="N29"/>
  <c r="N28" s="1"/>
  <c r="E32"/>
  <c r="I32"/>
  <c r="M32"/>
  <c r="G39"/>
  <c r="Q57"/>
  <c r="M5"/>
  <c r="M4" s="1"/>
  <c r="F13"/>
  <c r="J13"/>
  <c r="N13"/>
  <c r="Q26"/>
  <c r="G32"/>
  <c r="K32"/>
  <c r="O32"/>
  <c r="G37"/>
  <c r="K37"/>
  <c r="F46"/>
  <c r="J46"/>
  <c r="Q46" s="1"/>
  <c r="N46"/>
  <c r="Q23"/>
  <c r="E21"/>
  <c r="G5"/>
  <c r="K5"/>
  <c r="Q32"/>
  <c r="Q39"/>
  <c r="Q42"/>
  <c r="Q47"/>
  <c r="M73"/>
  <c r="O37"/>
  <c r="O5"/>
  <c r="H37"/>
  <c r="N5"/>
  <c r="L37"/>
  <c r="Q33"/>
  <c r="L6"/>
  <c r="L5" s="1"/>
  <c r="F12"/>
  <c r="F11" s="1"/>
  <c r="F9" s="1"/>
  <c r="J12"/>
  <c r="J11" s="1"/>
  <c r="J9" s="1"/>
  <c r="N12"/>
  <c r="N11" s="1"/>
  <c r="N9" s="1"/>
  <c r="P14"/>
  <c r="P13" s="1"/>
  <c r="Q13" s="1"/>
  <c r="F20"/>
  <c r="Q20" s="1"/>
  <c r="P22"/>
  <c r="P21" s="1"/>
  <c r="Q30"/>
  <c r="F41"/>
  <c r="F40" s="1"/>
  <c r="F37" s="1"/>
  <c r="J41"/>
  <c r="J40" s="1"/>
  <c r="J37" s="1"/>
  <c r="N41"/>
  <c r="N40" s="1"/>
  <c r="P29"/>
  <c r="P28" s="1"/>
  <c r="Q28" s="1"/>
  <c r="Q45"/>
  <c r="E11"/>
  <c r="P24"/>
  <c r="P23" s="1"/>
  <c r="E40"/>
  <c r="P50"/>
  <c r="P49" s="1"/>
  <c r="Q49" s="1"/>
  <c r="P15"/>
  <c r="Q15" s="1"/>
  <c r="I73" l="1"/>
  <c r="I4"/>
  <c r="N37"/>
  <c r="N4" s="1"/>
  <c r="J5"/>
  <c r="J73" s="1"/>
  <c r="H4"/>
  <c r="L73"/>
  <c r="L4"/>
  <c r="Q41"/>
  <c r="Q12"/>
  <c r="Q24"/>
  <c r="F16"/>
  <c r="Q16" s="1"/>
  <c r="Q29"/>
  <c r="Q6"/>
  <c r="P37"/>
  <c r="Q14"/>
  <c r="G73"/>
  <c r="G4"/>
  <c r="Q50"/>
  <c r="Q40"/>
  <c r="E37"/>
  <c r="N73"/>
  <c r="O73"/>
  <c r="O4"/>
  <c r="Q11"/>
  <c r="E9"/>
  <c r="J4"/>
  <c r="K73"/>
  <c r="K4"/>
  <c r="P5"/>
  <c r="Q22"/>
  <c r="Q21"/>
  <c r="Q9" l="1"/>
  <c r="E5"/>
  <c r="P73"/>
  <c r="P4"/>
  <c r="Q37"/>
  <c r="F5"/>
  <c r="F73" l="1"/>
  <c r="F4"/>
  <c r="E73"/>
  <c r="Q5"/>
  <c r="E4"/>
  <c r="B4" i="43"/>
  <c r="C3"/>
  <c r="Q73" i="59" l="1"/>
  <c r="Q4"/>
  <c r="C4" i="43"/>
</calcChain>
</file>

<file path=xl/sharedStrings.xml><?xml version="1.0" encoding="utf-8"?>
<sst xmlns="http://schemas.openxmlformats.org/spreadsheetml/2006/main" count="598" uniqueCount="377">
  <si>
    <t>工资福利支出</t>
  </si>
  <si>
    <t>商品服务支出</t>
  </si>
  <si>
    <t>马桥</t>
  </si>
  <si>
    <t>序号</t>
  </si>
  <si>
    <t>项目名称</t>
  </si>
  <si>
    <t>功能分类</t>
  </si>
  <si>
    <t>口径</t>
  </si>
  <si>
    <t>合计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</si>
  <si>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</si>
  <si>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</si>
  <si>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</si>
  <si>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</si>
  <si>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</si>
  <si>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</si>
  <si>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</si>
  <si>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</si>
  <si>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</si>
  <si>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</si>
  <si>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</si>
  <si>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</si>
  <si>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</si>
  <si>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</si>
  <si>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</si>
  <si>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</si>
  <si>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</si>
  <si>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</si>
  <si>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</si>
  <si>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2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</si>
  <si>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</si>
  <si>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</si>
  <si>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</si>
  <si>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</si>
  <si>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</si>
  <si>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</si>
  <si>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　　　　2、失业保险0.5%</t>
    <phoneticPr fontId="2" type="noConversion"/>
  </si>
  <si>
    <t>13</t>
  </si>
  <si>
    <t>　　绩效工资</t>
  </si>
  <si>
    <t>14</t>
  </si>
  <si>
    <t>　　　　1、绩效工资</t>
  </si>
  <si>
    <t>根据人保科数字编制</t>
    <phoneticPr fontId="2" type="noConversion"/>
  </si>
  <si>
    <t>15</t>
  </si>
  <si>
    <t>　　　　2、校长职级制</t>
  </si>
  <si>
    <t>根据校长职级制按实编制</t>
  </si>
  <si>
    <t>16</t>
  </si>
  <si>
    <t>　　　　3、工作餐补贴</t>
    <phoneticPr fontId="2" type="noConversion"/>
  </si>
  <si>
    <t>17</t>
  </si>
  <si>
    <t>　　　　4、课后服务(在编人员）</t>
    <phoneticPr fontId="2" type="noConversion"/>
  </si>
  <si>
    <t>18</t>
  </si>
  <si>
    <t xml:space="preserve">   城镇职工基本医疗保险缴费</t>
  </si>
  <si>
    <t>19</t>
  </si>
  <si>
    <t>事业单位医疗</t>
  </si>
  <si>
    <t>20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</si>
  <si>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</si>
  <si>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21</t>
  </si>
  <si>
    <t>22</t>
  </si>
  <si>
    <t>23</t>
  </si>
  <si>
    <t>　　事业单位基本养老保险缴费</t>
  </si>
  <si>
    <t>24</t>
  </si>
  <si>
    <t>　　　　1、基本养老保险16%</t>
    <phoneticPr fontId="2" type="noConversion"/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</si>
  <si>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</si>
  <si>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</si>
  <si>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</si>
  <si>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</si>
  <si>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</si>
  <si>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</si>
  <si>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</si>
  <si>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</si>
  <si>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公积金</t>
  </si>
  <si>
    <t>根据人事口径按实编制</t>
    <phoneticPr fontId="2" type="noConversion"/>
  </si>
  <si>
    <t>28</t>
  </si>
  <si>
    <t xml:space="preserve">    其他工资福利</t>
    <phoneticPr fontId="2" type="noConversion"/>
  </si>
  <si>
    <t>年初预算为0</t>
    <phoneticPr fontId="2" type="noConversion"/>
  </si>
  <si>
    <t>29</t>
  </si>
  <si>
    <t>对个人和家庭补助</t>
  </si>
  <si>
    <t>30</t>
  </si>
  <si>
    <t xml:space="preserve">    退休费</t>
    <phoneticPr fontId="2" type="noConversion"/>
  </si>
  <si>
    <t>离退休</t>
  </si>
  <si>
    <t>根据退休人员情况按实编制</t>
    <phoneticPr fontId="2" type="noConversion"/>
  </si>
  <si>
    <t>31</t>
  </si>
  <si>
    <t xml:space="preserve">        1、退休人员生活补贴</t>
    <phoneticPr fontId="2" type="noConversion"/>
  </si>
  <si>
    <t>32</t>
  </si>
  <si>
    <t>　　奖励金</t>
  </si>
  <si>
    <t>33</t>
  </si>
  <si>
    <t>　　　　1、独生子女奖励费▲</t>
  </si>
  <si>
    <t>34</t>
  </si>
  <si>
    <t>35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</si>
  <si>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</si>
  <si>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</si>
  <si>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</si>
  <si>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</si>
  <si>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</si>
  <si>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</si>
  <si>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</si>
  <si>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</si>
  <si>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</si>
  <si>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</si>
  <si>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</si>
  <si>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</si>
  <si>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</si>
  <si>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</si>
  <si>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</si>
  <si>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</si>
  <si>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</si>
  <si>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</si>
  <si>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</si>
  <si>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</si>
  <si>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</si>
  <si>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</si>
  <si>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</si>
  <si>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</si>
  <si>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</si>
  <si>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　　(五)福利费</t>
    <phoneticPr fontId="2" type="noConversion"/>
  </si>
  <si>
    <t>46</t>
  </si>
  <si>
    <t>教职工人数*4320元（公式计算）</t>
  </si>
  <si>
    <t>47</t>
  </si>
  <si>
    <t>48</t>
  </si>
  <si>
    <t>　　(六)工会经费</t>
    <phoneticPr fontId="2" type="noConversion"/>
  </si>
  <si>
    <t>49</t>
  </si>
  <si>
    <t>　　　　1、工会经费2%</t>
  </si>
  <si>
    <t>50</t>
  </si>
  <si>
    <t>51</t>
  </si>
  <si>
    <t>　　　　1、教育系统，校/辆</t>
  </si>
  <si>
    <t>机关局有编制的车辆数*32000元/年（分园及分校预算在其他交通费中编制）</t>
  </si>
  <si>
    <t>52</t>
  </si>
  <si>
    <t>53</t>
  </si>
  <si>
    <t>54</t>
  </si>
  <si>
    <t>　　　　　　(1)活动费(活动费+活动费(托管))</t>
  </si>
  <si>
    <t>离退休人数*400元/年（公式计算）</t>
    <phoneticPr fontId="2" type="noConversion"/>
  </si>
  <si>
    <t>55</t>
  </si>
  <si>
    <t>没有，填0</t>
  </si>
  <si>
    <t>56</t>
  </si>
  <si>
    <t>57</t>
  </si>
  <si>
    <t>58</t>
  </si>
  <si>
    <t>学校基本情况：</t>
  </si>
  <si>
    <t>59</t>
  </si>
  <si>
    <t>1、教职工(人数)</t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</si>
  <si>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</si>
  <si>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</si>
  <si>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</si>
  <si>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</si>
  <si>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</si>
  <si>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</si>
  <si>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</si>
  <si>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</si>
  <si>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</si>
  <si>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</si>
  <si>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t>65</t>
  </si>
  <si>
    <t>66</t>
  </si>
  <si>
    <t>67</t>
  </si>
  <si>
    <t>68</t>
  </si>
  <si>
    <t>69</t>
  </si>
  <si>
    <t>4、教育单位房屋（面积）</t>
    <phoneticPr fontId="2" type="noConversion"/>
  </si>
  <si>
    <t>5、教育单位绿化（面积）</t>
    <phoneticPr fontId="2" type="noConversion"/>
  </si>
  <si>
    <t>　　　　1、在职福利费</t>
    <phoneticPr fontId="2" type="noConversion"/>
  </si>
  <si>
    <t>离退休人数*4320元（公式计算）</t>
    <phoneticPr fontId="2" type="noConversion"/>
  </si>
  <si>
    <t>　　(七)公务用车运行维护费★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</si>
  <si>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</si>
  <si>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3、事业退休人员人数</t>
    <phoneticPr fontId="2" type="noConversion"/>
  </si>
  <si>
    <t>上海市闵行区马桥富国幼儿园</t>
    <phoneticPr fontId="2" type="noConversion"/>
  </si>
  <si>
    <t>镇属</t>
    <phoneticPr fontId="1" type="noConversion"/>
  </si>
  <si>
    <t>马桥 汇总</t>
  </si>
  <si>
    <t>上海交通大学附属闵行马桥实验学校</t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</si>
  <si>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</si>
  <si>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</si>
  <si>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</si>
  <si>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上海市闵行区马桥复旦万科实验中学</t>
    <phoneticPr fontId="2" type="noConversion"/>
  </si>
  <si>
    <t>上海市马桥强恕学校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</si>
  <si>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</si>
  <si>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</si>
  <si>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上海市闵行区马桥富卓幼儿园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</si>
  <si>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</si>
  <si>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</si>
  <si>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上海市闵行区马桥元祥幼儿园</t>
    <phoneticPr fontId="2" type="noConversion"/>
  </si>
  <si>
    <t>闵行区马桥中心幼儿园</t>
    <phoneticPr fontId="2" type="noConversion"/>
  </si>
  <si>
    <t>马桥社区学校</t>
    <phoneticPr fontId="2" type="noConversion"/>
  </si>
  <si>
    <t>　　　　1、工伤保险费0.5%(0.16%-1.52%)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</si>
  <si>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</si>
  <si>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</si>
  <si>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</si>
  <si>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2、离退休福利费</t>
    <phoneticPr fontId="2" type="noConversion"/>
  </si>
  <si>
    <t>　　(八)离退休公用支出支出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</si>
  <si>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</si>
  <si>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</si>
  <si>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</si>
  <si>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</si>
  <si>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</si>
  <si>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</si>
  <si>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幼儿园</t>
    <phoneticPr fontId="1" type="noConversion"/>
  </si>
  <si>
    <t>其他</t>
    <phoneticPr fontId="1" type="noConversion"/>
  </si>
  <si>
    <t>九年制</t>
    <phoneticPr fontId="1" type="noConversion"/>
  </si>
  <si>
    <t>小学</t>
    <phoneticPr fontId="1" type="noConversion"/>
  </si>
  <si>
    <t>初中</t>
    <phoneticPr fontId="1" type="noConversion"/>
  </si>
  <si>
    <t>闵行区马桥中心幼儿园</t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</si>
  <si>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</si>
  <si>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</si>
  <si>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</si>
  <si>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</si>
  <si>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</si>
  <si>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</si>
  <si>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</si>
  <si>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</si>
  <si>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</si>
  <si>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t>马桥镇</t>
    <phoneticPr fontId="2" type="noConversion"/>
  </si>
  <si>
    <t>七</t>
    <phoneticPr fontId="2" type="noConversion"/>
  </si>
  <si>
    <r>
      <rPr>
        <sz val="10"/>
        <rFont val="宋体"/>
        <family val="3"/>
        <charset val="134"/>
      </rPr>
      <t>上海市闵行区马桥元祥幼儿园</t>
    </r>
  </si>
  <si>
    <r>
      <rPr>
        <sz val="10"/>
        <rFont val="宋体"/>
        <family val="3"/>
        <charset val="134"/>
      </rPr>
      <t>上海市闵行区马桥实验幼儿园</t>
    </r>
  </si>
  <si>
    <r>
      <rPr>
        <sz val="10"/>
        <rFont val="宋体"/>
        <family val="3"/>
        <charset val="134"/>
      </rPr>
      <t>闵行区马桥启音幼儿园</t>
    </r>
  </si>
  <si>
    <t>2021年9月新开办</t>
    <phoneticPr fontId="2" type="noConversion"/>
  </si>
  <si>
    <r>
      <rPr>
        <sz val="10"/>
        <rFont val="宋体"/>
        <family val="3"/>
        <charset val="134"/>
      </rPr>
      <t>上海马桥强恕学校</t>
    </r>
  </si>
  <si>
    <t>九年一贯制</t>
    <phoneticPr fontId="2" type="noConversion"/>
  </si>
  <si>
    <r>
      <t>2022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</si>
  <si>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上海交通大学附属闵行马桥实验学校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</si>
  <si>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</si>
  <si>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闵行区马桥文来外国语小学</t>
    </r>
  </si>
  <si>
    <t>小学</t>
    <phoneticPr fontId="2" type="noConversion"/>
  </si>
  <si>
    <t>闵行区马桥文来外国语小学（西校）</t>
    <phoneticPr fontId="2" type="noConversion"/>
  </si>
  <si>
    <r>
      <rPr>
        <sz val="10"/>
        <rFont val="宋体"/>
        <family val="3"/>
        <charset val="134"/>
      </rPr>
      <t>马桥复旦实验中学</t>
    </r>
  </si>
  <si>
    <t>初中</t>
    <phoneticPr fontId="2" type="noConversion"/>
  </si>
  <si>
    <t>马桥小学</t>
    <phoneticPr fontId="2" type="noConversion"/>
  </si>
  <si>
    <t>镇属</t>
  </si>
  <si>
    <t>学校</t>
  </si>
  <si>
    <t>园部</t>
    <phoneticPr fontId="1" type="noConversion"/>
  </si>
  <si>
    <t>教育教辅后勤应配用工人数(2024人保提供）</t>
    <phoneticPr fontId="1" type="noConversion"/>
  </si>
  <si>
    <t>教育教辅后勤应配用工人数(正常额度+临时额度）</t>
  </si>
  <si>
    <t>现有辅助用工人数（2024年人保科提供）</t>
    <phoneticPr fontId="1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</si>
  <si>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</si>
  <si>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</si>
  <si>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</si>
  <si>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</si>
  <si>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</si>
  <si>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</si>
  <si>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</si>
  <si>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</si>
  <si>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</si>
  <si>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</si>
  <si>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社保公积金</t>
    <phoneticPr fontId="1" type="noConversion"/>
  </si>
  <si>
    <t>学前</t>
    <phoneticPr fontId="1" type="noConversion"/>
  </si>
  <si>
    <t>闵行区马桥实验幼儿园</t>
  </si>
  <si>
    <t>闵行区马桥富杰幼儿园</t>
  </si>
  <si>
    <t>闵行区马桥启英幼儿园</t>
  </si>
  <si>
    <t>闵行区马桥元祥幼儿园</t>
  </si>
  <si>
    <t>闵行区马桥实验学校</t>
    <phoneticPr fontId="1" type="noConversion"/>
  </si>
  <si>
    <t>闵行区马桥文来外国语小学</t>
  </si>
  <si>
    <t>闵行区马桥强恕学校</t>
  </si>
  <si>
    <t>马桥复旦万科实验中学</t>
  </si>
  <si>
    <t>马桥富卓幼儿园</t>
  </si>
  <si>
    <t>马桥富国幼儿园</t>
  </si>
  <si>
    <t>马桥合计</t>
  </si>
  <si>
    <t>管理费
（2025年全年）</t>
    <phoneticPr fontId="1" type="noConversion"/>
  </si>
  <si>
    <t>2024年残疾人就业保障预算调整表</t>
    <phoneticPr fontId="1" type="noConversion"/>
  </si>
  <si>
    <t>镇属</t>
    <phoneticPr fontId="1" type="noConversion"/>
  </si>
  <si>
    <t>单位</t>
    <phoneticPr fontId="1" type="noConversion"/>
  </si>
  <si>
    <t>全年需求</t>
    <phoneticPr fontId="1" type="noConversion"/>
  </si>
  <si>
    <t>一次分配</t>
    <phoneticPr fontId="1" type="noConversion"/>
  </si>
  <si>
    <t>马桥</t>
    <phoneticPr fontId="1" type="noConversion"/>
  </si>
  <si>
    <t>上海市闵行区马桥镇社区学校</t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</si>
  <si>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</si>
  <si>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</si>
  <si>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</si>
  <si>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</si>
  <si>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</si>
  <si>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</si>
  <si>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</si>
  <si>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</si>
  <si>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</si>
  <si>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</si>
  <si>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</si>
  <si>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2025年基本支出预算表（马桥）</t>
    <phoneticPr fontId="2" type="noConversion"/>
  </si>
  <si>
    <t>2025年社区教育年初预算</t>
    <phoneticPr fontId="1" type="noConversion"/>
  </si>
  <si>
    <t>闵行区马桥中心幼儿园</t>
    <phoneticPr fontId="2" type="noConversion"/>
  </si>
  <si>
    <t>幼儿园</t>
    <phoneticPr fontId="2" type="noConversion"/>
  </si>
  <si>
    <t>马桥镇</t>
    <phoneticPr fontId="2" type="noConversion"/>
  </si>
  <si>
    <t>七</t>
    <phoneticPr fontId="2" type="noConversion"/>
  </si>
  <si>
    <r>
      <rPr>
        <sz val="10"/>
        <rFont val="宋体"/>
        <family val="3"/>
        <charset val="134"/>
      </rPr>
      <t>闵行区马桥富杰幼儿园</t>
    </r>
    <r>
      <rPr>
        <sz val="10"/>
        <rFont val="Arial"/>
        <family val="2"/>
      </rPr>
      <t xml:space="preserve">              </t>
    </r>
    <phoneticPr fontId="2" type="noConversion"/>
  </si>
  <si>
    <r>
      <rPr>
        <sz val="10"/>
        <rFont val="宋体"/>
        <family val="3"/>
        <charset val="134"/>
      </rPr>
      <t>闵行区马桥富杰幼儿园银康分园</t>
    </r>
    <r>
      <rPr>
        <sz val="10"/>
        <rFont val="Arial"/>
        <family val="2"/>
      </rPr>
      <t xml:space="preserve">            </t>
    </r>
    <phoneticPr fontId="2" type="noConversion"/>
  </si>
  <si>
    <t>上海市闵行区马桥富卓幼儿园</t>
    <phoneticPr fontId="2" type="noConversion"/>
  </si>
  <si>
    <t>上海市闵行区马桥富国幼儿园</t>
    <phoneticPr fontId="2" type="noConversion"/>
  </si>
  <si>
    <r>
      <t>2020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月新增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</si>
  <si>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color indexed="8"/>
        <rFont val="宋体"/>
        <family val="3"/>
        <charset val="134"/>
      </rPr>
      <t>马桥镇</t>
    </r>
    <phoneticPr fontId="2" type="noConversion"/>
  </si>
  <si>
    <t>农民工小学</t>
    <phoneticPr fontId="1" type="noConversion"/>
  </si>
  <si>
    <t>马桥镇 汇总</t>
  </si>
  <si>
    <t>2025年镇级保安经费预算表</t>
    <phoneticPr fontId="1" type="noConversion"/>
  </si>
  <si>
    <t>学段</t>
    <phoneticPr fontId="1" type="noConversion"/>
  </si>
  <si>
    <t>成人</t>
    <phoneticPr fontId="1" type="noConversion"/>
  </si>
  <si>
    <t>一贯制</t>
    <phoneticPr fontId="1" type="noConversion"/>
  </si>
  <si>
    <t>小学</t>
    <phoneticPr fontId="1" type="noConversion"/>
  </si>
  <si>
    <t>幼儿园</t>
    <phoneticPr fontId="1" type="noConversion"/>
  </si>
  <si>
    <t>初中</t>
    <phoneticPr fontId="1" type="noConversion"/>
  </si>
  <si>
    <t>2025年镇管单位补充公用经费预算表(年初预算）</t>
    <phoneticPr fontId="1" type="noConversion"/>
  </si>
  <si>
    <t>因故额外增加临时额度（2024人保提供）</t>
    <phoneticPr fontId="1" type="noConversion"/>
  </si>
  <si>
    <t>2025年金额（年初预算：按中位数测算，学校实际执行按人事部门规定标准执行，严禁超标准发放）</t>
    <phoneticPr fontId="1" type="noConversion"/>
  </si>
  <si>
    <t>课后延时</t>
    <phoneticPr fontId="1" type="noConversion"/>
  </si>
  <si>
    <t>奖金</t>
    <phoneticPr fontId="1" type="noConversion"/>
  </si>
  <si>
    <t>掌勺津贴</t>
    <phoneticPr fontId="1" type="noConversion"/>
  </si>
  <si>
    <t>小计</t>
    <phoneticPr fontId="1" type="noConversion"/>
  </si>
  <si>
    <t>一贯制</t>
    <phoneticPr fontId="1" type="noConversion"/>
  </si>
  <si>
    <r>
      <t>2024年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</si>
  <si>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单 位</t>
  </si>
  <si>
    <t>属性2</t>
  </si>
  <si>
    <t>学段</t>
  </si>
  <si>
    <t>2024年核定金额</t>
    <phoneticPr fontId="1" type="noConversion"/>
  </si>
  <si>
    <t>2024年分配金额</t>
    <phoneticPr fontId="1" type="noConversion"/>
  </si>
  <si>
    <t>2025年清算金额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</si>
  <si>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</si>
  <si>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</si>
  <si>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总绩效</t>
  </si>
  <si>
    <t>课后延时</t>
  </si>
  <si>
    <t>义务</t>
  </si>
  <si>
    <t>九年一贯</t>
  </si>
  <si>
    <t>非义务</t>
  </si>
  <si>
    <t>社校</t>
  </si>
  <si>
    <t>幼儿园</t>
  </si>
  <si>
    <t>小学</t>
  </si>
  <si>
    <t>初中</t>
  </si>
  <si>
    <t>上海市闵行区马桥复旦万科实验中学</t>
  </si>
  <si>
    <t>上海市马桥强恕学校</t>
  </si>
  <si>
    <t>上海市闵行区马桥文来外国语小学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</si>
  <si>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</si>
  <si>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</si>
  <si>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</si>
  <si>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</si>
  <si>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</si>
  <si>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上海市闵行区马桥富国幼儿园</t>
  </si>
  <si>
    <t>马桥小计</t>
    <phoneticPr fontId="1" type="noConversion"/>
  </si>
  <si>
    <t>课后延时（1-12月）</t>
    <phoneticPr fontId="1" type="noConversion"/>
  </si>
  <si>
    <t>2024年镇管学校制度外用工清算核定表（补充公用经费清算不含储备老师）</t>
    <phoneticPr fontId="45" type="noConversion"/>
  </si>
  <si>
    <t>镇属</t>
    <phoneticPr fontId="45" type="noConversion"/>
  </si>
  <si>
    <t>学校名称</t>
  </si>
  <si>
    <t>课后延时</t>
    <phoneticPr fontId="1" type="noConversion"/>
  </si>
  <si>
    <t>2024年已下达课后延时金额</t>
    <phoneticPr fontId="1" type="noConversion"/>
  </si>
  <si>
    <t>清算课后延时金额</t>
    <phoneticPr fontId="1" type="noConversion"/>
  </si>
  <si>
    <t>马桥</t>
    <phoneticPr fontId="45" type="noConversion"/>
  </si>
  <si>
    <t>闵行区职业年金补记人员汇总表（事业单位人员）</t>
    <phoneticPr fontId="2" type="noConversion"/>
  </si>
  <si>
    <t>事业单位名称</t>
  </si>
  <si>
    <t>镇属</t>
    <phoneticPr fontId="2" type="noConversion"/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</si>
  <si>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</si>
  <si>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</si>
  <si>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</si>
  <si>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</si>
  <si>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</si>
  <si>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</si>
  <si>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</si>
  <si>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否</t>
  </si>
  <si>
    <t>2012年8月-2014年9月</t>
  </si>
  <si>
    <t>2年2个月</t>
  </si>
  <si>
    <t>2012年7月-2014年9月</t>
  </si>
  <si>
    <t>2年3个月</t>
  </si>
  <si>
    <t>马桥</t>
    <phoneticPr fontId="2" type="noConversion"/>
  </si>
  <si>
    <t>韩伊</t>
  </si>
  <si>
    <t>310112197505010024</t>
  </si>
  <si>
    <t>2022年10月</t>
  </si>
  <si>
    <t>1993年7月-2014年9月</t>
  </si>
  <si>
    <t>21年3个月</t>
  </si>
  <si>
    <t>浦叶</t>
  </si>
  <si>
    <t>31011219811121212X</t>
  </si>
  <si>
    <t>2022年7月</t>
  </si>
  <si>
    <t>叶旖</t>
  </si>
  <si>
    <t>310112199107030328</t>
  </si>
  <si>
    <t>沈莉萍</t>
  </si>
  <si>
    <t>310224197506274727</t>
  </si>
  <si>
    <t>21年2个月</t>
  </si>
  <si>
    <t>马桥小计</t>
    <phoneticPr fontId="1" type="noConversion"/>
  </si>
  <si>
    <t>2025年教育统筹经费第一次分配明细表</t>
  </si>
  <si>
    <t>单位：元</t>
  </si>
  <si>
    <t>项目</t>
  </si>
  <si>
    <t>核定金额</t>
  </si>
  <si>
    <t>减：2024年预排教育事业专项资金</t>
  </si>
  <si>
    <t>一次分配</t>
  </si>
  <si>
    <t>其中：教育局</t>
  </si>
  <si>
    <t>其中：乡镇/工业区</t>
  </si>
  <si>
    <t>对个人和家庭的补助支出</t>
  </si>
  <si>
    <t>残疾就业保障</t>
  </si>
  <si>
    <t>社区教育经费</t>
  </si>
  <si>
    <t>保安经费</t>
  </si>
  <si>
    <t>社区教育志愿者联盟</t>
  </si>
  <si>
    <t>补充公用经费</t>
  </si>
  <si>
    <t>马桥镇：</t>
    <phoneticPr fontId="1" type="noConversion"/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</si>
</sst>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176" formatCode="0.00_ "/>
    <numFmt numFmtId="177" formatCode="0.00_ ;\-0.00;;"/>
    <numFmt numFmtId="178" formatCode="0.00_);[Red]\(0.00\)"/>
    <numFmt numFmtId="179" formatCode="0_ "/>
    <numFmt numFmtId="180" formatCode="[$-F800]dddd\,\ mmmm\ dd\,\ yyyy"/>
    <numFmt numFmtId="181" formatCode="_ \¥* #,##0.00_ ;_ \¥* \-#,##0.00_ ;_ \¥* &quot;-&quot;??_ ;_ @_ "/>
    <numFmt numFmtId="182" formatCode="yyyy&quot;年&quot;m&quot;月&quot;;@"/>
  </numFmts>
  <fonts count="8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Arial"/>
      <family val="2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b/>
      <sz val="14"/>
      <color indexed="8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4"/>
      <name val="宋体"/>
      <family val="2"/>
      <charset val="134"/>
    </font>
    <font>
      <sz val="9"/>
      <color rgb="FFFF0000"/>
      <name val="宋体"/>
      <family val="2"/>
      <charset val="134"/>
    </font>
    <font>
      <sz val="9"/>
      <color rgb="FFFF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9"/>
      <color rgb="FFFF000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color indexed="64"/>
      <name val="仿宋"/>
      <family val="3"/>
      <charset val="134"/>
    </font>
    <font>
      <sz val="12"/>
      <color rgb="FF7030A0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宋体"/>
      <family val="3"/>
      <charset val="134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09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7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7" fillId="0" borderId="0">
      <alignment vertical="center"/>
    </xf>
    <xf numFmtId="0" fontId="4" fillId="0" borderId="0"/>
    <xf numFmtId="178" fontId="7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162">
    <xf numFmtId="0" fontId="0" fillId="0" borderId="0" xfId="0">
      <alignment vertical="center"/>
    </xf>
    <xf numFmtId="0" fontId="2" fillId="28" borderId="0" xfId="0" applyFont="1" applyFill="1" applyAlignment="1" applyProtection="1">
      <protection locked="0"/>
    </xf>
    <xf numFmtId="0" fontId="41" fillId="28" borderId="0" xfId="0" applyFont="1" applyFill="1" applyAlignment="1" applyProtection="1">
      <protection locked="0"/>
    </xf>
    <xf numFmtId="49" fontId="40" fillId="28" borderId="12" xfId="0" applyNumberFormat="1" applyFont="1" applyFill="1" applyBorder="1" applyAlignment="1" applyProtection="1">
      <alignment vertical="center"/>
      <protection locked="0"/>
    </xf>
    <xf numFmtId="0" fontId="2" fillId="28" borderId="12" xfId="0" applyFont="1" applyFill="1" applyBorder="1" applyAlignment="1" applyProtection="1">
      <alignment wrapText="1"/>
      <protection locked="0"/>
    </xf>
    <xf numFmtId="177" fontId="2" fillId="28" borderId="12" xfId="0" applyNumberFormat="1" applyFont="1" applyFill="1" applyBorder="1" applyAlignment="1" applyProtection="1">
      <protection locked="0"/>
    </xf>
    <xf numFmtId="49" fontId="40" fillId="28" borderId="1" xfId="0" applyNumberFormat="1" applyFont="1" applyFill="1" applyBorder="1" applyAlignment="1" applyProtection="1">
      <alignment vertical="center"/>
      <protection locked="0"/>
    </xf>
    <xf numFmtId="0" fontId="2" fillId="28" borderId="1" xfId="0" applyFont="1" applyFill="1" applyBorder="1" applyAlignment="1" applyProtection="1">
      <alignment wrapText="1"/>
      <protection locked="0"/>
    </xf>
    <xf numFmtId="177" fontId="2" fillId="28" borderId="1" xfId="0" applyNumberFormat="1" applyFont="1" applyFill="1" applyBorder="1" applyAlignment="1" applyProtection="1">
      <protection locked="0"/>
    </xf>
    <xf numFmtId="0" fontId="2" fillId="28" borderId="0" xfId="0" applyFont="1" applyFill="1" applyAlignment="1" applyProtection="1">
      <alignment horizontal="center"/>
      <protection locked="0"/>
    </xf>
    <xf numFmtId="0" fontId="2" fillId="28" borderId="0" xfId="0" applyFont="1" applyFill="1" applyAlignment="1" applyProtection="1">
      <alignment wrapText="1"/>
      <protection locked="0"/>
    </xf>
    <xf numFmtId="0" fontId="46" fillId="28" borderId="0" xfId="0" applyFont="1" applyFill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50" fillId="0" borderId="14" xfId="0" applyFont="1" applyBorder="1" applyAlignment="1">
      <alignment horizontal="center" vertical="center"/>
    </xf>
    <xf numFmtId="0" fontId="4" fillId="0" borderId="14" xfId="2006" applyBorder="1" applyAlignment="1">
      <alignment horizontal="center" vertical="center"/>
    </xf>
    <xf numFmtId="0" fontId="7" fillId="0" borderId="14" xfId="0" applyNumberFormat="1" applyFont="1" applyBorder="1" applyAlignment="1">
      <alignment horizontal="center" vertical="center"/>
    </xf>
    <xf numFmtId="0" fontId="4" fillId="0" borderId="14" xfId="2006" applyFont="1" applyFill="1" applyBorder="1" applyAlignment="1">
      <alignment horizontal="center" vertical="center"/>
    </xf>
    <xf numFmtId="179" fontId="0" fillId="0" borderId="14" xfId="0" applyNumberFormat="1" applyBorder="1" applyAlignment="1">
      <alignment horizontal="center" vertical="center"/>
    </xf>
    <xf numFmtId="0" fontId="39" fillId="28" borderId="14" xfId="0" applyNumberFormat="1" applyFont="1" applyFill="1" applyBorder="1" applyAlignment="1" applyProtection="1">
      <alignment horizontal="center" vertical="center" wrapText="1"/>
      <protection locked="0"/>
    </xf>
    <xf numFmtId="0" fontId="40" fillId="28" borderId="14" xfId="0" applyNumberFormat="1" applyFont="1" applyFill="1" applyBorder="1" applyAlignment="1" applyProtection="1">
      <alignment horizontal="center"/>
      <protection locked="0"/>
    </xf>
    <xf numFmtId="49" fontId="40" fillId="28" borderId="14" xfId="0" applyNumberFormat="1" applyFont="1" applyFill="1" applyBorder="1" applyAlignment="1" applyProtection="1">
      <protection locked="0"/>
    </xf>
    <xf numFmtId="49" fontId="40" fillId="28" borderId="14" xfId="0" applyNumberFormat="1" applyFont="1" applyFill="1" applyBorder="1" applyAlignment="1" applyProtection="1">
      <alignment wrapText="1"/>
      <protection locked="0"/>
    </xf>
    <xf numFmtId="177" fontId="41" fillId="28" borderId="14" xfId="0" applyNumberFormat="1" applyFont="1" applyFill="1" applyBorder="1" applyAlignment="1" applyProtection="1"/>
    <xf numFmtId="49" fontId="41" fillId="28" borderId="14" xfId="0" applyNumberFormat="1" applyFont="1" applyFill="1" applyBorder="1" applyAlignment="1" applyProtection="1">
      <alignment wrapText="1"/>
      <protection locked="0"/>
    </xf>
    <xf numFmtId="177" fontId="41" fillId="28" borderId="14" xfId="0" applyNumberFormat="1" applyFont="1" applyFill="1" applyBorder="1" applyAlignment="1" applyProtection="1">
      <protection locked="0"/>
    </xf>
    <xf numFmtId="49" fontId="41" fillId="28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alignment wrapText="1"/>
      <protection locked="0"/>
    </xf>
    <xf numFmtId="177" fontId="2" fillId="28" borderId="14" xfId="0" applyNumberFormat="1" applyFont="1" applyFill="1" applyBorder="1" applyAlignment="1" applyProtection="1">
      <protection locked="0"/>
    </xf>
    <xf numFmtId="177" fontId="2" fillId="28" borderId="14" xfId="0" applyNumberFormat="1" applyFont="1" applyFill="1" applyBorder="1" applyAlignment="1" applyProtection="1"/>
    <xf numFmtId="0" fontId="2" fillId="28" borderId="14" xfId="0" applyFont="1" applyFill="1" applyBorder="1" applyAlignment="1" applyProtection="1">
      <alignment wrapText="1"/>
      <protection locked="0"/>
    </xf>
    <xf numFmtId="0" fontId="41" fillId="28" borderId="14" xfId="0" applyFont="1" applyFill="1" applyBorder="1" applyAlignment="1" applyProtection="1">
      <alignment wrapText="1"/>
      <protection locked="0"/>
    </xf>
    <xf numFmtId="178" fontId="2" fillId="28" borderId="14" xfId="0" applyNumberFormat="1" applyFont="1" applyFill="1" applyBorder="1" applyAlignment="1" applyProtection="1">
      <protection locked="0"/>
    </xf>
    <xf numFmtId="49" fontId="40" fillId="28" borderId="14" xfId="0" applyNumberFormat="1" applyFont="1" applyFill="1" applyBorder="1" applyAlignment="1" applyProtection="1">
      <alignment horizontal="left"/>
      <protection locked="0"/>
    </xf>
    <xf numFmtId="0" fontId="43" fillId="0" borderId="14" xfId="0" applyNumberFormat="1" applyFont="1" applyBorder="1" applyAlignment="1">
      <alignment horizontal="center" vertical="center"/>
    </xf>
    <xf numFmtId="0" fontId="55" fillId="28" borderId="0" xfId="0" applyFont="1" applyFill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5" fillId="2" borderId="14" xfId="0" applyFont="1" applyFill="1" applyBorder="1" applyAlignment="1">
      <alignment horizontal="left" vertical="center" wrapText="1"/>
    </xf>
    <xf numFmtId="180" fontId="43" fillId="2" borderId="0" xfId="0" applyNumberFormat="1" applyFont="1" applyFill="1">
      <alignment vertical="center"/>
    </xf>
    <xf numFmtId="180" fontId="2" fillId="29" borderId="14" xfId="0" applyNumberFormat="1" applyFont="1" applyFill="1" applyBorder="1" applyAlignment="1">
      <alignment horizontal="center" vertical="center" wrapText="1"/>
    </xf>
    <xf numFmtId="180" fontId="45" fillId="2" borderId="14" xfId="0" applyNumberFormat="1" applyFont="1" applyFill="1" applyBorder="1" applyAlignment="1">
      <alignment horizontal="center" vertical="center"/>
    </xf>
    <xf numFmtId="180" fontId="2" fillId="2" borderId="14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45" fillId="2" borderId="14" xfId="0" applyNumberFormat="1" applyFont="1" applyFill="1" applyBorder="1" applyAlignment="1">
      <alignment horizontal="center" vertical="center"/>
    </xf>
    <xf numFmtId="180" fontId="45" fillId="2" borderId="0" xfId="0" applyNumberFormat="1" applyFont="1" applyFill="1">
      <alignment vertical="center"/>
    </xf>
    <xf numFmtId="176" fontId="45" fillId="29" borderId="14" xfId="0" applyNumberFormat="1" applyFont="1" applyFill="1" applyBorder="1" applyAlignment="1">
      <alignment horizontal="center" vertical="center"/>
    </xf>
    <xf numFmtId="180" fontId="43" fillId="29" borderId="0" xfId="0" applyNumberFormat="1" applyFont="1" applyFill="1">
      <alignment vertical="center"/>
    </xf>
    <xf numFmtId="176" fontId="2" fillId="2" borderId="14" xfId="0" applyNumberFormat="1" applyFont="1" applyFill="1" applyBorder="1" applyAlignment="1">
      <alignment horizontal="center" vertical="center" wrapText="1"/>
    </xf>
    <xf numFmtId="176" fontId="43" fillId="2" borderId="0" xfId="0" applyNumberFormat="1" applyFont="1" applyFill="1">
      <alignment vertical="center"/>
    </xf>
    <xf numFmtId="0" fontId="2" fillId="2" borderId="14" xfId="0" applyFont="1" applyFill="1" applyBorder="1" applyAlignment="1">
      <alignment horizontal="center" vertical="center" wrapText="1"/>
    </xf>
    <xf numFmtId="180" fontId="58" fillId="29" borderId="14" xfId="0" applyNumberFormat="1" applyFont="1" applyFill="1" applyBorder="1" applyAlignment="1">
      <alignment horizontal="center" vertical="center" wrapText="1"/>
    </xf>
    <xf numFmtId="176" fontId="59" fillId="2" borderId="14" xfId="0" applyNumberFormat="1" applyFont="1" applyFill="1" applyBorder="1" applyAlignment="1">
      <alignment horizontal="center" vertical="center"/>
    </xf>
    <xf numFmtId="180" fontId="59" fillId="2" borderId="0" xfId="0" applyNumberFormat="1" applyFont="1" applyFill="1">
      <alignment vertical="center"/>
    </xf>
    <xf numFmtId="0" fontId="42" fillId="0" borderId="0" xfId="0" applyNumberFormat="1" applyFont="1">
      <alignment vertical="center"/>
    </xf>
    <xf numFmtId="0" fontId="43" fillId="30" borderId="14" xfId="0" applyNumberFormat="1" applyFont="1" applyFill="1" applyBorder="1" applyAlignment="1">
      <alignment horizontal="center" vertical="center"/>
    </xf>
    <xf numFmtId="0" fontId="43" fillId="0" borderId="0" xfId="0" applyNumberFormat="1" applyFont="1">
      <alignment vertical="center"/>
    </xf>
    <xf numFmtId="0" fontId="60" fillId="2" borderId="14" xfId="1225" applyNumberFormat="1" applyFont="1" applyFill="1" applyBorder="1" applyAlignment="1">
      <alignment horizontal="left" vertical="center"/>
    </xf>
    <xf numFmtId="176" fontId="43" fillId="0" borderId="14" xfId="0" applyNumberFormat="1" applyFont="1" applyBorder="1" applyAlignment="1">
      <alignment horizontal="center" vertical="center"/>
    </xf>
    <xf numFmtId="0" fontId="44" fillId="30" borderId="14" xfId="0" applyNumberFormat="1" applyFont="1" applyFill="1" applyBorder="1" applyAlignment="1">
      <alignment horizontal="center" vertical="center"/>
    </xf>
    <xf numFmtId="0" fontId="40" fillId="30" borderId="14" xfId="0" applyNumberFormat="1" applyFont="1" applyFill="1" applyBorder="1" applyAlignment="1" applyProtection="1">
      <alignment horizontal="center" vertical="center" wrapText="1"/>
      <protection locked="0"/>
    </xf>
    <xf numFmtId="176" fontId="43" fillId="30" borderId="14" xfId="0" applyNumberFormat="1" applyFont="1" applyFill="1" applyBorder="1" applyAlignment="1">
      <alignment horizontal="center" vertical="center"/>
    </xf>
    <xf numFmtId="0" fontId="40" fillId="2" borderId="14" xfId="0" applyNumberFormat="1" applyFont="1" applyFill="1" applyBorder="1" applyAlignment="1" applyProtection="1">
      <alignment horizontal="left" vertical="center" wrapText="1"/>
      <protection locked="0"/>
    </xf>
    <xf numFmtId="0" fontId="3" fillId="0" borderId="0" xfId="0" applyNumberFormat="1" applyFont="1">
      <alignment vertical="center"/>
    </xf>
    <xf numFmtId="0" fontId="43" fillId="2" borderId="14" xfId="0" applyNumberFormat="1" applyFont="1" applyFill="1" applyBorder="1" applyAlignment="1">
      <alignment horizontal="center" vertical="center"/>
    </xf>
    <xf numFmtId="0" fontId="45" fillId="2" borderId="14" xfId="0" applyNumberFormat="1" applyFont="1" applyFill="1" applyBorder="1" applyAlignment="1">
      <alignment horizontal="center" vertical="center"/>
    </xf>
    <xf numFmtId="176" fontId="43" fillId="2" borderId="14" xfId="0" applyNumberFormat="1" applyFont="1" applyFill="1" applyBorder="1" applyAlignment="1">
      <alignment horizontal="center" vertical="center"/>
    </xf>
    <xf numFmtId="0" fontId="43" fillId="2" borderId="0" xfId="0" applyNumberFormat="1" applyFont="1" applyFill="1" applyAlignment="1">
      <alignment horizontal="center" vertical="center"/>
    </xf>
    <xf numFmtId="180" fontId="43" fillId="2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vertical="center" wrapText="1"/>
    </xf>
    <xf numFmtId="0" fontId="46" fillId="28" borderId="0" xfId="0" applyFont="1" applyFill="1" applyAlignment="1">
      <alignment horizontal="center" vertical="center" wrapText="1"/>
    </xf>
    <xf numFmtId="0" fontId="46" fillId="28" borderId="0" xfId="0" applyFont="1" applyFill="1" applyAlignment="1">
      <alignment horizontal="left" vertical="center" wrapText="1"/>
    </xf>
    <xf numFmtId="178" fontId="46" fillId="28" borderId="0" xfId="1720" applyNumberFormat="1" applyFont="1" applyFill="1" applyAlignment="1">
      <alignment horizontal="center" vertical="center"/>
    </xf>
    <xf numFmtId="178" fontId="46" fillId="28" borderId="0" xfId="0" applyNumberFormat="1" applyFont="1" applyFill="1" applyAlignment="1">
      <alignment horizontal="center" vertical="center"/>
    </xf>
    <xf numFmtId="0" fontId="54" fillId="2" borderId="14" xfId="0" applyFont="1" applyFill="1" applyBorder="1" applyAlignment="1">
      <alignment horizontal="center" vertical="center" wrapText="1"/>
    </xf>
    <xf numFmtId="0" fontId="53" fillId="2" borderId="14" xfId="0" applyFont="1" applyFill="1" applyBorder="1" applyAlignment="1">
      <alignment horizontal="center" vertical="center" wrapText="1"/>
    </xf>
    <xf numFmtId="178" fontId="54" fillId="2" borderId="14" xfId="1720" applyNumberFormat="1" applyFont="1" applyFill="1" applyBorder="1" applyAlignment="1">
      <alignment horizontal="center" vertical="center" wrapText="1"/>
    </xf>
    <xf numFmtId="178" fontId="54" fillId="2" borderId="14" xfId="0" applyNumberFormat="1" applyFont="1" applyFill="1" applyBorder="1" applyAlignment="1">
      <alignment horizontal="center" vertical="center" wrapText="1"/>
    </xf>
    <xf numFmtId="0" fontId="53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horizontal="center" vertical="center"/>
    </xf>
    <xf numFmtId="43" fontId="31" fillId="2" borderId="14" xfId="1720" applyNumberFormat="1" applyFont="1" applyFill="1" applyBorder="1" applyAlignment="1">
      <alignment horizontal="center" vertical="center"/>
    </xf>
    <xf numFmtId="43" fontId="31" fillId="2" borderId="14" xfId="0" applyNumberFormat="1" applyFont="1" applyFill="1" applyBorder="1" applyAlignment="1">
      <alignment horizontal="center" vertical="center"/>
    </xf>
    <xf numFmtId="0" fontId="55" fillId="2" borderId="14" xfId="0" applyFont="1" applyFill="1" applyBorder="1" applyAlignment="1">
      <alignment horizontal="center" vertical="center"/>
    </xf>
    <xf numFmtId="43" fontId="55" fillId="2" borderId="14" xfId="0" applyNumberFormat="1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vertical="center" wrapText="1"/>
    </xf>
    <xf numFmtId="0" fontId="31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left" vertical="center"/>
    </xf>
    <xf numFmtId="0" fontId="56" fillId="2" borderId="14" xfId="0" applyNumberFormat="1" applyFont="1" applyFill="1" applyBorder="1" applyAlignment="1">
      <alignment horizontal="center" vertical="center"/>
    </xf>
    <xf numFmtId="180" fontId="2" fillId="29" borderId="14" xfId="0" applyNumberFormat="1" applyFont="1" applyFill="1" applyBorder="1" applyAlignment="1">
      <alignment horizontal="center" vertical="center"/>
    </xf>
    <xf numFmtId="180" fontId="45" fillId="29" borderId="14" xfId="0" applyNumberFormat="1" applyFont="1" applyFill="1" applyBorder="1" applyAlignment="1">
      <alignment horizontal="center" vertical="center"/>
    </xf>
    <xf numFmtId="177" fontId="61" fillId="28" borderId="14" xfId="0" applyNumberFormat="1" applyFont="1" applyFill="1" applyBorder="1" applyAlignment="1" applyProtection="1">
      <protection locked="0"/>
    </xf>
    <xf numFmtId="0" fontId="0" fillId="2" borderId="0" xfId="0" applyFill="1">
      <alignment vertical="center"/>
    </xf>
    <xf numFmtId="0" fontId="2" fillId="2" borderId="14" xfId="0" applyFont="1" applyFill="1" applyBorder="1" applyAlignment="1">
      <alignment horizontal="center" vertical="center"/>
    </xf>
    <xf numFmtId="0" fontId="64" fillId="2" borderId="14" xfId="0" applyFont="1" applyFill="1" applyBorder="1" applyAlignment="1">
      <alignment horizontal="center" vertical="center" wrapText="1"/>
    </xf>
    <xf numFmtId="0" fontId="48" fillId="2" borderId="14" xfId="0" applyFont="1" applyFill="1" applyBorder="1" applyAlignment="1">
      <alignment horizontal="center" vertical="center"/>
    </xf>
    <xf numFmtId="176" fontId="43" fillId="2" borderId="14" xfId="0" applyNumberFormat="1" applyFont="1" applyFill="1" applyBorder="1">
      <alignment vertical="center"/>
    </xf>
    <xf numFmtId="0" fontId="43" fillId="2" borderId="0" xfId="0" applyFont="1" applyFill="1">
      <alignment vertical="center"/>
    </xf>
    <xf numFmtId="0" fontId="43" fillId="2" borderId="14" xfId="0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2" fillId="2" borderId="14" xfId="0" applyNumberFormat="1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48" fillId="0" borderId="14" xfId="0" applyFont="1" applyBorder="1">
      <alignment vertical="center"/>
    </xf>
    <xf numFmtId="0" fontId="67" fillId="0" borderId="14" xfId="0" applyNumberFormat="1" applyFont="1" applyFill="1" applyBorder="1">
      <alignment vertical="center"/>
    </xf>
    <xf numFmtId="176" fontId="67" fillId="0" borderId="14" xfId="0" applyNumberFormat="1" applyFont="1" applyFill="1" applyBorder="1">
      <alignment vertical="center"/>
    </xf>
    <xf numFmtId="176" fontId="48" fillId="0" borderId="14" xfId="0" applyNumberFormat="1" applyFont="1" applyBorder="1">
      <alignment vertical="center"/>
    </xf>
    <xf numFmtId="0" fontId="68" fillId="0" borderId="14" xfId="0" applyFont="1" applyBorder="1">
      <alignment vertical="center"/>
    </xf>
    <xf numFmtId="0" fontId="0" fillId="0" borderId="0" xfId="0" applyAlignment="1">
      <alignment vertical="center"/>
    </xf>
    <xf numFmtId="181" fontId="70" fillId="0" borderId="14" xfId="0" applyNumberFormat="1" applyFont="1" applyFill="1" applyBorder="1" applyAlignment="1">
      <alignment horizontal="center" vertical="center" wrapText="1"/>
    </xf>
    <xf numFmtId="49" fontId="70" fillId="0" borderId="14" xfId="0" applyNumberFormat="1" applyFont="1" applyFill="1" applyBorder="1" applyAlignment="1">
      <alignment horizontal="center" vertical="center" wrapText="1"/>
    </xf>
    <xf numFmtId="182" fontId="70" fillId="0" borderId="14" xfId="0" applyNumberFormat="1" applyFont="1" applyFill="1" applyBorder="1" applyAlignment="1">
      <alignment horizontal="center" vertical="center" wrapText="1"/>
    </xf>
    <xf numFmtId="0" fontId="71" fillId="0" borderId="0" xfId="0" applyFont="1" applyAlignment="1">
      <alignment vertical="center"/>
    </xf>
    <xf numFmtId="0" fontId="72" fillId="0" borderId="14" xfId="0" applyFont="1" applyFill="1" applyBorder="1" applyAlignment="1" applyProtection="1">
      <alignment horizontal="center" vertical="center"/>
    </xf>
    <xf numFmtId="0" fontId="72" fillId="0" borderId="14" xfId="0" applyFont="1" applyFill="1" applyBorder="1" applyAlignment="1" applyProtection="1">
      <alignment horizontal="center" vertical="center" wrapText="1"/>
    </xf>
    <xf numFmtId="182" fontId="72" fillId="0" borderId="14" xfId="0" applyNumberFormat="1" applyFont="1" applyFill="1" applyBorder="1" applyAlignment="1" applyProtection="1">
      <alignment horizontal="center" vertical="center"/>
    </xf>
    <xf numFmtId="176" fontId="73" fillId="0" borderId="14" xfId="0" applyNumberFormat="1" applyFont="1" applyFill="1" applyBorder="1" applyAlignment="1">
      <alignment horizontal="center" vertical="center"/>
    </xf>
    <xf numFmtId="176" fontId="74" fillId="0" borderId="14" xfId="0" applyNumberFormat="1" applyFont="1" applyFill="1" applyBorder="1" applyAlignment="1">
      <alignment horizontal="center" vertical="center"/>
    </xf>
    <xf numFmtId="0" fontId="72" fillId="0" borderId="0" xfId="0" applyFont="1" applyFill="1" applyBorder="1" applyAlignment="1" applyProtection="1">
      <alignment horizontal="center" vertical="center"/>
    </xf>
    <xf numFmtId="0" fontId="76" fillId="0" borderId="0" xfId="0" applyFont="1" applyAlignment="1">
      <alignment horizontal="center" vertical="center"/>
    </xf>
    <xf numFmtId="0" fontId="0" fillId="0" borderId="0" xfId="0" applyNumberFormat="1">
      <alignment vertical="center"/>
    </xf>
    <xf numFmtId="0" fontId="75" fillId="0" borderId="14" xfId="0" applyNumberFormat="1" applyFont="1" applyBorder="1" applyAlignment="1">
      <alignment horizontal="center" vertical="center"/>
    </xf>
    <xf numFmtId="0" fontId="75" fillId="0" borderId="14" xfId="0" applyNumberFormat="1" applyFont="1" applyBorder="1" applyAlignment="1">
      <alignment horizontal="center" vertical="center" wrapText="1"/>
    </xf>
    <xf numFmtId="0" fontId="75" fillId="0" borderId="0" xfId="0" applyNumberFormat="1" applyFont="1" applyBorder="1" applyAlignment="1">
      <alignment horizontal="center" vertical="center"/>
    </xf>
    <xf numFmtId="0" fontId="75" fillId="0" borderId="1" xfId="0" applyNumberFormat="1" applyFont="1" applyBorder="1" applyAlignment="1">
      <alignment horizontal="center" vertical="center"/>
    </xf>
    <xf numFmtId="43" fontId="75" fillId="0" borderId="1" xfId="0" applyNumberFormat="1" applyFont="1" applyBorder="1" applyAlignment="1">
      <alignment horizontal="center" vertical="center"/>
    </xf>
    <xf numFmtId="43" fontId="75" fillId="0" borderId="14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77" fillId="0" borderId="0" xfId="0" applyNumberFormat="1" applyFont="1" applyBorder="1" applyAlignment="1">
      <alignment horizontal="center" vertical="center"/>
    </xf>
    <xf numFmtId="180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78" fillId="0" borderId="0" xfId="0" applyNumberFormat="1" applyFont="1" applyBorder="1" applyAlignment="1">
      <alignment vertical="center"/>
    </xf>
    <xf numFmtId="180" fontId="0" fillId="0" borderId="0" xfId="0" applyNumberFormat="1" applyBorder="1" applyAlignment="1">
      <alignment vertical="center"/>
    </xf>
    <xf numFmtId="0" fontId="79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37" fillId="28" borderId="0" xfId="0" applyNumberFormat="1" applyFont="1" applyFill="1" applyBorder="1" applyAlignment="1" applyProtection="1">
      <alignment horizontal="center" vertical="center"/>
      <protection locked="0"/>
    </xf>
    <xf numFmtId="0" fontId="38" fillId="28" borderId="0" xfId="0" applyNumberFormat="1" applyFont="1" applyFill="1" applyBorder="1" applyAlignment="1" applyProtection="1">
      <alignment horizontal="center" vertical="center"/>
      <protection locked="0"/>
    </xf>
    <xf numFmtId="0" fontId="39" fillId="28" borderId="11" xfId="0" applyNumberFormat="1" applyFont="1" applyFill="1" applyBorder="1" applyAlignment="1" applyProtection="1">
      <alignment horizontal="center" vertical="center"/>
      <protection locked="0"/>
    </xf>
    <xf numFmtId="0" fontId="39" fillId="28" borderId="1" xfId="0" applyNumberFormat="1" applyFont="1" applyFill="1" applyBorder="1" applyAlignment="1" applyProtection="1">
      <alignment horizontal="center" vertical="center"/>
      <protection locked="0"/>
    </xf>
    <xf numFmtId="0" fontId="62" fillId="2" borderId="13" xfId="0" applyFont="1" applyFill="1" applyBorder="1" applyAlignment="1">
      <alignment horizontal="center" vertical="center"/>
    </xf>
    <xf numFmtId="0" fontId="63" fillId="2" borderId="13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64" fillId="2" borderId="11" xfId="0" applyFont="1" applyFill="1" applyBorder="1" applyAlignment="1">
      <alignment horizontal="center" vertical="center" wrapText="1"/>
    </xf>
    <xf numFmtId="0" fontId="64" fillId="2" borderId="11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69" fillId="0" borderId="13" xfId="0" applyFont="1" applyBorder="1" applyAlignment="1" applyProtection="1">
      <alignment horizontal="center" vertical="center"/>
    </xf>
    <xf numFmtId="0" fontId="42" fillId="0" borderId="13" xfId="0" applyNumberFormat="1" applyFont="1" applyBorder="1" applyAlignment="1">
      <alignment horizontal="center" vertical="center"/>
    </xf>
    <xf numFmtId="0" fontId="42" fillId="0" borderId="13" xfId="0" applyNumberFormat="1" applyFont="1" applyBorder="1">
      <alignment vertical="center"/>
    </xf>
    <xf numFmtId="0" fontId="49" fillId="0" borderId="0" xfId="0" applyFont="1" applyAlignment="1">
      <alignment horizontal="center" vertical="center"/>
    </xf>
    <xf numFmtId="0" fontId="52" fillId="28" borderId="13" xfId="0" applyFont="1" applyFill="1" applyBorder="1" applyAlignment="1">
      <alignment horizontal="center" vertical="center"/>
    </xf>
    <xf numFmtId="0" fontId="43" fillId="29" borderId="11" xfId="0" applyNumberFormat="1" applyFont="1" applyFill="1" applyBorder="1" applyAlignment="1">
      <alignment horizontal="center" vertical="center"/>
    </xf>
    <xf numFmtId="0" fontId="43" fillId="29" borderId="1" xfId="0" applyNumberFormat="1" applyFont="1" applyFill="1" applyBorder="1" applyAlignment="1">
      <alignment horizontal="center" vertical="center"/>
    </xf>
    <xf numFmtId="180" fontId="57" fillId="2" borderId="13" xfId="0" applyNumberFormat="1" applyFont="1" applyFill="1" applyBorder="1" applyAlignment="1">
      <alignment horizontal="center" vertical="center"/>
    </xf>
    <xf numFmtId="180" fontId="0" fillId="0" borderId="13" xfId="0" applyNumberFormat="1" applyBorder="1" applyAlignment="1">
      <alignment horizontal="center" vertical="center"/>
    </xf>
    <xf numFmtId="0" fontId="0" fillId="0" borderId="13" xfId="0" applyBorder="1" applyAlignment="1">
      <alignment vertical="center"/>
    </xf>
    <xf numFmtId="180" fontId="2" fillId="29" borderId="14" xfId="0" applyNumberFormat="1" applyFont="1" applyFill="1" applyBorder="1" applyAlignment="1">
      <alignment horizontal="center" vertical="center"/>
    </xf>
    <xf numFmtId="180" fontId="45" fillId="29" borderId="14" xfId="0" applyNumberFormat="1" applyFont="1" applyFill="1" applyBorder="1" applyAlignment="1">
      <alignment horizontal="center" vertical="center"/>
    </xf>
    <xf numFmtId="0" fontId="65" fillId="0" borderId="13" xfId="0" applyFont="1" applyBorder="1" applyAlignment="1">
      <alignment horizontal="center" vertical="center"/>
    </xf>
    <xf numFmtId="0" fontId="66" fillId="0" borderId="13" xfId="0" applyFont="1" applyBorder="1" applyAlignment="1">
      <alignment vertical="center"/>
    </xf>
  </cellXfs>
  <cellStyles count="2009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07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VD14"/>
  <sheetViews>
    <sheetView tabSelected="1" workbookViewId="0">
      <selection activeCell="E12" sqref="E12"/>
    </sheetView>
  </sheetViews>
  <sheetFormatPr defaultColWidth="9" defaultRowHeight="13.5"/>
  <cols>
    <col min="1" max="1" width="6.25" style="121" customWidth="1"/>
    <col min="2" max="2" width="25.5" style="128" customWidth="1"/>
    <col min="3" max="5" width="21.25" style="121" customWidth="1"/>
    <col min="6" max="6" width="17.375" style="121" customWidth="1"/>
    <col min="7" max="7" width="21.75" style="121" customWidth="1"/>
    <col min="8" max="240" width="9" style="121"/>
    <col min="241" max="241" width="6.625" style="121" customWidth="1"/>
    <col min="242" max="243" width="21.625" style="121" customWidth="1"/>
    <col min="244" max="244" width="16.125" style="121" customWidth="1"/>
    <col min="245" max="245" width="13.875" style="121" customWidth="1"/>
    <col min="246" max="246" width="17.25" style="121" customWidth="1"/>
    <col min="247" max="248" width="20.5" style="121" customWidth="1"/>
    <col min="249" max="249" width="9" style="121" hidden="1" customWidth="1"/>
    <col min="250" max="250" width="18.375" style="121" customWidth="1"/>
    <col min="251" max="252" width="9" style="121" hidden="1" customWidth="1"/>
    <col min="253" max="496" width="9" style="121"/>
    <col min="497" max="497" width="6.625" style="121" customWidth="1"/>
    <col min="498" max="499" width="21.625" style="121" customWidth="1"/>
    <col min="500" max="500" width="16.125" style="121" customWidth="1"/>
    <col min="501" max="501" width="13.875" style="121" customWidth="1"/>
    <col min="502" max="502" width="17.25" style="121" customWidth="1"/>
    <col min="503" max="504" width="20.5" style="121" customWidth="1"/>
    <col min="505" max="505" width="9" style="121" hidden="1" customWidth="1"/>
    <col min="506" max="506" width="18.375" style="121" customWidth="1"/>
    <col min="507" max="508" width="9" style="121" hidden="1" customWidth="1"/>
    <col min="509" max="752" width="9" style="121"/>
    <col min="753" max="753" width="6.625" style="121" customWidth="1"/>
    <col min="754" max="755" width="21.625" style="121" customWidth="1"/>
    <col min="756" max="756" width="16.125" style="121" customWidth="1"/>
    <col min="757" max="757" width="13.875" style="121" customWidth="1"/>
    <col min="758" max="758" width="17.25" style="121" customWidth="1"/>
    <col min="759" max="760" width="20.5" style="121" customWidth="1"/>
    <col min="761" max="761" width="9" style="121" hidden="1" customWidth="1"/>
    <col min="762" max="762" width="18.375" style="121" customWidth="1"/>
    <col min="763" max="764" width="9" style="121" hidden="1" customWidth="1"/>
    <col min="765" max="1008" width="9" style="121"/>
    <col min="1009" max="1009" width="6.625" style="121" customWidth="1"/>
    <col min="1010" max="1011" width="21.625" style="121" customWidth="1"/>
    <col min="1012" max="1012" width="16.125" style="121" customWidth="1"/>
    <col min="1013" max="1013" width="13.875" style="121" customWidth="1"/>
    <col min="1014" max="1014" width="17.25" style="121" customWidth="1"/>
    <col min="1015" max="1016" width="20.5" style="121" customWidth="1"/>
    <col min="1017" max="1017" width="9" style="121" hidden="1" customWidth="1"/>
    <col min="1018" max="1018" width="18.375" style="121" customWidth="1"/>
    <col min="1019" max="1020" width="9" style="121" hidden="1" customWidth="1"/>
    <col min="1021" max="1264" width="9" style="121"/>
    <col min="1265" max="1265" width="6.625" style="121" customWidth="1"/>
    <col min="1266" max="1267" width="21.625" style="121" customWidth="1"/>
    <col min="1268" max="1268" width="16.125" style="121" customWidth="1"/>
    <col min="1269" max="1269" width="13.875" style="121" customWidth="1"/>
    <col min="1270" max="1270" width="17.25" style="121" customWidth="1"/>
    <col min="1271" max="1272" width="20.5" style="121" customWidth="1"/>
    <col min="1273" max="1273" width="9" style="121" hidden="1" customWidth="1"/>
    <col min="1274" max="1274" width="18.375" style="121" customWidth="1"/>
    <col min="1275" max="1276" width="9" style="121" hidden="1" customWidth="1"/>
    <col min="1277" max="1520" width="9" style="121"/>
    <col min="1521" max="1521" width="6.625" style="121" customWidth="1"/>
    <col min="1522" max="1523" width="21.625" style="121" customWidth="1"/>
    <col min="1524" max="1524" width="16.125" style="121" customWidth="1"/>
    <col min="1525" max="1525" width="13.875" style="121" customWidth="1"/>
    <col min="1526" max="1526" width="17.25" style="121" customWidth="1"/>
    <col min="1527" max="1528" width="20.5" style="121" customWidth="1"/>
    <col min="1529" max="1529" width="9" style="121" hidden="1" customWidth="1"/>
    <col min="1530" max="1530" width="18.375" style="121" customWidth="1"/>
    <col min="1531" max="1532" width="9" style="121" hidden="1" customWidth="1"/>
    <col min="1533" max="1776" width="9" style="121"/>
    <col min="1777" max="1777" width="6.625" style="121" customWidth="1"/>
    <col min="1778" max="1779" width="21.625" style="121" customWidth="1"/>
    <col min="1780" max="1780" width="16.125" style="121" customWidth="1"/>
    <col min="1781" max="1781" width="13.875" style="121" customWidth="1"/>
    <col min="1782" max="1782" width="17.25" style="121" customWidth="1"/>
    <col min="1783" max="1784" width="20.5" style="121" customWidth="1"/>
    <col min="1785" max="1785" width="9" style="121" hidden="1" customWidth="1"/>
    <col min="1786" max="1786" width="18.375" style="121" customWidth="1"/>
    <col min="1787" max="1788" width="9" style="121" hidden="1" customWidth="1"/>
    <col min="1789" max="2032" width="9" style="121"/>
    <col min="2033" max="2033" width="6.625" style="121" customWidth="1"/>
    <col min="2034" max="2035" width="21.625" style="121" customWidth="1"/>
    <col min="2036" max="2036" width="16.125" style="121" customWidth="1"/>
    <col min="2037" max="2037" width="13.875" style="121" customWidth="1"/>
    <col min="2038" max="2038" width="17.25" style="121" customWidth="1"/>
    <col min="2039" max="2040" width="20.5" style="121" customWidth="1"/>
    <col min="2041" max="2041" width="9" style="121" hidden="1" customWidth="1"/>
    <col min="2042" max="2042" width="18.375" style="121" customWidth="1"/>
    <col min="2043" max="2044" width="9" style="121" hidden="1" customWidth="1"/>
    <col min="2045" max="2288" width="9" style="121"/>
    <col min="2289" max="2289" width="6.625" style="121" customWidth="1"/>
    <col min="2290" max="2291" width="21.625" style="121" customWidth="1"/>
    <col min="2292" max="2292" width="16.125" style="121" customWidth="1"/>
    <col min="2293" max="2293" width="13.875" style="121" customWidth="1"/>
    <col min="2294" max="2294" width="17.25" style="121" customWidth="1"/>
    <col min="2295" max="2296" width="20.5" style="121" customWidth="1"/>
    <col min="2297" max="2297" width="9" style="121" hidden="1" customWidth="1"/>
    <col min="2298" max="2298" width="18.375" style="121" customWidth="1"/>
    <col min="2299" max="2300" width="9" style="121" hidden="1" customWidth="1"/>
    <col min="2301" max="2544" width="9" style="121"/>
    <col min="2545" max="2545" width="6.625" style="121" customWidth="1"/>
    <col min="2546" max="2547" width="21.625" style="121" customWidth="1"/>
    <col min="2548" max="2548" width="16.125" style="121" customWidth="1"/>
    <col min="2549" max="2549" width="13.875" style="121" customWidth="1"/>
    <col min="2550" max="2550" width="17.25" style="121" customWidth="1"/>
    <col min="2551" max="2552" width="20.5" style="121" customWidth="1"/>
    <col min="2553" max="2553" width="9" style="121" hidden="1" customWidth="1"/>
    <col min="2554" max="2554" width="18.375" style="121" customWidth="1"/>
    <col min="2555" max="2556" width="9" style="121" hidden="1" customWidth="1"/>
    <col min="2557" max="2800" width="9" style="121"/>
    <col min="2801" max="2801" width="6.625" style="121" customWidth="1"/>
    <col min="2802" max="2803" width="21.625" style="121" customWidth="1"/>
    <col min="2804" max="2804" width="16.125" style="121" customWidth="1"/>
    <col min="2805" max="2805" width="13.875" style="121" customWidth="1"/>
    <col min="2806" max="2806" width="17.25" style="121" customWidth="1"/>
    <col min="2807" max="2808" width="20.5" style="121" customWidth="1"/>
    <col min="2809" max="2809" width="9" style="121" hidden="1" customWidth="1"/>
    <col min="2810" max="2810" width="18.375" style="121" customWidth="1"/>
    <col min="2811" max="2812" width="9" style="121" hidden="1" customWidth="1"/>
    <col min="2813" max="3056" width="9" style="121"/>
    <col min="3057" max="3057" width="6.625" style="121" customWidth="1"/>
    <col min="3058" max="3059" width="21.625" style="121" customWidth="1"/>
    <col min="3060" max="3060" width="16.125" style="121" customWidth="1"/>
    <col min="3061" max="3061" width="13.875" style="121" customWidth="1"/>
    <col min="3062" max="3062" width="17.25" style="121" customWidth="1"/>
    <col min="3063" max="3064" width="20.5" style="121" customWidth="1"/>
    <col min="3065" max="3065" width="9" style="121" hidden="1" customWidth="1"/>
    <col min="3066" max="3066" width="18.375" style="121" customWidth="1"/>
    <col min="3067" max="3068" width="9" style="121" hidden="1" customWidth="1"/>
    <col min="3069" max="3312" width="9" style="121"/>
    <col min="3313" max="3313" width="6.625" style="121" customWidth="1"/>
    <col min="3314" max="3315" width="21.625" style="121" customWidth="1"/>
    <col min="3316" max="3316" width="16.125" style="121" customWidth="1"/>
    <col min="3317" max="3317" width="13.875" style="121" customWidth="1"/>
    <col min="3318" max="3318" width="17.25" style="121" customWidth="1"/>
    <col min="3319" max="3320" width="20.5" style="121" customWidth="1"/>
    <col min="3321" max="3321" width="9" style="121" hidden="1" customWidth="1"/>
    <col min="3322" max="3322" width="18.375" style="121" customWidth="1"/>
    <col min="3323" max="3324" width="9" style="121" hidden="1" customWidth="1"/>
    <col min="3325" max="3568" width="9" style="121"/>
    <col min="3569" max="3569" width="6.625" style="121" customWidth="1"/>
    <col min="3570" max="3571" width="21.625" style="121" customWidth="1"/>
    <col min="3572" max="3572" width="16.125" style="121" customWidth="1"/>
    <col min="3573" max="3573" width="13.875" style="121" customWidth="1"/>
    <col min="3574" max="3574" width="17.25" style="121" customWidth="1"/>
    <col min="3575" max="3576" width="20.5" style="121" customWidth="1"/>
    <col min="3577" max="3577" width="9" style="121" hidden="1" customWidth="1"/>
    <col min="3578" max="3578" width="18.375" style="121" customWidth="1"/>
    <col min="3579" max="3580" width="9" style="121" hidden="1" customWidth="1"/>
    <col min="3581" max="3824" width="9" style="121"/>
    <col min="3825" max="3825" width="6.625" style="121" customWidth="1"/>
    <col min="3826" max="3827" width="21.625" style="121" customWidth="1"/>
    <col min="3828" max="3828" width="16.125" style="121" customWidth="1"/>
    <col min="3829" max="3829" width="13.875" style="121" customWidth="1"/>
    <col min="3830" max="3830" width="17.25" style="121" customWidth="1"/>
    <col min="3831" max="3832" width="20.5" style="121" customWidth="1"/>
    <col min="3833" max="3833" width="9" style="121" hidden="1" customWidth="1"/>
    <col min="3834" max="3834" width="18.375" style="121" customWidth="1"/>
    <col min="3835" max="3836" width="9" style="121" hidden="1" customWidth="1"/>
    <col min="3837" max="4080" width="9" style="121"/>
    <col min="4081" max="4081" width="6.625" style="121" customWidth="1"/>
    <col min="4082" max="4083" width="21.625" style="121" customWidth="1"/>
    <col min="4084" max="4084" width="16.125" style="121" customWidth="1"/>
    <col min="4085" max="4085" width="13.875" style="121" customWidth="1"/>
    <col min="4086" max="4086" width="17.25" style="121" customWidth="1"/>
    <col min="4087" max="4088" width="20.5" style="121" customWidth="1"/>
    <col min="4089" max="4089" width="9" style="121" hidden="1" customWidth="1"/>
    <col min="4090" max="4090" width="18.375" style="121" customWidth="1"/>
    <col min="4091" max="4092" width="9" style="121" hidden="1" customWidth="1"/>
    <col min="4093" max="4336" width="9" style="121"/>
    <col min="4337" max="4337" width="6.625" style="121" customWidth="1"/>
    <col min="4338" max="4339" width="21.625" style="121" customWidth="1"/>
    <col min="4340" max="4340" width="16.125" style="121" customWidth="1"/>
    <col min="4341" max="4341" width="13.875" style="121" customWidth="1"/>
    <col min="4342" max="4342" width="17.25" style="121" customWidth="1"/>
    <col min="4343" max="4344" width="20.5" style="121" customWidth="1"/>
    <col min="4345" max="4345" width="9" style="121" hidden="1" customWidth="1"/>
    <col min="4346" max="4346" width="18.375" style="121" customWidth="1"/>
    <col min="4347" max="4348" width="9" style="121" hidden="1" customWidth="1"/>
    <col min="4349" max="4592" width="9" style="121"/>
    <col min="4593" max="4593" width="6.625" style="121" customWidth="1"/>
    <col min="4594" max="4595" width="21.625" style="121" customWidth="1"/>
    <col min="4596" max="4596" width="16.125" style="121" customWidth="1"/>
    <col min="4597" max="4597" width="13.875" style="121" customWidth="1"/>
    <col min="4598" max="4598" width="17.25" style="121" customWidth="1"/>
    <col min="4599" max="4600" width="20.5" style="121" customWidth="1"/>
    <col min="4601" max="4601" width="9" style="121" hidden="1" customWidth="1"/>
    <col min="4602" max="4602" width="18.375" style="121" customWidth="1"/>
    <col min="4603" max="4604" width="9" style="121" hidden="1" customWidth="1"/>
    <col min="4605" max="4848" width="9" style="121"/>
    <col min="4849" max="4849" width="6.625" style="121" customWidth="1"/>
    <col min="4850" max="4851" width="21.625" style="121" customWidth="1"/>
    <col min="4852" max="4852" width="16.125" style="121" customWidth="1"/>
    <col min="4853" max="4853" width="13.875" style="121" customWidth="1"/>
    <col min="4854" max="4854" width="17.25" style="121" customWidth="1"/>
    <col min="4855" max="4856" width="20.5" style="121" customWidth="1"/>
    <col min="4857" max="4857" width="9" style="121" hidden="1" customWidth="1"/>
    <col min="4858" max="4858" width="18.375" style="121" customWidth="1"/>
    <col min="4859" max="4860" width="9" style="121" hidden="1" customWidth="1"/>
    <col min="4861" max="5104" width="9" style="121"/>
    <col min="5105" max="5105" width="6.625" style="121" customWidth="1"/>
    <col min="5106" max="5107" width="21.625" style="121" customWidth="1"/>
    <col min="5108" max="5108" width="16.125" style="121" customWidth="1"/>
    <col min="5109" max="5109" width="13.875" style="121" customWidth="1"/>
    <col min="5110" max="5110" width="17.25" style="121" customWidth="1"/>
    <col min="5111" max="5112" width="20.5" style="121" customWidth="1"/>
    <col min="5113" max="5113" width="9" style="121" hidden="1" customWidth="1"/>
    <col min="5114" max="5114" width="18.375" style="121" customWidth="1"/>
    <col min="5115" max="5116" width="9" style="121" hidden="1" customWidth="1"/>
    <col min="5117" max="5360" width="9" style="121"/>
    <col min="5361" max="5361" width="6.625" style="121" customWidth="1"/>
    <col min="5362" max="5363" width="21.625" style="121" customWidth="1"/>
    <col min="5364" max="5364" width="16.125" style="121" customWidth="1"/>
    <col min="5365" max="5365" width="13.875" style="121" customWidth="1"/>
    <col min="5366" max="5366" width="17.25" style="121" customWidth="1"/>
    <col min="5367" max="5368" width="20.5" style="121" customWidth="1"/>
    <col min="5369" max="5369" width="9" style="121" hidden="1" customWidth="1"/>
    <col min="5370" max="5370" width="18.375" style="121" customWidth="1"/>
    <col min="5371" max="5372" width="9" style="121" hidden="1" customWidth="1"/>
    <col min="5373" max="5616" width="9" style="121"/>
    <col min="5617" max="5617" width="6.625" style="121" customWidth="1"/>
    <col min="5618" max="5619" width="21.625" style="121" customWidth="1"/>
    <col min="5620" max="5620" width="16.125" style="121" customWidth="1"/>
    <col min="5621" max="5621" width="13.875" style="121" customWidth="1"/>
    <col min="5622" max="5622" width="17.25" style="121" customWidth="1"/>
    <col min="5623" max="5624" width="20.5" style="121" customWidth="1"/>
    <col min="5625" max="5625" width="9" style="121" hidden="1" customWidth="1"/>
    <col min="5626" max="5626" width="18.375" style="121" customWidth="1"/>
    <col min="5627" max="5628" width="9" style="121" hidden="1" customWidth="1"/>
    <col min="5629" max="5872" width="9" style="121"/>
    <col min="5873" max="5873" width="6.625" style="121" customWidth="1"/>
    <col min="5874" max="5875" width="21.625" style="121" customWidth="1"/>
    <col min="5876" max="5876" width="16.125" style="121" customWidth="1"/>
    <col min="5877" max="5877" width="13.875" style="121" customWidth="1"/>
    <col min="5878" max="5878" width="17.25" style="121" customWidth="1"/>
    <col min="5879" max="5880" width="20.5" style="121" customWidth="1"/>
    <col min="5881" max="5881" width="9" style="121" hidden="1" customWidth="1"/>
    <col min="5882" max="5882" width="18.375" style="121" customWidth="1"/>
    <col min="5883" max="5884" width="9" style="121" hidden="1" customWidth="1"/>
    <col min="5885" max="6128" width="9" style="121"/>
    <col min="6129" max="6129" width="6.625" style="121" customWidth="1"/>
    <col min="6130" max="6131" width="21.625" style="121" customWidth="1"/>
    <col min="6132" max="6132" width="16.125" style="121" customWidth="1"/>
    <col min="6133" max="6133" width="13.875" style="121" customWidth="1"/>
    <col min="6134" max="6134" width="17.25" style="121" customWidth="1"/>
    <col min="6135" max="6136" width="20.5" style="121" customWidth="1"/>
    <col min="6137" max="6137" width="9" style="121" hidden="1" customWidth="1"/>
    <col min="6138" max="6138" width="18.375" style="121" customWidth="1"/>
    <col min="6139" max="6140" width="9" style="121" hidden="1" customWidth="1"/>
    <col min="6141" max="6384" width="9" style="121"/>
    <col min="6385" max="6385" width="6.625" style="121" customWidth="1"/>
    <col min="6386" max="6387" width="21.625" style="121" customWidth="1"/>
    <col min="6388" max="6388" width="16.125" style="121" customWidth="1"/>
    <col min="6389" max="6389" width="13.875" style="121" customWidth="1"/>
    <col min="6390" max="6390" width="17.25" style="121" customWidth="1"/>
    <col min="6391" max="6392" width="20.5" style="121" customWidth="1"/>
    <col min="6393" max="6393" width="9" style="121" hidden="1" customWidth="1"/>
    <col min="6394" max="6394" width="18.375" style="121" customWidth="1"/>
    <col min="6395" max="6396" width="9" style="121" hidden="1" customWidth="1"/>
    <col min="6397" max="6640" width="9" style="121"/>
    <col min="6641" max="6641" width="6.625" style="121" customWidth="1"/>
    <col min="6642" max="6643" width="21.625" style="121" customWidth="1"/>
    <col min="6644" max="6644" width="16.125" style="121" customWidth="1"/>
    <col min="6645" max="6645" width="13.875" style="121" customWidth="1"/>
    <col min="6646" max="6646" width="17.25" style="121" customWidth="1"/>
    <col min="6647" max="6648" width="20.5" style="121" customWidth="1"/>
    <col min="6649" max="6649" width="9" style="121" hidden="1" customWidth="1"/>
    <col min="6650" max="6650" width="18.375" style="121" customWidth="1"/>
    <col min="6651" max="6652" width="9" style="121" hidden="1" customWidth="1"/>
    <col min="6653" max="6896" width="9" style="121"/>
    <col min="6897" max="6897" width="6.625" style="121" customWidth="1"/>
    <col min="6898" max="6899" width="21.625" style="121" customWidth="1"/>
    <col min="6900" max="6900" width="16.125" style="121" customWidth="1"/>
    <col min="6901" max="6901" width="13.875" style="121" customWidth="1"/>
    <col min="6902" max="6902" width="17.25" style="121" customWidth="1"/>
    <col min="6903" max="6904" width="20.5" style="121" customWidth="1"/>
    <col min="6905" max="6905" width="9" style="121" hidden="1" customWidth="1"/>
    <col min="6906" max="6906" width="18.375" style="121" customWidth="1"/>
    <col min="6907" max="6908" width="9" style="121" hidden="1" customWidth="1"/>
    <col min="6909" max="7152" width="9" style="121"/>
    <col min="7153" max="7153" width="6.625" style="121" customWidth="1"/>
    <col min="7154" max="7155" width="21.625" style="121" customWidth="1"/>
    <col min="7156" max="7156" width="16.125" style="121" customWidth="1"/>
    <col min="7157" max="7157" width="13.875" style="121" customWidth="1"/>
    <col min="7158" max="7158" width="17.25" style="121" customWidth="1"/>
    <col min="7159" max="7160" width="20.5" style="121" customWidth="1"/>
    <col min="7161" max="7161" width="9" style="121" hidden="1" customWidth="1"/>
    <col min="7162" max="7162" width="18.375" style="121" customWidth="1"/>
    <col min="7163" max="7164" width="9" style="121" hidden="1" customWidth="1"/>
    <col min="7165" max="7408" width="9" style="121"/>
    <col min="7409" max="7409" width="6.625" style="121" customWidth="1"/>
    <col min="7410" max="7411" width="21.625" style="121" customWidth="1"/>
    <col min="7412" max="7412" width="16.125" style="121" customWidth="1"/>
    <col min="7413" max="7413" width="13.875" style="121" customWidth="1"/>
    <col min="7414" max="7414" width="17.25" style="121" customWidth="1"/>
    <col min="7415" max="7416" width="20.5" style="121" customWidth="1"/>
    <col min="7417" max="7417" width="9" style="121" hidden="1" customWidth="1"/>
    <col min="7418" max="7418" width="18.375" style="121" customWidth="1"/>
    <col min="7419" max="7420" width="9" style="121" hidden="1" customWidth="1"/>
    <col min="7421" max="7664" width="9" style="121"/>
    <col min="7665" max="7665" width="6.625" style="121" customWidth="1"/>
    <col min="7666" max="7667" width="21.625" style="121" customWidth="1"/>
    <col min="7668" max="7668" width="16.125" style="121" customWidth="1"/>
    <col min="7669" max="7669" width="13.875" style="121" customWidth="1"/>
    <col min="7670" max="7670" width="17.25" style="121" customWidth="1"/>
    <col min="7671" max="7672" width="20.5" style="121" customWidth="1"/>
    <col min="7673" max="7673" width="9" style="121" hidden="1" customWidth="1"/>
    <col min="7674" max="7674" width="18.375" style="121" customWidth="1"/>
    <col min="7675" max="7676" width="9" style="121" hidden="1" customWidth="1"/>
    <col min="7677" max="7920" width="9" style="121"/>
    <col min="7921" max="7921" width="6.625" style="121" customWidth="1"/>
    <col min="7922" max="7923" width="21.625" style="121" customWidth="1"/>
    <col min="7924" max="7924" width="16.125" style="121" customWidth="1"/>
    <col min="7925" max="7925" width="13.875" style="121" customWidth="1"/>
    <col min="7926" max="7926" width="17.25" style="121" customWidth="1"/>
    <col min="7927" max="7928" width="20.5" style="121" customWidth="1"/>
    <col min="7929" max="7929" width="9" style="121" hidden="1" customWidth="1"/>
    <col min="7930" max="7930" width="18.375" style="121" customWidth="1"/>
    <col min="7931" max="7932" width="9" style="121" hidden="1" customWidth="1"/>
    <col min="7933" max="8176" width="9" style="121"/>
    <col min="8177" max="8177" width="6.625" style="121" customWidth="1"/>
    <col min="8178" max="8179" width="21.625" style="121" customWidth="1"/>
    <col min="8180" max="8180" width="16.125" style="121" customWidth="1"/>
    <col min="8181" max="8181" width="13.875" style="121" customWidth="1"/>
    <col min="8182" max="8182" width="17.25" style="121" customWidth="1"/>
    <col min="8183" max="8184" width="20.5" style="121" customWidth="1"/>
    <col min="8185" max="8185" width="9" style="121" hidden="1" customWidth="1"/>
    <col min="8186" max="8186" width="18.375" style="121" customWidth="1"/>
    <col min="8187" max="8188" width="9" style="121" hidden="1" customWidth="1"/>
    <col min="8189" max="8432" width="9" style="121"/>
    <col min="8433" max="8433" width="6.625" style="121" customWidth="1"/>
    <col min="8434" max="8435" width="21.625" style="121" customWidth="1"/>
    <col min="8436" max="8436" width="16.125" style="121" customWidth="1"/>
    <col min="8437" max="8437" width="13.875" style="121" customWidth="1"/>
    <col min="8438" max="8438" width="17.25" style="121" customWidth="1"/>
    <col min="8439" max="8440" width="20.5" style="121" customWidth="1"/>
    <col min="8441" max="8441" width="9" style="121" hidden="1" customWidth="1"/>
    <col min="8442" max="8442" width="18.375" style="121" customWidth="1"/>
    <col min="8443" max="8444" width="9" style="121" hidden="1" customWidth="1"/>
    <col min="8445" max="8688" width="9" style="121"/>
    <col min="8689" max="8689" width="6.625" style="121" customWidth="1"/>
    <col min="8690" max="8691" width="21.625" style="121" customWidth="1"/>
    <col min="8692" max="8692" width="16.125" style="121" customWidth="1"/>
    <col min="8693" max="8693" width="13.875" style="121" customWidth="1"/>
    <col min="8694" max="8694" width="17.25" style="121" customWidth="1"/>
    <col min="8695" max="8696" width="20.5" style="121" customWidth="1"/>
    <col min="8697" max="8697" width="9" style="121" hidden="1" customWidth="1"/>
    <col min="8698" max="8698" width="18.375" style="121" customWidth="1"/>
    <col min="8699" max="8700" width="9" style="121" hidden="1" customWidth="1"/>
    <col min="8701" max="8944" width="9" style="121"/>
    <col min="8945" max="8945" width="6.625" style="121" customWidth="1"/>
    <col min="8946" max="8947" width="21.625" style="121" customWidth="1"/>
    <col min="8948" max="8948" width="16.125" style="121" customWidth="1"/>
    <col min="8949" max="8949" width="13.875" style="121" customWidth="1"/>
    <col min="8950" max="8950" width="17.25" style="121" customWidth="1"/>
    <col min="8951" max="8952" width="20.5" style="121" customWidth="1"/>
    <col min="8953" max="8953" width="9" style="121" hidden="1" customWidth="1"/>
    <col min="8954" max="8954" width="18.375" style="121" customWidth="1"/>
    <col min="8955" max="8956" width="9" style="121" hidden="1" customWidth="1"/>
    <col min="8957" max="9200" width="9" style="121"/>
    <col min="9201" max="9201" width="6.625" style="121" customWidth="1"/>
    <col min="9202" max="9203" width="21.625" style="121" customWidth="1"/>
    <col min="9204" max="9204" width="16.125" style="121" customWidth="1"/>
    <col min="9205" max="9205" width="13.875" style="121" customWidth="1"/>
    <col min="9206" max="9206" width="17.25" style="121" customWidth="1"/>
    <col min="9207" max="9208" width="20.5" style="121" customWidth="1"/>
    <col min="9209" max="9209" width="9" style="121" hidden="1" customWidth="1"/>
    <col min="9210" max="9210" width="18.375" style="121" customWidth="1"/>
    <col min="9211" max="9212" width="9" style="121" hidden="1" customWidth="1"/>
    <col min="9213" max="9456" width="9" style="121"/>
    <col min="9457" max="9457" width="6.625" style="121" customWidth="1"/>
    <col min="9458" max="9459" width="21.625" style="121" customWidth="1"/>
    <col min="9460" max="9460" width="16.125" style="121" customWidth="1"/>
    <col min="9461" max="9461" width="13.875" style="121" customWidth="1"/>
    <col min="9462" max="9462" width="17.25" style="121" customWidth="1"/>
    <col min="9463" max="9464" width="20.5" style="121" customWidth="1"/>
    <col min="9465" max="9465" width="9" style="121" hidden="1" customWidth="1"/>
    <col min="9466" max="9466" width="18.375" style="121" customWidth="1"/>
    <col min="9467" max="9468" width="9" style="121" hidden="1" customWidth="1"/>
    <col min="9469" max="9712" width="9" style="121"/>
    <col min="9713" max="9713" width="6.625" style="121" customWidth="1"/>
    <col min="9714" max="9715" width="21.625" style="121" customWidth="1"/>
    <col min="9716" max="9716" width="16.125" style="121" customWidth="1"/>
    <col min="9717" max="9717" width="13.875" style="121" customWidth="1"/>
    <col min="9718" max="9718" width="17.25" style="121" customWidth="1"/>
    <col min="9719" max="9720" width="20.5" style="121" customWidth="1"/>
    <col min="9721" max="9721" width="9" style="121" hidden="1" customWidth="1"/>
    <col min="9722" max="9722" width="18.375" style="121" customWidth="1"/>
    <col min="9723" max="9724" width="9" style="121" hidden="1" customWidth="1"/>
    <col min="9725" max="9968" width="9" style="121"/>
    <col min="9969" max="9969" width="6.625" style="121" customWidth="1"/>
    <col min="9970" max="9971" width="21.625" style="121" customWidth="1"/>
    <col min="9972" max="9972" width="16.125" style="121" customWidth="1"/>
    <col min="9973" max="9973" width="13.875" style="121" customWidth="1"/>
    <col min="9974" max="9974" width="17.25" style="121" customWidth="1"/>
    <col min="9975" max="9976" width="20.5" style="121" customWidth="1"/>
    <col min="9977" max="9977" width="9" style="121" hidden="1" customWidth="1"/>
    <col min="9978" max="9978" width="18.375" style="121" customWidth="1"/>
    <col min="9979" max="9980" width="9" style="121" hidden="1" customWidth="1"/>
    <col min="9981" max="10224" width="9" style="121"/>
    <col min="10225" max="10225" width="6.625" style="121" customWidth="1"/>
    <col min="10226" max="10227" width="21.625" style="121" customWidth="1"/>
    <col min="10228" max="10228" width="16.125" style="121" customWidth="1"/>
    <col min="10229" max="10229" width="13.875" style="121" customWidth="1"/>
    <col min="10230" max="10230" width="17.25" style="121" customWidth="1"/>
    <col min="10231" max="10232" width="20.5" style="121" customWidth="1"/>
    <col min="10233" max="10233" width="9" style="121" hidden="1" customWidth="1"/>
    <col min="10234" max="10234" width="18.375" style="121" customWidth="1"/>
    <col min="10235" max="10236" width="9" style="121" hidden="1" customWidth="1"/>
    <col min="10237" max="10480" width="9" style="121"/>
    <col min="10481" max="10481" width="6.625" style="121" customWidth="1"/>
    <col min="10482" max="10483" width="21.625" style="121" customWidth="1"/>
    <col min="10484" max="10484" width="16.125" style="121" customWidth="1"/>
    <col min="10485" max="10485" width="13.875" style="121" customWidth="1"/>
    <col min="10486" max="10486" width="17.25" style="121" customWidth="1"/>
    <col min="10487" max="10488" width="20.5" style="121" customWidth="1"/>
    <col min="10489" max="10489" width="9" style="121" hidden="1" customWidth="1"/>
    <col min="10490" max="10490" width="18.375" style="121" customWidth="1"/>
    <col min="10491" max="10492" width="9" style="121" hidden="1" customWidth="1"/>
    <col min="10493" max="10736" width="9" style="121"/>
    <col min="10737" max="10737" width="6.625" style="121" customWidth="1"/>
    <col min="10738" max="10739" width="21.625" style="121" customWidth="1"/>
    <col min="10740" max="10740" width="16.125" style="121" customWidth="1"/>
    <col min="10741" max="10741" width="13.875" style="121" customWidth="1"/>
    <col min="10742" max="10742" width="17.25" style="121" customWidth="1"/>
    <col min="10743" max="10744" width="20.5" style="121" customWidth="1"/>
    <col min="10745" max="10745" width="9" style="121" hidden="1" customWidth="1"/>
    <col min="10746" max="10746" width="18.375" style="121" customWidth="1"/>
    <col min="10747" max="10748" width="9" style="121" hidden="1" customWidth="1"/>
    <col min="10749" max="10992" width="9" style="121"/>
    <col min="10993" max="10993" width="6.625" style="121" customWidth="1"/>
    <col min="10994" max="10995" width="21.625" style="121" customWidth="1"/>
    <col min="10996" max="10996" width="16.125" style="121" customWidth="1"/>
    <col min="10997" max="10997" width="13.875" style="121" customWidth="1"/>
    <col min="10998" max="10998" width="17.25" style="121" customWidth="1"/>
    <col min="10999" max="11000" width="20.5" style="121" customWidth="1"/>
    <col min="11001" max="11001" width="9" style="121" hidden="1" customWidth="1"/>
    <col min="11002" max="11002" width="18.375" style="121" customWidth="1"/>
    <col min="11003" max="11004" width="9" style="121" hidden="1" customWidth="1"/>
    <col min="11005" max="11248" width="9" style="121"/>
    <col min="11249" max="11249" width="6.625" style="121" customWidth="1"/>
    <col min="11250" max="11251" width="21.625" style="121" customWidth="1"/>
    <col min="11252" max="11252" width="16.125" style="121" customWidth="1"/>
    <col min="11253" max="11253" width="13.875" style="121" customWidth="1"/>
    <col min="11254" max="11254" width="17.25" style="121" customWidth="1"/>
    <col min="11255" max="11256" width="20.5" style="121" customWidth="1"/>
    <col min="11257" max="11257" width="9" style="121" hidden="1" customWidth="1"/>
    <col min="11258" max="11258" width="18.375" style="121" customWidth="1"/>
    <col min="11259" max="11260" width="9" style="121" hidden="1" customWidth="1"/>
    <col min="11261" max="11504" width="9" style="121"/>
    <col min="11505" max="11505" width="6.625" style="121" customWidth="1"/>
    <col min="11506" max="11507" width="21.625" style="121" customWidth="1"/>
    <col min="11508" max="11508" width="16.125" style="121" customWidth="1"/>
    <col min="11509" max="11509" width="13.875" style="121" customWidth="1"/>
    <col min="11510" max="11510" width="17.25" style="121" customWidth="1"/>
    <col min="11511" max="11512" width="20.5" style="121" customWidth="1"/>
    <col min="11513" max="11513" width="9" style="121" hidden="1" customWidth="1"/>
    <col min="11514" max="11514" width="18.375" style="121" customWidth="1"/>
    <col min="11515" max="11516" width="9" style="121" hidden="1" customWidth="1"/>
    <col min="11517" max="11760" width="9" style="121"/>
    <col min="11761" max="11761" width="6.625" style="121" customWidth="1"/>
    <col min="11762" max="11763" width="21.625" style="121" customWidth="1"/>
    <col min="11764" max="11764" width="16.125" style="121" customWidth="1"/>
    <col min="11765" max="11765" width="13.875" style="121" customWidth="1"/>
    <col min="11766" max="11766" width="17.25" style="121" customWidth="1"/>
    <col min="11767" max="11768" width="20.5" style="121" customWidth="1"/>
    <col min="11769" max="11769" width="9" style="121" hidden="1" customWidth="1"/>
    <col min="11770" max="11770" width="18.375" style="121" customWidth="1"/>
    <col min="11771" max="11772" width="9" style="121" hidden="1" customWidth="1"/>
    <col min="11773" max="12016" width="9" style="121"/>
    <col min="12017" max="12017" width="6.625" style="121" customWidth="1"/>
    <col min="12018" max="12019" width="21.625" style="121" customWidth="1"/>
    <col min="12020" max="12020" width="16.125" style="121" customWidth="1"/>
    <col min="12021" max="12021" width="13.875" style="121" customWidth="1"/>
    <col min="12022" max="12022" width="17.25" style="121" customWidth="1"/>
    <col min="12023" max="12024" width="20.5" style="121" customWidth="1"/>
    <col min="12025" max="12025" width="9" style="121" hidden="1" customWidth="1"/>
    <col min="12026" max="12026" width="18.375" style="121" customWidth="1"/>
    <col min="12027" max="12028" width="9" style="121" hidden="1" customWidth="1"/>
    <col min="12029" max="12272" width="9" style="121"/>
    <col min="12273" max="12273" width="6.625" style="121" customWidth="1"/>
    <col min="12274" max="12275" width="21.625" style="121" customWidth="1"/>
    <col min="12276" max="12276" width="16.125" style="121" customWidth="1"/>
    <col min="12277" max="12277" width="13.875" style="121" customWidth="1"/>
    <col min="12278" max="12278" width="17.25" style="121" customWidth="1"/>
    <col min="12279" max="12280" width="20.5" style="121" customWidth="1"/>
    <col min="12281" max="12281" width="9" style="121" hidden="1" customWidth="1"/>
    <col min="12282" max="12282" width="18.375" style="121" customWidth="1"/>
    <col min="12283" max="12284" width="9" style="121" hidden="1" customWidth="1"/>
    <col min="12285" max="12528" width="9" style="121"/>
    <col min="12529" max="12529" width="6.625" style="121" customWidth="1"/>
    <col min="12530" max="12531" width="21.625" style="121" customWidth="1"/>
    <col min="12532" max="12532" width="16.125" style="121" customWidth="1"/>
    <col min="12533" max="12533" width="13.875" style="121" customWidth="1"/>
    <col min="12534" max="12534" width="17.25" style="121" customWidth="1"/>
    <col min="12535" max="12536" width="20.5" style="121" customWidth="1"/>
    <col min="12537" max="12537" width="9" style="121" hidden="1" customWidth="1"/>
    <col min="12538" max="12538" width="18.375" style="121" customWidth="1"/>
    <col min="12539" max="12540" width="9" style="121" hidden="1" customWidth="1"/>
    <col min="12541" max="12784" width="9" style="121"/>
    <col min="12785" max="12785" width="6.625" style="121" customWidth="1"/>
    <col min="12786" max="12787" width="21.625" style="121" customWidth="1"/>
    <col min="12788" max="12788" width="16.125" style="121" customWidth="1"/>
    <col min="12789" max="12789" width="13.875" style="121" customWidth="1"/>
    <col min="12790" max="12790" width="17.25" style="121" customWidth="1"/>
    <col min="12791" max="12792" width="20.5" style="121" customWidth="1"/>
    <col min="12793" max="12793" width="9" style="121" hidden="1" customWidth="1"/>
    <col min="12794" max="12794" width="18.375" style="121" customWidth="1"/>
    <col min="12795" max="12796" width="9" style="121" hidden="1" customWidth="1"/>
    <col min="12797" max="13040" width="9" style="121"/>
    <col min="13041" max="13041" width="6.625" style="121" customWidth="1"/>
    <col min="13042" max="13043" width="21.625" style="121" customWidth="1"/>
    <col min="13044" max="13044" width="16.125" style="121" customWidth="1"/>
    <col min="13045" max="13045" width="13.875" style="121" customWidth="1"/>
    <col min="13046" max="13046" width="17.25" style="121" customWidth="1"/>
    <col min="13047" max="13048" width="20.5" style="121" customWidth="1"/>
    <col min="13049" max="13049" width="9" style="121" hidden="1" customWidth="1"/>
    <col min="13050" max="13050" width="18.375" style="121" customWidth="1"/>
    <col min="13051" max="13052" width="9" style="121" hidden="1" customWidth="1"/>
    <col min="13053" max="13296" width="9" style="121"/>
    <col min="13297" max="13297" width="6.625" style="121" customWidth="1"/>
    <col min="13298" max="13299" width="21.625" style="121" customWidth="1"/>
    <col min="13300" max="13300" width="16.125" style="121" customWidth="1"/>
    <col min="13301" max="13301" width="13.875" style="121" customWidth="1"/>
    <col min="13302" max="13302" width="17.25" style="121" customWidth="1"/>
    <col min="13303" max="13304" width="20.5" style="121" customWidth="1"/>
    <col min="13305" max="13305" width="9" style="121" hidden="1" customWidth="1"/>
    <col min="13306" max="13306" width="18.375" style="121" customWidth="1"/>
    <col min="13307" max="13308" width="9" style="121" hidden="1" customWidth="1"/>
    <col min="13309" max="13552" width="9" style="121"/>
    <col min="13553" max="13553" width="6.625" style="121" customWidth="1"/>
    <col min="13554" max="13555" width="21.625" style="121" customWidth="1"/>
    <col min="13556" max="13556" width="16.125" style="121" customWidth="1"/>
    <col min="13557" max="13557" width="13.875" style="121" customWidth="1"/>
    <col min="13558" max="13558" width="17.25" style="121" customWidth="1"/>
    <col min="13559" max="13560" width="20.5" style="121" customWidth="1"/>
    <col min="13561" max="13561" width="9" style="121" hidden="1" customWidth="1"/>
    <col min="13562" max="13562" width="18.375" style="121" customWidth="1"/>
    <col min="13563" max="13564" width="9" style="121" hidden="1" customWidth="1"/>
    <col min="13565" max="13808" width="9" style="121"/>
    <col min="13809" max="13809" width="6.625" style="121" customWidth="1"/>
    <col min="13810" max="13811" width="21.625" style="121" customWidth="1"/>
    <col min="13812" max="13812" width="16.125" style="121" customWidth="1"/>
    <col min="13813" max="13813" width="13.875" style="121" customWidth="1"/>
    <col min="13814" max="13814" width="17.25" style="121" customWidth="1"/>
    <col min="13815" max="13816" width="20.5" style="121" customWidth="1"/>
    <col min="13817" max="13817" width="9" style="121" hidden="1" customWidth="1"/>
    <col min="13818" max="13818" width="18.375" style="121" customWidth="1"/>
    <col min="13819" max="13820" width="9" style="121" hidden="1" customWidth="1"/>
    <col min="13821" max="14064" width="9" style="121"/>
    <col min="14065" max="14065" width="6.625" style="121" customWidth="1"/>
    <col min="14066" max="14067" width="21.625" style="121" customWidth="1"/>
    <col min="14068" max="14068" width="16.125" style="121" customWidth="1"/>
    <col min="14069" max="14069" width="13.875" style="121" customWidth="1"/>
    <col min="14070" max="14070" width="17.25" style="121" customWidth="1"/>
    <col min="14071" max="14072" width="20.5" style="121" customWidth="1"/>
    <col min="14073" max="14073" width="9" style="121" hidden="1" customWidth="1"/>
    <col min="14074" max="14074" width="18.375" style="121" customWidth="1"/>
    <col min="14075" max="14076" width="9" style="121" hidden="1" customWidth="1"/>
    <col min="14077" max="14320" width="9" style="121"/>
    <col min="14321" max="14321" width="6.625" style="121" customWidth="1"/>
    <col min="14322" max="14323" width="21.625" style="121" customWidth="1"/>
    <col min="14324" max="14324" width="16.125" style="121" customWidth="1"/>
    <col min="14325" max="14325" width="13.875" style="121" customWidth="1"/>
    <col min="14326" max="14326" width="17.25" style="121" customWidth="1"/>
    <col min="14327" max="14328" width="20.5" style="121" customWidth="1"/>
    <col min="14329" max="14329" width="9" style="121" hidden="1" customWidth="1"/>
    <col min="14330" max="14330" width="18.375" style="121" customWidth="1"/>
    <col min="14331" max="14332" width="9" style="121" hidden="1" customWidth="1"/>
    <col min="14333" max="14576" width="9" style="121"/>
    <col min="14577" max="14577" width="6.625" style="121" customWidth="1"/>
    <col min="14578" max="14579" width="21.625" style="121" customWidth="1"/>
    <col min="14580" max="14580" width="16.125" style="121" customWidth="1"/>
    <col min="14581" max="14581" width="13.875" style="121" customWidth="1"/>
    <col min="14582" max="14582" width="17.25" style="121" customWidth="1"/>
    <col min="14583" max="14584" width="20.5" style="121" customWidth="1"/>
    <col min="14585" max="14585" width="9" style="121" hidden="1" customWidth="1"/>
    <col min="14586" max="14586" width="18.375" style="121" customWidth="1"/>
    <col min="14587" max="14588" width="9" style="121" hidden="1" customWidth="1"/>
    <col min="14589" max="14832" width="9" style="121"/>
    <col min="14833" max="14833" width="6.625" style="121" customWidth="1"/>
    <col min="14834" max="14835" width="21.625" style="121" customWidth="1"/>
    <col min="14836" max="14836" width="16.125" style="121" customWidth="1"/>
    <col min="14837" max="14837" width="13.875" style="121" customWidth="1"/>
    <col min="14838" max="14838" width="17.25" style="121" customWidth="1"/>
    <col min="14839" max="14840" width="20.5" style="121" customWidth="1"/>
    <col min="14841" max="14841" width="9" style="121" hidden="1" customWidth="1"/>
    <col min="14842" max="14842" width="18.375" style="121" customWidth="1"/>
    <col min="14843" max="14844" width="9" style="121" hidden="1" customWidth="1"/>
    <col min="14845" max="15088" width="9" style="121"/>
    <col min="15089" max="15089" width="6.625" style="121" customWidth="1"/>
    <col min="15090" max="15091" width="21.625" style="121" customWidth="1"/>
    <col min="15092" max="15092" width="16.125" style="121" customWidth="1"/>
    <col min="15093" max="15093" width="13.875" style="121" customWidth="1"/>
    <col min="15094" max="15094" width="17.25" style="121" customWidth="1"/>
    <col min="15095" max="15096" width="20.5" style="121" customWidth="1"/>
    <col min="15097" max="15097" width="9" style="121" hidden="1" customWidth="1"/>
    <col min="15098" max="15098" width="18.375" style="121" customWidth="1"/>
    <col min="15099" max="15100" width="9" style="121" hidden="1" customWidth="1"/>
    <col min="15101" max="15344" width="9" style="121"/>
    <col min="15345" max="15345" width="6.625" style="121" customWidth="1"/>
    <col min="15346" max="15347" width="21.625" style="121" customWidth="1"/>
    <col min="15348" max="15348" width="16.125" style="121" customWidth="1"/>
    <col min="15349" max="15349" width="13.875" style="121" customWidth="1"/>
    <col min="15350" max="15350" width="17.25" style="121" customWidth="1"/>
    <col min="15351" max="15352" width="20.5" style="121" customWidth="1"/>
    <col min="15353" max="15353" width="9" style="121" hidden="1" customWidth="1"/>
    <col min="15354" max="15354" width="18.375" style="121" customWidth="1"/>
    <col min="15355" max="15356" width="9" style="121" hidden="1" customWidth="1"/>
    <col min="15357" max="15600" width="9" style="121"/>
    <col min="15601" max="15601" width="6.625" style="121" customWidth="1"/>
    <col min="15602" max="15603" width="21.625" style="121" customWidth="1"/>
    <col min="15604" max="15604" width="16.125" style="121" customWidth="1"/>
    <col min="15605" max="15605" width="13.875" style="121" customWidth="1"/>
    <col min="15606" max="15606" width="17.25" style="121" customWidth="1"/>
    <col min="15607" max="15608" width="20.5" style="121" customWidth="1"/>
    <col min="15609" max="15609" width="9" style="121" hidden="1" customWidth="1"/>
    <col min="15610" max="15610" width="18.375" style="121" customWidth="1"/>
    <col min="15611" max="15612" width="9" style="121" hidden="1" customWidth="1"/>
    <col min="15613" max="15856" width="9" style="121"/>
    <col min="15857" max="15857" width="6.625" style="121" customWidth="1"/>
    <col min="15858" max="15859" width="21.625" style="121" customWidth="1"/>
    <col min="15860" max="15860" width="16.125" style="121" customWidth="1"/>
    <col min="15861" max="15861" width="13.875" style="121" customWidth="1"/>
    <col min="15862" max="15862" width="17.25" style="121" customWidth="1"/>
    <col min="15863" max="15864" width="20.5" style="121" customWidth="1"/>
    <col min="15865" max="15865" width="9" style="121" hidden="1" customWidth="1"/>
    <col min="15866" max="15866" width="18.375" style="121" customWidth="1"/>
    <col min="15867" max="15868" width="9" style="121" hidden="1" customWidth="1"/>
    <col min="15869" max="16112" width="9" style="121"/>
    <col min="16113" max="16113" width="6.625" style="121" customWidth="1"/>
    <col min="16114" max="16115" width="21.625" style="121" customWidth="1"/>
    <col min="16116" max="16116" width="16.125" style="121" customWidth="1"/>
    <col min="16117" max="16117" width="13.875" style="121" customWidth="1"/>
    <col min="16118" max="16118" width="17.25" style="121" customWidth="1"/>
    <col min="16119" max="16120" width="20.5" style="121" customWidth="1"/>
    <col min="16121" max="16121" width="9" style="121" hidden="1" customWidth="1"/>
    <col min="16122" max="16122" width="18.375" style="121" customWidth="1"/>
    <col min="16123" max="16124" width="9" style="121" hidden="1" customWidth="1"/>
    <col min="16125" max="16384" width="9" style="121"/>
  </cols>
  <sheetData>
    <row r="1" spans="1:7" ht="30" customHeight="1">
      <c r="A1" s="129" t="s">
        <v>362</v>
      </c>
      <c r="B1" s="130"/>
      <c r="C1" s="130"/>
      <c r="D1" s="130"/>
      <c r="E1" s="130"/>
      <c r="F1" s="131"/>
      <c r="G1" s="131"/>
    </row>
    <row r="2" spans="1:7" ht="35.1" customHeight="1">
      <c r="A2" s="132" t="s">
        <v>376</v>
      </c>
      <c r="B2" s="133"/>
      <c r="C2" s="134" t="s">
        <v>363</v>
      </c>
      <c r="D2" s="134"/>
      <c r="E2" s="134"/>
      <c r="F2" s="135"/>
      <c r="G2" s="135"/>
    </row>
    <row r="3" spans="1:7" s="124" customFormat="1" ht="30" customHeight="1">
      <c r="A3" s="122" t="s">
        <v>3</v>
      </c>
      <c r="B3" s="122" t="s">
        <v>364</v>
      </c>
      <c r="C3" s="122" t="s">
        <v>365</v>
      </c>
      <c r="D3" s="123" t="s">
        <v>366</v>
      </c>
      <c r="E3" s="122" t="s">
        <v>367</v>
      </c>
      <c r="F3" s="122" t="s">
        <v>368</v>
      </c>
      <c r="G3" s="122" t="s">
        <v>369</v>
      </c>
    </row>
    <row r="4" spans="1:7" ht="30" customHeight="1">
      <c r="A4" s="125">
        <v>1</v>
      </c>
      <c r="B4" s="125" t="s">
        <v>0</v>
      </c>
      <c r="C4" s="126">
        <f>马桥!Q5+清算2024年绩效!Q16+补缴年金!J7</f>
        <v>256257909.48000002</v>
      </c>
      <c r="D4" s="126">
        <f>补缴年金!J7</f>
        <v>931292.49</v>
      </c>
      <c r="E4" s="126">
        <f>C4-D4</f>
        <v>255326616.99000001</v>
      </c>
      <c r="F4" s="126"/>
      <c r="G4" s="126">
        <f>C4-F4-D4</f>
        <v>255326616.99000001</v>
      </c>
    </row>
    <row r="5" spans="1:7" ht="30" customHeight="1">
      <c r="A5" s="122">
        <v>2</v>
      </c>
      <c r="B5" s="122" t="s">
        <v>1</v>
      </c>
      <c r="C5" s="127">
        <f>马桥!Q37</f>
        <v>45217956.400000006</v>
      </c>
      <c r="D5" s="127"/>
      <c r="E5" s="126">
        <f t="shared" ref="E5:E11" si="0">C5-D5</f>
        <v>45217956.400000006</v>
      </c>
      <c r="F5" s="127"/>
      <c r="G5" s="126">
        <f t="shared" ref="G5:G11" si="1">C5-F5-D5</f>
        <v>45217956.400000006</v>
      </c>
    </row>
    <row r="6" spans="1:7" ht="30" customHeight="1">
      <c r="A6" s="122">
        <v>3</v>
      </c>
      <c r="B6" s="122" t="s">
        <v>370</v>
      </c>
      <c r="C6" s="127">
        <f>马桥!Q32</f>
        <v>4275345</v>
      </c>
      <c r="D6" s="127"/>
      <c r="E6" s="126">
        <f t="shared" si="0"/>
        <v>4275345</v>
      </c>
      <c r="F6" s="127"/>
      <c r="G6" s="126">
        <f t="shared" si="1"/>
        <v>4275345</v>
      </c>
    </row>
    <row r="7" spans="1:7" ht="30" customHeight="1">
      <c r="A7" s="125">
        <v>4</v>
      </c>
      <c r="B7" s="122" t="s">
        <v>371</v>
      </c>
      <c r="C7" s="127">
        <f>残疾就业保障!E15</f>
        <v>2143062.75</v>
      </c>
      <c r="D7" s="127"/>
      <c r="E7" s="126">
        <f t="shared" si="0"/>
        <v>2143062.75</v>
      </c>
      <c r="F7" s="127"/>
      <c r="G7" s="126">
        <f t="shared" si="1"/>
        <v>2143062.75</v>
      </c>
    </row>
    <row r="8" spans="1:7" ht="30" customHeight="1">
      <c r="A8" s="122">
        <v>5</v>
      </c>
      <c r="B8" s="122" t="s">
        <v>372</v>
      </c>
      <c r="C8" s="127">
        <f>社区教育!C4</f>
        <v>426045</v>
      </c>
      <c r="D8" s="127"/>
      <c r="E8" s="126">
        <f t="shared" si="0"/>
        <v>426045</v>
      </c>
      <c r="F8" s="127"/>
      <c r="G8" s="126">
        <f t="shared" si="1"/>
        <v>426045</v>
      </c>
    </row>
    <row r="9" spans="1:7" ht="30" customHeight="1">
      <c r="A9" s="122">
        <v>6</v>
      </c>
      <c r="B9" s="122" t="s">
        <v>373</v>
      </c>
      <c r="C9" s="127">
        <f>保安经费!G17</f>
        <v>8295000</v>
      </c>
      <c r="D9" s="127"/>
      <c r="E9" s="126">
        <f t="shared" si="0"/>
        <v>8295000</v>
      </c>
      <c r="F9" s="127">
        <f>C9</f>
        <v>8295000</v>
      </c>
      <c r="G9" s="126">
        <f t="shared" si="1"/>
        <v>0</v>
      </c>
    </row>
    <row r="10" spans="1:7" ht="30" customHeight="1">
      <c r="A10" s="125">
        <v>7</v>
      </c>
      <c r="B10" s="122" t="s">
        <v>374</v>
      </c>
      <c r="C10" s="127">
        <v>40000</v>
      </c>
      <c r="D10" s="127"/>
      <c r="E10" s="126">
        <f t="shared" si="0"/>
        <v>40000</v>
      </c>
      <c r="F10" s="127"/>
      <c r="G10" s="126">
        <f t="shared" si="1"/>
        <v>40000</v>
      </c>
    </row>
    <row r="11" spans="1:7" ht="30" customHeight="1">
      <c r="A11" s="122">
        <v>8</v>
      </c>
      <c r="B11" s="122" t="s">
        <v>375</v>
      </c>
      <c r="C11" s="127">
        <f>补充公用经费!AO15+清算补充公用经费!E6</f>
        <v>35983172</v>
      </c>
      <c r="D11" s="127"/>
      <c r="E11" s="126">
        <f t="shared" si="0"/>
        <v>35983172</v>
      </c>
      <c r="F11" s="127"/>
      <c r="G11" s="126">
        <f t="shared" si="1"/>
        <v>35983172</v>
      </c>
    </row>
    <row r="12" spans="1:7" ht="30" customHeight="1">
      <c r="A12" s="122"/>
      <c r="B12" s="122" t="s">
        <v>7</v>
      </c>
      <c r="C12" s="127">
        <f>SUM(C4:C11)</f>
        <v>352638490.63</v>
      </c>
      <c r="D12" s="127">
        <f>SUM(D4:D11)</f>
        <v>931292.49</v>
      </c>
      <c r="E12" s="127">
        <f>SUM(E4:E11)</f>
        <v>351707198.13999999</v>
      </c>
      <c r="F12" s="127">
        <f>SUM(F4:F11)</f>
        <v>8295000</v>
      </c>
      <c r="G12" s="127">
        <f>SUM(G4:G11)</f>
        <v>343412198.13999999</v>
      </c>
    </row>
    <row r="13" spans="1:7" ht="30" customHeight="1"/>
    <row r="14" spans="1:7" ht="30" customHeight="1"/>
  </sheetData>
  <mergeCells count="3">
    <mergeCell ref="A1:G1"/>
    <mergeCell ref="A2:B2"/>
    <mergeCell ref="C2:G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74"/>
  <sheetViews>
    <sheetView topLeftCell="A16" workbookViewId="0">
      <selection activeCell="F52" sqref="F52"/>
    </sheetView>
  </sheetViews>
  <sheetFormatPr defaultRowHeight="11.25"/>
  <cols>
    <col min="1" max="1" width="3.25" style="9" customWidth="1"/>
    <col min="2" max="2" width="12.375" style="1" customWidth="1"/>
    <col min="3" max="3" width="0" style="1" hidden="1" customWidth="1"/>
    <col min="4" max="4" width="0" style="10" hidden="1" customWidth="1"/>
    <col min="5" max="17" width="11.625" style="1" customWidth="1"/>
    <col min="18" max="16384" width="9" style="1"/>
  </cols>
  <sheetData>
    <row r="1" spans="1:17" ht="25.5">
      <c r="A1" s="136" t="s">
        <v>267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</row>
    <row r="2" spans="1:17" ht="45" customHeight="1">
      <c r="A2" s="138" t="s">
        <v>3</v>
      </c>
      <c r="B2" s="138" t="s">
        <v>4</v>
      </c>
      <c r="C2" s="138" t="s">
        <v>5</v>
      </c>
      <c r="D2" s="138" t="s">
        <v>6</v>
      </c>
      <c r="E2" s="18" t="s">
        <v>161</v>
      </c>
      <c r="F2" s="18" t="s">
        <v>165</v>
      </c>
      <c r="G2" s="18" t="s">
        <v>166</v>
      </c>
      <c r="H2" s="18" t="s">
        <v>167</v>
      </c>
      <c r="I2" s="18" t="s">
        <v>168</v>
      </c>
      <c r="J2" s="18" t="s">
        <v>158</v>
      </c>
      <c r="K2" s="18" t="s">
        <v>169</v>
      </c>
      <c r="L2" s="18" t="s">
        <v>170</v>
      </c>
      <c r="M2" s="18" t="s">
        <v>171</v>
      </c>
      <c r="N2" s="18" t="s">
        <v>172</v>
      </c>
      <c r="O2" s="18" t="s">
        <v>173</v>
      </c>
      <c r="P2" s="18" t="s">
        <v>174</v>
      </c>
      <c r="Q2" s="138" t="s">
        <v>7</v>
      </c>
    </row>
    <row r="3" spans="1:17">
      <c r="A3" s="139"/>
      <c r="B3" s="139"/>
      <c r="C3" s="139"/>
      <c r="D3" s="139"/>
      <c r="E3" s="18" t="s">
        <v>189</v>
      </c>
      <c r="F3" s="18" t="s">
        <v>191</v>
      </c>
      <c r="G3" s="18" t="s">
        <v>189</v>
      </c>
      <c r="H3" s="18" t="s">
        <v>190</v>
      </c>
      <c r="I3" s="18" t="s">
        <v>187</v>
      </c>
      <c r="J3" s="18" t="s">
        <v>187</v>
      </c>
      <c r="K3" s="18" t="s">
        <v>187</v>
      </c>
      <c r="L3" s="18" t="s">
        <v>187</v>
      </c>
      <c r="M3" s="18" t="s">
        <v>187</v>
      </c>
      <c r="N3" s="18" t="s">
        <v>187</v>
      </c>
      <c r="O3" s="18" t="s">
        <v>187</v>
      </c>
      <c r="P3" s="18" t="s">
        <v>188</v>
      </c>
      <c r="Q3" s="139"/>
    </row>
    <row r="4" spans="1:17" ht="15" customHeight="1">
      <c r="A4" s="19" t="s">
        <v>8</v>
      </c>
      <c r="B4" s="20" t="s">
        <v>9</v>
      </c>
      <c r="C4" s="20"/>
      <c r="D4" s="21" t="s">
        <v>10</v>
      </c>
      <c r="E4" s="22">
        <f t="shared" ref="E4:P4" si="0">E5+E32+E37</f>
        <v>48550817.530000001</v>
      </c>
      <c r="F4" s="22">
        <f t="shared" si="0"/>
        <v>35271623.170000002</v>
      </c>
      <c r="G4" s="22">
        <f t="shared" si="0"/>
        <v>70345171.270000011</v>
      </c>
      <c r="H4" s="22">
        <f t="shared" si="0"/>
        <v>72478576.270000011</v>
      </c>
      <c r="I4" s="22">
        <f t="shared" si="0"/>
        <v>9566481.5800000001</v>
      </c>
      <c r="J4" s="22">
        <f t="shared" si="0"/>
        <v>10318127.73</v>
      </c>
      <c r="K4" s="22">
        <f t="shared" si="0"/>
        <v>8444687.120000001</v>
      </c>
      <c r="L4" s="22">
        <f t="shared" si="0"/>
        <v>9190539.5999999996</v>
      </c>
      <c r="M4" s="22">
        <f t="shared" si="0"/>
        <v>17307018.419999998</v>
      </c>
      <c r="N4" s="22">
        <f t="shared" si="0"/>
        <v>8171558.7000000002</v>
      </c>
      <c r="O4" s="22">
        <f t="shared" si="0"/>
        <v>11187665</v>
      </c>
      <c r="P4" s="22">
        <f t="shared" si="0"/>
        <v>4400197</v>
      </c>
      <c r="Q4" s="22">
        <f t="shared" ref="Q4:Q67" si="1">SUM(E4:P4)</f>
        <v>305232463.39000005</v>
      </c>
    </row>
    <row r="5" spans="1:17" ht="15" customHeight="1">
      <c r="A5" s="19" t="s">
        <v>11</v>
      </c>
      <c r="B5" s="20" t="s">
        <v>0</v>
      </c>
      <c r="C5" s="20"/>
      <c r="D5" s="21" t="s">
        <v>10</v>
      </c>
      <c r="E5" s="22">
        <f>E6+E9+E13+E16+E21+E26+E28+E30+E31</f>
        <v>40366995.440000005</v>
      </c>
      <c r="F5" s="22">
        <f t="shared" ref="F5:P5" si="2">F6+F9+F13+F16+F21+F26+F28+F30+F31</f>
        <v>29035800.850000001</v>
      </c>
      <c r="G5" s="22">
        <f t="shared" si="2"/>
        <v>58213946.560000002</v>
      </c>
      <c r="H5" s="22">
        <f t="shared" si="2"/>
        <v>61273934.560000002</v>
      </c>
      <c r="I5" s="22">
        <f t="shared" si="2"/>
        <v>8328901.1499999994</v>
      </c>
      <c r="J5" s="22">
        <f t="shared" si="2"/>
        <v>8583763.4399999995</v>
      </c>
      <c r="K5" s="22">
        <f t="shared" si="2"/>
        <v>7206866.8500000006</v>
      </c>
      <c r="L5" s="22">
        <f t="shared" si="2"/>
        <v>7627162.29</v>
      </c>
      <c r="M5" s="22">
        <f t="shared" si="2"/>
        <v>14760922.849999998</v>
      </c>
      <c r="N5" s="22">
        <f t="shared" si="2"/>
        <v>6948880</v>
      </c>
      <c r="O5" s="22">
        <f t="shared" si="2"/>
        <v>9634028</v>
      </c>
      <c r="P5" s="22">
        <f t="shared" si="2"/>
        <v>3757960</v>
      </c>
      <c r="Q5" s="22">
        <f t="shared" si="1"/>
        <v>255739161.99000001</v>
      </c>
    </row>
    <row r="6" spans="1:17" ht="15" customHeight="1">
      <c r="A6" s="19" t="s">
        <v>12</v>
      </c>
      <c r="B6" s="20" t="s">
        <v>13</v>
      </c>
      <c r="C6" s="20"/>
      <c r="D6" s="21" t="s">
        <v>10</v>
      </c>
      <c r="E6" s="22">
        <f>E7+E8</f>
        <v>4329648</v>
      </c>
      <c r="F6" s="22">
        <f t="shared" ref="F6:P6" si="3">F7+F8</f>
        <v>2959416</v>
      </c>
      <c r="G6" s="22">
        <f t="shared" si="3"/>
        <v>8593692</v>
      </c>
      <c r="H6" s="22">
        <f t="shared" si="3"/>
        <v>7308840</v>
      </c>
      <c r="I6" s="22">
        <f t="shared" si="3"/>
        <v>1081392</v>
      </c>
      <c r="J6" s="22">
        <f t="shared" si="3"/>
        <v>1020168</v>
      </c>
      <c r="K6" s="22">
        <f t="shared" si="3"/>
        <v>879420</v>
      </c>
      <c r="L6" s="22">
        <f t="shared" si="3"/>
        <v>965040</v>
      </c>
      <c r="M6" s="22">
        <f t="shared" si="3"/>
        <v>1924188</v>
      </c>
      <c r="N6" s="22">
        <f t="shared" si="3"/>
        <v>942984</v>
      </c>
      <c r="O6" s="22">
        <f t="shared" si="3"/>
        <v>1524432</v>
      </c>
      <c r="P6" s="22">
        <f t="shared" si="3"/>
        <v>520824</v>
      </c>
      <c r="Q6" s="22">
        <f t="shared" si="1"/>
        <v>32050044</v>
      </c>
    </row>
    <row r="7" spans="1:17" ht="15" customHeight="1">
      <c r="A7" s="19" t="s">
        <v>14</v>
      </c>
      <c r="B7" s="20" t="s">
        <v>15</v>
      </c>
      <c r="C7" s="20" t="s">
        <v>16</v>
      </c>
      <c r="D7" s="21" t="s">
        <v>17</v>
      </c>
      <c r="E7" s="24">
        <v>2790972</v>
      </c>
      <c r="F7" s="24">
        <v>1818204</v>
      </c>
      <c r="G7" s="24">
        <v>4099572</v>
      </c>
      <c r="H7" s="24">
        <v>4347192</v>
      </c>
      <c r="I7" s="24">
        <v>677556</v>
      </c>
      <c r="J7" s="24">
        <v>689640</v>
      </c>
      <c r="K7" s="24">
        <v>563772</v>
      </c>
      <c r="L7" s="24">
        <f>48972*12</f>
        <v>587664</v>
      </c>
      <c r="M7" s="24">
        <v>1212852</v>
      </c>
      <c r="N7" s="24">
        <f>46501*12</f>
        <v>558012</v>
      </c>
      <c r="O7" s="24">
        <f>63404*12</f>
        <v>760848</v>
      </c>
      <c r="P7" s="24">
        <f>22037*12</f>
        <v>264444</v>
      </c>
      <c r="Q7" s="22">
        <f t="shared" si="1"/>
        <v>18370728</v>
      </c>
    </row>
    <row r="8" spans="1:17" ht="15" customHeight="1">
      <c r="A8" s="19" t="s">
        <v>18</v>
      </c>
      <c r="B8" s="20" t="s">
        <v>19</v>
      </c>
      <c r="C8" s="20" t="s">
        <v>16</v>
      </c>
      <c r="D8" s="21" t="s">
        <v>17</v>
      </c>
      <c r="E8" s="24">
        <v>1538676</v>
      </c>
      <c r="F8" s="24">
        <v>1141212</v>
      </c>
      <c r="G8" s="24">
        <v>4494120</v>
      </c>
      <c r="H8" s="24">
        <v>2961648</v>
      </c>
      <c r="I8" s="24">
        <v>403836</v>
      </c>
      <c r="J8" s="24">
        <v>330528</v>
      </c>
      <c r="K8" s="24">
        <v>315648</v>
      </c>
      <c r="L8" s="24">
        <f>31448*12</f>
        <v>377376</v>
      </c>
      <c r="M8" s="24">
        <v>711336</v>
      </c>
      <c r="N8" s="24">
        <f>32081*12</f>
        <v>384972</v>
      </c>
      <c r="O8" s="24">
        <f>63632*12</f>
        <v>763584</v>
      </c>
      <c r="P8" s="24">
        <f>21365*12</f>
        <v>256380</v>
      </c>
      <c r="Q8" s="22">
        <f t="shared" si="1"/>
        <v>13679316</v>
      </c>
    </row>
    <row r="9" spans="1:17" ht="15" customHeight="1">
      <c r="A9" s="19" t="s">
        <v>20</v>
      </c>
      <c r="B9" s="20" t="s">
        <v>21</v>
      </c>
      <c r="C9" s="20"/>
      <c r="D9" s="21" t="s">
        <v>10</v>
      </c>
      <c r="E9" s="22">
        <f>E10+E11</f>
        <v>574344</v>
      </c>
      <c r="F9" s="22">
        <f t="shared" ref="F9:P9" si="4">F10+F11</f>
        <v>409944</v>
      </c>
      <c r="G9" s="22">
        <f t="shared" si="4"/>
        <v>790968</v>
      </c>
      <c r="H9" s="22">
        <f t="shared" si="4"/>
        <v>912468</v>
      </c>
      <c r="I9" s="22">
        <f t="shared" si="4"/>
        <v>138648</v>
      </c>
      <c r="J9" s="22">
        <f t="shared" si="4"/>
        <v>148632</v>
      </c>
      <c r="K9" s="22">
        <f t="shared" si="4"/>
        <v>128292</v>
      </c>
      <c r="L9" s="22">
        <f t="shared" si="4"/>
        <v>128052</v>
      </c>
      <c r="M9" s="22">
        <f t="shared" si="4"/>
        <v>261576</v>
      </c>
      <c r="N9" s="22">
        <f t="shared" si="4"/>
        <v>117588</v>
      </c>
      <c r="O9" s="22">
        <f t="shared" si="4"/>
        <v>156060</v>
      </c>
      <c r="P9" s="22">
        <f t="shared" si="4"/>
        <v>53556</v>
      </c>
      <c r="Q9" s="22">
        <f t="shared" si="1"/>
        <v>3820128</v>
      </c>
    </row>
    <row r="10" spans="1:17" ht="15" customHeight="1">
      <c r="A10" s="19" t="s">
        <v>22</v>
      </c>
      <c r="B10" s="20" t="s">
        <v>23</v>
      </c>
      <c r="C10" s="20" t="s">
        <v>16</v>
      </c>
      <c r="D10" s="21" t="s">
        <v>17</v>
      </c>
      <c r="E10" s="24">
        <v>4104</v>
      </c>
      <c r="F10" s="24">
        <v>3384</v>
      </c>
      <c r="G10" s="24">
        <v>14808</v>
      </c>
      <c r="H10" s="24">
        <v>9588</v>
      </c>
      <c r="I10" s="24">
        <v>1368</v>
      </c>
      <c r="J10" s="24">
        <v>792</v>
      </c>
      <c r="K10" s="24">
        <v>6852</v>
      </c>
      <c r="L10" s="24">
        <v>1332</v>
      </c>
      <c r="M10" s="24">
        <v>2856</v>
      </c>
      <c r="N10" s="24">
        <v>1428</v>
      </c>
      <c r="O10" s="24">
        <v>2940</v>
      </c>
      <c r="P10" s="24">
        <v>756</v>
      </c>
      <c r="Q10" s="22">
        <f t="shared" si="1"/>
        <v>50208</v>
      </c>
    </row>
    <row r="11" spans="1:17" ht="15" customHeight="1">
      <c r="A11" s="19" t="s">
        <v>24</v>
      </c>
      <c r="B11" s="20" t="s">
        <v>25</v>
      </c>
      <c r="C11" s="20"/>
      <c r="D11" s="21" t="s">
        <v>10</v>
      </c>
      <c r="E11" s="22">
        <f>E12</f>
        <v>570240</v>
      </c>
      <c r="F11" s="22">
        <f t="shared" ref="F11:P11" si="5">F12</f>
        <v>406560</v>
      </c>
      <c r="G11" s="22">
        <f t="shared" si="5"/>
        <v>776160</v>
      </c>
      <c r="H11" s="22">
        <f t="shared" si="5"/>
        <v>902880</v>
      </c>
      <c r="I11" s="22">
        <f t="shared" si="5"/>
        <v>137280</v>
      </c>
      <c r="J11" s="22">
        <f t="shared" si="5"/>
        <v>147840</v>
      </c>
      <c r="K11" s="22">
        <f t="shared" si="5"/>
        <v>121440</v>
      </c>
      <c r="L11" s="22">
        <f t="shared" si="5"/>
        <v>126720</v>
      </c>
      <c r="M11" s="22">
        <f t="shared" si="5"/>
        <v>258720</v>
      </c>
      <c r="N11" s="22">
        <f t="shared" si="5"/>
        <v>116160</v>
      </c>
      <c r="O11" s="22">
        <f t="shared" si="5"/>
        <v>153120</v>
      </c>
      <c r="P11" s="22">
        <f t="shared" si="5"/>
        <v>52800</v>
      </c>
      <c r="Q11" s="22">
        <f t="shared" si="1"/>
        <v>3769920</v>
      </c>
    </row>
    <row r="12" spans="1:17" s="2" customFormat="1" ht="15" customHeight="1">
      <c r="A12" s="19" t="s">
        <v>26</v>
      </c>
      <c r="B12" s="25" t="s">
        <v>27</v>
      </c>
      <c r="C12" s="25" t="s">
        <v>16</v>
      </c>
      <c r="D12" s="23" t="s">
        <v>10</v>
      </c>
      <c r="E12" s="22">
        <f>440*12*E60</f>
        <v>570240</v>
      </c>
      <c r="F12" s="22">
        <f t="shared" ref="F12:P12" si="6">440*12*F60</f>
        <v>406560</v>
      </c>
      <c r="G12" s="22">
        <f t="shared" si="6"/>
        <v>776160</v>
      </c>
      <c r="H12" s="22">
        <f t="shared" si="6"/>
        <v>902880</v>
      </c>
      <c r="I12" s="22">
        <f t="shared" si="6"/>
        <v>137280</v>
      </c>
      <c r="J12" s="22">
        <f t="shared" si="6"/>
        <v>147840</v>
      </c>
      <c r="K12" s="22">
        <f t="shared" si="6"/>
        <v>121440</v>
      </c>
      <c r="L12" s="22">
        <f t="shared" si="6"/>
        <v>126720</v>
      </c>
      <c r="M12" s="22">
        <f t="shared" si="6"/>
        <v>258720</v>
      </c>
      <c r="N12" s="22">
        <f t="shared" si="6"/>
        <v>116160</v>
      </c>
      <c r="O12" s="22">
        <f t="shared" si="6"/>
        <v>153120</v>
      </c>
      <c r="P12" s="22">
        <f t="shared" si="6"/>
        <v>52800</v>
      </c>
      <c r="Q12" s="22">
        <f t="shared" si="1"/>
        <v>3769920</v>
      </c>
    </row>
    <row r="13" spans="1:17" ht="15" customHeight="1">
      <c r="A13" s="19" t="s">
        <v>28</v>
      </c>
      <c r="B13" s="20" t="s">
        <v>29</v>
      </c>
      <c r="C13" s="20"/>
      <c r="D13" s="21" t="s">
        <v>30</v>
      </c>
      <c r="E13" s="22">
        <f>E14+E15</f>
        <v>276305.14</v>
      </c>
      <c r="F13" s="22">
        <f t="shared" ref="F13:P13" si="7">F14+F15</f>
        <v>205498.28</v>
      </c>
      <c r="G13" s="22">
        <f t="shared" si="7"/>
        <v>388530.86</v>
      </c>
      <c r="H13" s="22">
        <f t="shared" si="7"/>
        <v>409074.86</v>
      </c>
      <c r="I13" s="22">
        <f t="shared" si="7"/>
        <v>57265.72</v>
      </c>
      <c r="J13" s="22">
        <f t="shared" si="7"/>
        <v>56321.14</v>
      </c>
      <c r="K13" s="22">
        <f t="shared" si="7"/>
        <v>48670.28</v>
      </c>
      <c r="L13" s="22">
        <f t="shared" si="7"/>
        <v>52239.42</v>
      </c>
      <c r="M13" s="22">
        <f t="shared" si="7"/>
        <v>89650.28</v>
      </c>
      <c r="N13" s="22">
        <f t="shared" si="7"/>
        <v>45636</v>
      </c>
      <c r="O13" s="22">
        <f t="shared" si="7"/>
        <v>64416</v>
      </c>
      <c r="P13" s="22">
        <f t="shared" si="7"/>
        <v>25296</v>
      </c>
      <c r="Q13" s="22">
        <f t="shared" si="1"/>
        <v>1718903.98</v>
      </c>
    </row>
    <row r="14" spans="1:17" s="2" customFormat="1" ht="15" customHeight="1">
      <c r="A14" s="19" t="s">
        <v>31</v>
      </c>
      <c r="B14" s="25" t="s">
        <v>175</v>
      </c>
      <c r="C14" s="25" t="s">
        <v>16</v>
      </c>
      <c r="D14" s="23" t="s">
        <v>32</v>
      </c>
      <c r="E14" s="22">
        <f>ROUND(E30/0.07*0.005,2)</f>
        <v>138152.57</v>
      </c>
      <c r="F14" s="22">
        <f t="shared" ref="F14:P14" si="8">ROUND(F30/0.07*0.005,2)</f>
        <v>102749.14</v>
      </c>
      <c r="G14" s="22">
        <f t="shared" si="8"/>
        <v>194265.43</v>
      </c>
      <c r="H14" s="22">
        <f t="shared" si="8"/>
        <v>204537.43</v>
      </c>
      <c r="I14" s="22">
        <f t="shared" si="8"/>
        <v>28632.86</v>
      </c>
      <c r="J14" s="22">
        <f t="shared" si="8"/>
        <v>28160.57</v>
      </c>
      <c r="K14" s="22">
        <f t="shared" si="8"/>
        <v>24335.14</v>
      </c>
      <c r="L14" s="22">
        <f t="shared" si="8"/>
        <v>26119.71</v>
      </c>
      <c r="M14" s="22">
        <f t="shared" si="8"/>
        <v>44825.14</v>
      </c>
      <c r="N14" s="22">
        <f t="shared" si="8"/>
        <v>22818</v>
      </c>
      <c r="O14" s="22">
        <f t="shared" si="8"/>
        <v>32208</v>
      </c>
      <c r="P14" s="22">
        <f t="shared" si="8"/>
        <v>12648</v>
      </c>
      <c r="Q14" s="22">
        <f t="shared" si="1"/>
        <v>859451.99</v>
      </c>
    </row>
    <row r="15" spans="1:17" s="2" customFormat="1" ht="15" customHeight="1">
      <c r="A15" s="19" t="s">
        <v>33</v>
      </c>
      <c r="B15" s="25" t="s">
        <v>34</v>
      </c>
      <c r="C15" s="25" t="s">
        <v>16</v>
      </c>
      <c r="D15" s="23" t="s">
        <v>32</v>
      </c>
      <c r="E15" s="22">
        <f>ROUND(E30/0.07*0.005,2)</f>
        <v>138152.57</v>
      </c>
      <c r="F15" s="22">
        <f t="shared" ref="F15:P15" si="9">ROUND(F30/0.07*0.005,2)</f>
        <v>102749.14</v>
      </c>
      <c r="G15" s="22">
        <f t="shared" si="9"/>
        <v>194265.43</v>
      </c>
      <c r="H15" s="22">
        <f t="shared" si="9"/>
        <v>204537.43</v>
      </c>
      <c r="I15" s="22">
        <f t="shared" si="9"/>
        <v>28632.86</v>
      </c>
      <c r="J15" s="22">
        <f t="shared" si="9"/>
        <v>28160.57</v>
      </c>
      <c r="K15" s="22">
        <f t="shared" si="9"/>
        <v>24335.14</v>
      </c>
      <c r="L15" s="22">
        <f t="shared" si="9"/>
        <v>26119.71</v>
      </c>
      <c r="M15" s="22">
        <f t="shared" si="9"/>
        <v>44825.14</v>
      </c>
      <c r="N15" s="22">
        <f t="shared" si="9"/>
        <v>22818</v>
      </c>
      <c r="O15" s="22">
        <f t="shared" si="9"/>
        <v>32208</v>
      </c>
      <c r="P15" s="22">
        <f t="shared" si="9"/>
        <v>12648</v>
      </c>
      <c r="Q15" s="22">
        <f t="shared" si="1"/>
        <v>859451.99</v>
      </c>
    </row>
    <row r="16" spans="1:17" ht="15" customHeight="1">
      <c r="A16" s="19" t="s">
        <v>35</v>
      </c>
      <c r="B16" s="20" t="s">
        <v>36</v>
      </c>
      <c r="C16" s="20"/>
      <c r="D16" s="21" t="s">
        <v>10</v>
      </c>
      <c r="E16" s="22">
        <f>E17+E18+E19+E20</f>
        <v>23029272</v>
      </c>
      <c r="F16" s="22">
        <f t="shared" ref="F16:L16" si="10">F17+F18+F19+F20</f>
        <v>16419018</v>
      </c>
      <c r="G16" s="22">
        <f t="shared" si="10"/>
        <v>31345398</v>
      </c>
      <c r="H16" s="22">
        <f t="shared" si="10"/>
        <v>34644258</v>
      </c>
      <c r="I16" s="22">
        <f t="shared" si="10"/>
        <v>4531904</v>
      </c>
      <c r="J16" s="22">
        <f t="shared" si="10"/>
        <v>4880512</v>
      </c>
      <c r="K16" s="22">
        <f t="shared" si="10"/>
        <v>4008992</v>
      </c>
      <c r="L16" s="22">
        <f t="shared" si="10"/>
        <v>4183296</v>
      </c>
      <c r="M16" s="22">
        <f>M17+M18+M19+M20</f>
        <v>8540896</v>
      </c>
      <c r="N16" s="22">
        <f>N17+N18+N19+N20</f>
        <v>3834688</v>
      </c>
      <c r="O16" s="22">
        <f>O17+O18+O19+O20</f>
        <v>5054816</v>
      </c>
      <c r="P16" s="22">
        <f>P17+P18+P19+P20</f>
        <v>2045260</v>
      </c>
      <c r="Q16" s="22">
        <f t="shared" si="1"/>
        <v>142518310</v>
      </c>
    </row>
    <row r="17" spans="1:17" ht="15" customHeight="1">
      <c r="A17" s="19" t="s">
        <v>37</v>
      </c>
      <c r="B17" s="26" t="s">
        <v>38</v>
      </c>
      <c r="C17" s="26" t="s">
        <v>16</v>
      </c>
      <c r="D17" s="27" t="s">
        <v>39</v>
      </c>
      <c r="E17" s="28">
        <v>21035392</v>
      </c>
      <c r="F17" s="28">
        <v>14926826</v>
      </c>
      <c r="G17" s="28">
        <v>28440438</v>
      </c>
      <c r="H17" s="28">
        <v>31239714</v>
      </c>
      <c r="I17" s="28">
        <v>4154838</v>
      </c>
      <c r="J17" s="28">
        <v>4486796</v>
      </c>
      <c r="K17" s="28">
        <v>3658886</v>
      </c>
      <c r="L17" s="28">
        <v>3810620</v>
      </c>
      <c r="M17" s="28">
        <v>8013872</v>
      </c>
      <c r="N17" s="28">
        <v>3492332</v>
      </c>
      <c r="O17" s="28">
        <v>4668900</v>
      </c>
      <c r="P17" s="28">
        <v>1985260</v>
      </c>
      <c r="Q17" s="22">
        <f t="shared" si="1"/>
        <v>129913874</v>
      </c>
    </row>
    <row r="18" spans="1:17" ht="15" customHeight="1">
      <c r="A18" s="19" t="s">
        <v>40</v>
      </c>
      <c r="B18" s="26" t="s">
        <v>41</v>
      </c>
      <c r="C18" s="26" t="s">
        <v>16</v>
      </c>
      <c r="D18" s="27" t="s">
        <v>42</v>
      </c>
      <c r="E18" s="28">
        <v>265880</v>
      </c>
      <c r="F18" s="28">
        <v>260192</v>
      </c>
      <c r="G18" s="28">
        <v>552960</v>
      </c>
      <c r="H18" s="28">
        <v>668544</v>
      </c>
      <c r="I18" s="28">
        <v>221066</v>
      </c>
      <c r="J18" s="28">
        <v>225716</v>
      </c>
      <c r="K18" s="28">
        <v>212106</v>
      </c>
      <c r="L18" s="28">
        <v>228676</v>
      </c>
      <c r="M18" s="28">
        <v>233024</v>
      </c>
      <c r="N18" s="28">
        <v>210356</v>
      </c>
      <c r="O18" s="28">
        <v>211916</v>
      </c>
      <c r="P18" s="28"/>
      <c r="Q18" s="22">
        <f t="shared" si="1"/>
        <v>3290436</v>
      </c>
    </row>
    <row r="19" spans="1:17" ht="15" customHeight="1">
      <c r="A19" s="19" t="s">
        <v>43</v>
      </c>
      <c r="B19" s="26" t="s">
        <v>44</v>
      </c>
      <c r="C19" s="26" t="s">
        <v>16</v>
      </c>
      <c r="D19" s="21" t="s">
        <v>10</v>
      </c>
      <c r="E19" s="29">
        <f>E60*500*12</f>
        <v>648000</v>
      </c>
      <c r="F19" s="29">
        <f t="shared" ref="F19:P19" si="11">F60*500*12</f>
        <v>462000</v>
      </c>
      <c r="G19" s="29">
        <f t="shared" si="11"/>
        <v>882000</v>
      </c>
      <c r="H19" s="29">
        <f t="shared" si="11"/>
        <v>1026000</v>
      </c>
      <c r="I19" s="29">
        <f t="shared" si="11"/>
        <v>156000</v>
      </c>
      <c r="J19" s="29">
        <f t="shared" si="11"/>
        <v>168000</v>
      </c>
      <c r="K19" s="29">
        <f t="shared" si="11"/>
        <v>138000</v>
      </c>
      <c r="L19" s="29">
        <f t="shared" si="11"/>
        <v>144000</v>
      </c>
      <c r="M19" s="29">
        <f t="shared" si="11"/>
        <v>294000</v>
      </c>
      <c r="N19" s="29">
        <f t="shared" si="11"/>
        <v>132000</v>
      </c>
      <c r="O19" s="29">
        <f t="shared" si="11"/>
        <v>174000</v>
      </c>
      <c r="P19" s="29">
        <f t="shared" si="11"/>
        <v>60000</v>
      </c>
      <c r="Q19" s="22">
        <f t="shared" si="1"/>
        <v>4284000</v>
      </c>
    </row>
    <row r="20" spans="1:17" ht="15" customHeight="1">
      <c r="A20" s="19" t="s">
        <v>45</v>
      </c>
      <c r="B20" s="26" t="s">
        <v>46</v>
      </c>
      <c r="C20" s="26" t="s">
        <v>16</v>
      </c>
      <c r="D20" s="21" t="s">
        <v>17</v>
      </c>
      <c r="E20" s="28">
        <f>E60*10000</f>
        <v>1080000</v>
      </c>
      <c r="F20" s="28">
        <f>F60*10000</f>
        <v>770000</v>
      </c>
      <c r="G20" s="28">
        <f>G60*10000</f>
        <v>1470000</v>
      </c>
      <c r="H20" s="28">
        <f>H60*10000</f>
        <v>1710000</v>
      </c>
      <c r="I20" s="28"/>
      <c r="J20" s="28"/>
      <c r="K20" s="28"/>
      <c r="L20" s="28"/>
      <c r="M20" s="28"/>
      <c r="N20" s="28"/>
      <c r="O20" s="28"/>
      <c r="P20" s="28"/>
      <c r="Q20" s="22">
        <f t="shared" si="1"/>
        <v>5030000</v>
      </c>
    </row>
    <row r="21" spans="1:17" ht="15" customHeight="1">
      <c r="A21" s="19" t="s">
        <v>47</v>
      </c>
      <c r="B21" s="20" t="s">
        <v>48</v>
      </c>
      <c r="C21" s="20"/>
      <c r="D21" s="27" t="s">
        <v>10</v>
      </c>
      <c r="E21" s="29">
        <f>E22+E23</f>
        <v>3591966.87</v>
      </c>
      <c r="F21" s="29">
        <f t="shared" ref="F21:P21" si="12">F22+F23</f>
        <v>2671477.71</v>
      </c>
      <c r="G21" s="29">
        <f t="shared" si="12"/>
        <v>5050901.13</v>
      </c>
      <c r="H21" s="29">
        <f t="shared" si="12"/>
        <v>5317973.13</v>
      </c>
      <c r="I21" s="29">
        <f t="shared" si="12"/>
        <v>744454.29</v>
      </c>
      <c r="J21" s="29">
        <f t="shared" si="12"/>
        <v>732174.87</v>
      </c>
      <c r="K21" s="29">
        <f t="shared" si="12"/>
        <v>632713.71</v>
      </c>
      <c r="L21" s="29">
        <f t="shared" si="12"/>
        <v>679112.58</v>
      </c>
      <c r="M21" s="29">
        <f t="shared" si="12"/>
        <v>1165453.71</v>
      </c>
      <c r="N21" s="29">
        <f t="shared" si="12"/>
        <v>593268</v>
      </c>
      <c r="O21" s="29">
        <f t="shared" si="12"/>
        <v>837408</v>
      </c>
      <c r="P21" s="29">
        <f t="shared" si="12"/>
        <v>328848</v>
      </c>
      <c r="Q21" s="22">
        <f t="shared" si="1"/>
        <v>22345752</v>
      </c>
    </row>
    <row r="22" spans="1:17" ht="15" customHeight="1">
      <c r="A22" s="19" t="s">
        <v>49</v>
      </c>
      <c r="B22" s="20" t="s">
        <v>176</v>
      </c>
      <c r="C22" s="20" t="s">
        <v>50</v>
      </c>
      <c r="D22" s="27" t="s">
        <v>10</v>
      </c>
      <c r="E22" s="29">
        <f>ROUND(E30/0.07*0.09,2)</f>
        <v>2486746.29</v>
      </c>
      <c r="F22" s="29">
        <f t="shared" ref="F22:P22" si="13">ROUND(F30/0.07*0.09,2)</f>
        <v>1849484.57</v>
      </c>
      <c r="G22" s="29">
        <f t="shared" si="13"/>
        <v>3496777.71</v>
      </c>
      <c r="H22" s="29">
        <f t="shared" si="13"/>
        <v>3681673.71</v>
      </c>
      <c r="I22" s="29">
        <f t="shared" si="13"/>
        <v>515391.43</v>
      </c>
      <c r="J22" s="29">
        <f t="shared" si="13"/>
        <v>506890.29</v>
      </c>
      <c r="K22" s="29">
        <f t="shared" si="13"/>
        <v>438032.57</v>
      </c>
      <c r="L22" s="29">
        <f t="shared" si="13"/>
        <v>470154.86</v>
      </c>
      <c r="M22" s="29">
        <f t="shared" si="13"/>
        <v>806852.57</v>
      </c>
      <c r="N22" s="29">
        <f t="shared" si="13"/>
        <v>410724</v>
      </c>
      <c r="O22" s="29">
        <f t="shared" si="13"/>
        <v>579744</v>
      </c>
      <c r="P22" s="29">
        <f t="shared" si="13"/>
        <v>227664</v>
      </c>
      <c r="Q22" s="22">
        <f t="shared" si="1"/>
        <v>15470136</v>
      </c>
    </row>
    <row r="23" spans="1:17" ht="15" customHeight="1">
      <c r="A23" s="19" t="s">
        <v>51</v>
      </c>
      <c r="B23" s="20" t="s">
        <v>52</v>
      </c>
      <c r="C23" s="20" t="s">
        <v>50</v>
      </c>
      <c r="D23" s="27" t="s">
        <v>32</v>
      </c>
      <c r="E23" s="29">
        <f>E24+E25</f>
        <v>1105220.58</v>
      </c>
      <c r="F23" s="29">
        <f t="shared" ref="F23:P23" si="14">F24+F25</f>
        <v>821993.14</v>
      </c>
      <c r="G23" s="29">
        <f t="shared" si="14"/>
        <v>1554123.42</v>
      </c>
      <c r="H23" s="29">
        <f t="shared" si="14"/>
        <v>1636299.42</v>
      </c>
      <c r="I23" s="29">
        <f t="shared" si="14"/>
        <v>229062.86</v>
      </c>
      <c r="J23" s="29">
        <f t="shared" si="14"/>
        <v>225284.58</v>
      </c>
      <c r="K23" s="29">
        <f t="shared" si="14"/>
        <v>194681.14</v>
      </c>
      <c r="L23" s="29">
        <f t="shared" si="14"/>
        <v>208957.72</v>
      </c>
      <c r="M23" s="29">
        <f t="shared" si="14"/>
        <v>358601.14</v>
      </c>
      <c r="N23" s="29">
        <f t="shared" si="14"/>
        <v>182544</v>
      </c>
      <c r="O23" s="29">
        <f t="shared" si="14"/>
        <v>257664</v>
      </c>
      <c r="P23" s="29">
        <f t="shared" si="14"/>
        <v>101184</v>
      </c>
      <c r="Q23" s="22">
        <f t="shared" si="1"/>
        <v>6875616</v>
      </c>
    </row>
    <row r="24" spans="1:17" ht="15" customHeight="1">
      <c r="A24" s="19" t="s">
        <v>53</v>
      </c>
      <c r="B24" s="20" t="s">
        <v>177</v>
      </c>
      <c r="C24" s="20" t="s">
        <v>50</v>
      </c>
      <c r="D24" s="27" t="s">
        <v>32</v>
      </c>
      <c r="E24" s="29">
        <f>ROUND(E30/0.07*0.02,2)</f>
        <v>552610.29</v>
      </c>
      <c r="F24" s="29">
        <f t="shared" ref="F24:P24" si="15">ROUND(F30/0.07*0.02,2)</f>
        <v>410996.57</v>
      </c>
      <c r="G24" s="29">
        <f t="shared" si="15"/>
        <v>777061.71</v>
      </c>
      <c r="H24" s="29">
        <f t="shared" si="15"/>
        <v>818149.71</v>
      </c>
      <c r="I24" s="29">
        <f t="shared" si="15"/>
        <v>114531.43</v>
      </c>
      <c r="J24" s="29">
        <f t="shared" si="15"/>
        <v>112642.29</v>
      </c>
      <c r="K24" s="29">
        <f t="shared" si="15"/>
        <v>97340.57</v>
      </c>
      <c r="L24" s="29">
        <f t="shared" si="15"/>
        <v>104478.86</v>
      </c>
      <c r="M24" s="29">
        <f t="shared" si="15"/>
        <v>179300.57</v>
      </c>
      <c r="N24" s="29">
        <f t="shared" si="15"/>
        <v>91272</v>
      </c>
      <c r="O24" s="29">
        <f t="shared" si="15"/>
        <v>128832</v>
      </c>
      <c r="P24" s="29">
        <f t="shared" si="15"/>
        <v>50592</v>
      </c>
      <c r="Q24" s="22">
        <f t="shared" si="1"/>
        <v>3437808</v>
      </c>
    </row>
    <row r="25" spans="1:17" ht="15" customHeight="1">
      <c r="A25" s="19" t="s">
        <v>54</v>
      </c>
      <c r="B25" s="20" t="s">
        <v>178</v>
      </c>
      <c r="C25" s="20" t="s">
        <v>50</v>
      </c>
      <c r="D25" s="27" t="s">
        <v>32</v>
      </c>
      <c r="E25" s="29">
        <f>ROUND(E30/0.07*0.02,2)</f>
        <v>552610.29</v>
      </c>
      <c r="F25" s="29">
        <f t="shared" ref="F25:P25" si="16">ROUND(F30/0.07*0.02,2)</f>
        <v>410996.57</v>
      </c>
      <c r="G25" s="29">
        <f t="shared" si="16"/>
        <v>777061.71</v>
      </c>
      <c r="H25" s="29">
        <f t="shared" si="16"/>
        <v>818149.71</v>
      </c>
      <c r="I25" s="29">
        <f t="shared" si="16"/>
        <v>114531.43</v>
      </c>
      <c r="J25" s="29">
        <f t="shared" si="16"/>
        <v>112642.29</v>
      </c>
      <c r="K25" s="29">
        <f t="shared" si="16"/>
        <v>97340.57</v>
      </c>
      <c r="L25" s="29">
        <f t="shared" si="16"/>
        <v>104478.86</v>
      </c>
      <c r="M25" s="29">
        <f t="shared" si="16"/>
        <v>179300.57</v>
      </c>
      <c r="N25" s="29">
        <f t="shared" si="16"/>
        <v>91272</v>
      </c>
      <c r="O25" s="29">
        <f t="shared" si="16"/>
        <v>128832</v>
      </c>
      <c r="P25" s="29">
        <f t="shared" si="16"/>
        <v>50592</v>
      </c>
      <c r="Q25" s="22">
        <f t="shared" si="1"/>
        <v>3437808</v>
      </c>
    </row>
    <row r="26" spans="1:17" ht="15" customHeight="1">
      <c r="A26" s="19" t="s">
        <v>55</v>
      </c>
      <c r="B26" s="20" t="s">
        <v>56</v>
      </c>
      <c r="C26" s="20"/>
      <c r="D26" s="21" t="s">
        <v>10</v>
      </c>
      <c r="E26" s="22">
        <f t="shared" ref="E26:P26" si="17">E27</f>
        <v>4420882.29</v>
      </c>
      <c r="F26" s="22">
        <f t="shared" si="17"/>
        <v>3287972.57</v>
      </c>
      <c r="G26" s="22">
        <f t="shared" si="17"/>
        <v>6216493.71</v>
      </c>
      <c r="H26" s="22">
        <f t="shared" si="17"/>
        <v>6545197.71</v>
      </c>
      <c r="I26" s="22">
        <f t="shared" si="17"/>
        <v>916251.43</v>
      </c>
      <c r="J26" s="22">
        <f t="shared" si="17"/>
        <v>901138.29</v>
      </c>
      <c r="K26" s="22">
        <f t="shared" si="17"/>
        <v>778724.57</v>
      </c>
      <c r="L26" s="22">
        <f t="shared" si="17"/>
        <v>835830.86</v>
      </c>
      <c r="M26" s="22">
        <f t="shared" si="17"/>
        <v>1434404.57</v>
      </c>
      <c r="N26" s="22">
        <f t="shared" si="17"/>
        <v>730176</v>
      </c>
      <c r="O26" s="22">
        <f t="shared" si="17"/>
        <v>1030656</v>
      </c>
      <c r="P26" s="22">
        <f t="shared" si="17"/>
        <v>404736</v>
      </c>
      <c r="Q26" s="22">
        <f t="shared" si="1"/>
        <v>27502464</v>
      </c>
    </row>
    <row r="27" spans="1:17" s="2" customFormat="1" ht="15" customHeight="1">
      <c r="A27" s="19" t="s">
        <v>57</v>
      </c>
      <c r="B27" s="25" t="s">
        <v>58</v>
      </c>
      <c r="C27" s="25" t="s">
        <v>59</v>
      </c>
      <c r="D27" s="23" t="s">
        <v>32</v>
      </c>
      <c r="E27" s="22">
        <f>ROUND(E30/0.07*0.16,2)</f>
        <v>4420882.29</v>
      </c>
      <c r="F27" s="22">
        <f t="shared" ref="F27:P27" si="18">ROUND(F30/0.07*0.16,2)</f>
        <v>3287972.57</v>
      </c>
      <c r="G27" s="22">
        <f t="shared" si="18"/>
        <v>6216493.71</v>
      </c>
      <c r="H27" s="22">
        <f t="shared" si="18"/>
        <v>6545197.71</v>
      </c>
      <c r="I27" s="22">
        <f t="shared" si="18"/>
        <v>916251.43</v>
      </c>
      <c r="J27" s="22">
        <f t="shared" si="18"/>
        <v>901138.29</v>
      </c>
      <c r="K27" s="22">
        <f t="shared" si="18"/>
        <v>778724.57</v>
      </c>
      <c r="L27" s="22">
        <f t="shared" si="18"/>
        <v>835830.86</v>
      </c>
      <c r="M27" s="22">
        <f t="shared" si="18"/>
        <v>1434404.57</v>
      </c>
      <c r="N27" s="22">
        <f t="shared" si="18"/>
        <v>730176</v>
      </c>
      <c r="O27" s="22">
        <f t="shared" si="18"/>
        <v>1030656</v>
      </c>
      <c r="P27" s="22">
        <f t="shared" si="18"/>
        <v>404736</v>
      </c>
      <c r="Q27" s="22">
        <f t="shared" si="1"/>
        <v>27502464</v>
      </c>
    </row>
    <row r="28" spans="1:17" ht="15" customHeight="1">
      <c r="A28" s="19" t="s">
        <v>60</v>
      </c>
      <c r="B28" s="20" t="s">
        <v>61</v>
      </c>
      <c r="C28" s="20"/>
      <c r="D28" s="21" t="s">
        <v>10</v>
      </c>
      <c r="E28" s="22">
        <f t="shared" ref="E28:P28" si="19">E29</f>
        <v>2210441.14</v>
      </c>
      <c r="F28" s="22">
        <f t="shared" si="19"/>
        <v>1643986.29</v>
      </c>
      <c r="G28" s="22">
        <f t="shared" si="19"/>
        <v>3108246.86</v>
      </c>
      <c r="H28" s="22">
        <f t="shared" si="19"/>
        <v>3272598.86</v>
      </c>
      <c r="I28" s="22">
        <f t="shared" si="19"/>
        <v>458125.71</v>
      </c>
      <c r="J28" s="22">
        <f t="shared" si="19"/>
        <v>450569.14</v>
      </c>
      <c r="K28" s="22">
        <f t="shared" si="19"/>
        <v>389362.29</v>
      </c>
      <c r="L28" s="22">
        <f t="shared" si="19"/>
        <v>417915.43</v>
      </c>
      <c r="M28" s="22">
        <f t="shared" si="19"/>
        <v>717202.29</v>
      </c>
      <c r="N28" s="22">
        <f t="shared" si="19"/>
        <v>365088</v>
      </c>
      <c r="O28" s="22">
        <f t="shared" si="19"/>
        <v>515328</v>
      </c>
      <c r="P28" s="22">
        <f t="shared" si="19"/>
        <v>202368</v>
      </c>
      <c r="Q28" s="22">
        <f t="shared" si="1"/>
        <v>13751232.010000002</v>
      </c>
    </row>
    <row r="29" spans="1:17" s="2" customFormat="1" ht="15" customHeight="1">
      <c r="A29" s="19" t="s">
        <v>62</v>
      </c>
      <c r="B29" s="25" t="s">
        <v>63</v>
      </c>
      <c r="C29" s="25" t="s">
        <v>64</v>
      </c>
      <c r="D29" s="23" t="s">
        <v>32</v>
      </c>
      <c r="E29" s="22">
        <f>ROUND(E30/0.07*0.08,2)</f>
        <v>2210441.14</v>
      </c>
      <c r="F29" s="22">
        <f t="shared" ref="F29:P29" si="20">ROUND(F30/0.07*0.08,2)</f>
        <v>1643986.29</v>
      </c>
      <c r="G29" s="22">
        <f t="shared" si="20"/>
        <v>3108246.86</v>
      </c>
      <c r="H29" s="22">
        <f t="shared" si="20"/>
        <v>3272598.86</v>
      </c>
      <c r="I29" s="22">
        <f t="shared" si="20"/>
        <v>458125.71</v>
      </c>
      <c r="J29" s="22">
        <f t="shared" si="20"/>
        <v>450569.14</v>
      </c>
      <c r="K29" s="22">
        <f t="shared" si="20"/>
        <v>389362.29</v>
      </c>
      <c r="L29" s="22">
        <f t="shared" si="20"/>
        <v>417915.43</v>
      </c>
      <c r="M29" s="22">
        <f t="shared" si="20"/>
        <v>717202.29</v>
      </c>
      <c r="N29" s="22">
        <f t="shared" si="20"/>
        <v>365088</v>
      </c>
      <c r="O29" s="22">
        <f t="shared" si="20"/>
        <v>515328</v>
      </c>
      <c r="P29" s="22">
        <f t="shared" si="20"/>
        <v>202368</v>
      </c>
      <c r="Q29" s="22">
        <f t="shared" si="1"/>
        <v>13751232.010000002</v>
      </c>
    </row>
    <row r="30" spans="1:17" ht="15" customHeight="1">
      <c r="A30" s="19" t="s">
        <v>65</v>
      </c>
      <c r="B30" s="20" t="s">
        <v>66</v>
      </c>
      <c r="C30" s="20" t="s">
        <v>67</v>
      </c>
      <c r="D30" s="21" t="s">
        <v>68</v>
      </c>
      <c r="E30" s="28">
        <v>1934136</v>
      </c>
      <c r="F30" s="28">
        <v>1438488</v>
      </c>
      <c r="G30" s="28">
        <v>2719716</v>
      </c>
      <c r="H30" s="28">
        <v>2863524</v>
      </c>
      <c r="I30" s="28">
        <v>400860</v>
      </c>
      <c r="J30" s="28">
        <v>394248</v>
      </c>
      <c r="K30" s="28">
        <v>340692</v>
      </c>
      <c r="L30" s="28">
        <v>365676</v>
      </c>
      <c r="M30" s="28">
        <v>627552</v>
      </c>
      <c r="N30" s="28">
        <f>26621*12</f>
        <v>319452</v>
      </c>
      <c r="O30" s="28">
        <f>37576*12</f>
        <v>450912</v>
      </c>
      <c r="P30" s="28">
        <f>14756*12</f>
        <v>177072</v>
      </c>
      <c r="Q30" s="22">
        <f t="shared" si="1"/>
        <v>12032328</v>
      </c>
    </row>
    <row r="31" spans="1:17" ht="15" customHeight="1">
      <c r="A31" s="19" t="s">
        <v>69</v>
      </c>
      <c r="B31" s="20" t="s">
        <v>70</v>
      </c>
      <c r="C31" s="26" t="s">
        <v>16</v>
      </c>
      <c r="D31" s="23" t="s">
        <v>71</v>
      </c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2">
        <f t="shared" si="1"/>
        <v>0</v>
      </c>
    </row>
    <row r="32" spans="1:17" ht="15" customHeight="1">
      <c r="A32" s="19" t="s">
        <v>72</v>
      </c>
      <c r="B32" s="20" t="s">
        <v>73</v>
      </c>
      <c r="C32" s="20"/>
      <c r="D32" s="21" t="s">
        <v>10</v>
      </c>
      <c r="E32" s="22">
        <f>E33+E35</f>
        <v>33000</v>
      </c>
      <c r="F32" s="22">
        <f>F33+F35</f>
        <v>36720</v>
      </c>
      <c r="G32" s="22">
        <f>G33+G35</f>
        <v>3194125</v>
      </c>
      <c r="H32" s="22">
        <f>H33+H35</f>
        <v>525180</v>
      </c>
      <c r="I32" s="22">
        <f>I33+I35</f>
        <v>240</v>
      </c>
      <c r="J32" s="22">
        <f t="shared" ref="J32:P32" si="21">J33+J35</f>
        <v>360</v>
      </c>
      <c r="K32" s="22">
        <f t="shared" si="21"/>
        <v>2520</v>
      </c>
      <c r="L32" s="22">
        <f t="shared" si="21"/>
        <v>1440</v>
      </c>
      <c r="M32" s="22">
        <f t="shared" si="21"/>
        <v>1440</v>
      </c>
      <c r="N32" s="22">
        <f t="shared" si="21"/>
        <v>36540</v>
      </c>
      <c r="O32" s="22">
        <f t="shared" si="21"/>
        <v>241980</v>
      </c>
      <c r="P32" s="22">
        <f t="shared" si="21"/>
        <v>201800</v>
      </c>
      <c r="Q32" s="22">
        <f t="shared" si="1"/>
        <v>4275345</v>
      </c>
    </row>
    <row r="33" spans="1:17" ht="15" customHeight="1">
      <c r="A33" s="19" t="s">
        <v>74</v>
      </c>
      <c r="B33" s="20" t="s">
        <v>75</v>
      </c>
      <c r="C33" s="20" t="s">
        <v>76</v>
      </c>
      <c r="D33" s="27" t="s">
        <v>77</v>
      </c>
      <c r="E33" s="29">
        <f>E34</f>
        <v>32280</v>
      </c>
      <c r="F33" s="29">
        <f t="shared" ref="F33:P33" si="22">F34</f>
        <v>35280</v>
      </c>
      <c r="G33" s="29">
        <f t="shared" si="22"/>
        <v>3189805</v>
      </c>
      <c r="H33" s="29">
        <f t="shared" si="22"/>
        <v>519420</v>
      </c>
      <c r="I33" s="29">
        <f t="shared" si="22"/>
        <v>0</v>
      </c>
      <c r="J33" s="29">
        <f t="shared" si="22"/>
        <v>0</v>
      </c>
      <c r="K33" s="29">
        <f t="shared" si="22"/>
        <v>0</v>
      </c>
      <c r="L33" s="29">
        <f t="shared" si="22"/>
        <v>0</v>
      </c>
      <c r="M33" s="29">
        <f t="shared" si="22"/>
        <v>0</v>
      </c>
      <c r="N33" s="29">
        <f t="shared" si="22"/>
        <v>34740</v>
      </c>
      <c r="O33" s="29">
        <f t="shared" si="22"/>
        <v>240900</v>
      </c>
      <c r="P33" s="29">
        <f t="shared" si="22"/>
        <v>201080</v>
      </c>
      <c r="Q33" s="22">
        <f t="shared" si="1"/>
        <v>4253505</v>
      </c>
    </row>
    <row r="34" spans="1:17" ht="15" customHeight="1">
      <c r="A34" s="19" t="s">
        <v>78</v>
      </c>
      <c r="B34" s="20" t="s">
        <v>79</v>
      </c>
      <c r="C34" s="20" t="s">
        <v>76</v>
      </c>
      <c r="D34" s="27" t="s">
        <v>77</v>
      </c>
      <c r="E34" s="24">
        <v>32280</v>
      </c>
      <c r="F34" s="24">
        <v>35280</v>
      </c>
      <c r="G34" s="24">
        <v>3189805</v>
      </c>
      <c r="H34" s="24">
        <v>519420</v>
      </c>
      <c r="I34" s="24"/>
      <c r="J34" s="24"/>
      <c r="K34" s="24"/>
      <c r="L34" s="24"/>
      <c r="M34" s="24"/>
      <c r="N34" s="24">
        <v>34740</v>
      </c>
      <c r="O34" s="24">
        <v>240900</v>
      </c>
      <c r="P34" s="24">
        <v>201080</v>
      </c>
      <c r="Q34" s="22">
        <f t="shared" si="1"/>
        <v>4253505</v>
      </c>
    </row>
    <row r="35" spans="1:17" ht="15" customHeight="1">
      <c r="A35" s="19" t="s">
        <v>80</v>
      </c>
      <c r="B35" s="20" t="s">
        <v>81</v>
      </c>
      <c r="C35" s="20"/>
      <c r="D35" s="21" t="s">
        <v>10</v>
      </c>
      <c r="E35" s="22">
        <f>E36</f>
        <v>720</v>
      </c>
      <c r="F35" s="22">
        <f t="shared" ref="F35:P35" si="23">F36</f>
        <v>1440</v>
      </c>
      <c r="G35" s="22">
        <f t="shared" si="23"/>
        <v>4320</v>
      </c>
      <c r="H35" s="22">
        <f t="shared" si="23"/>
        <v>5760</v>
      </c>
      <c r="I35" s="22">
        <f t="shared" si="23"/>
        <v>240</v>
      </c>
      <c r="J35" s="22">
        <f t="shared" si="23"/>
        <v>360</v>
      </c>
      <c r="K35" s="22">
        <f t="shared" si="23"/>
        <v>2520</v>
      </c>
      <c r="L35" s="22">
        <f t="shared" si="23"/>
        <v>1440</v>
      </c>
      <c r="M35" s="22">
        <f t="shared" si="23"/>
        <v>1440</v>
      </c>
      <c r="N35" s="22">
        <f t="shared" si="23"/>
        <v>1800</v>
      </c>
      <c r="O35" s="22">
        <f t="shared" si="23"/>
        <v>1080</v>
      </c>
      <c r="P35" s="22">
        <f t="shared" si="23"/>
        <v>720</v>
      </c>
      <c r="Q35" s="22">
        <f t="shared" si="1"/>
        <v>21840</v>
      </c>
    </row>
    <row r="36" spans="1:17" ht="15" customHeight="1">
      <c r="A36" s="19" t="s">
        <v>82</v>
      </c>
      <c r="B36" s="20" t="s">
        <v>83</v>
      </c>
      <c r="C36" s="20" t="s">
        <v>16</v>
      </c>
      <c r="D36" s="21" t="s">
        <v>17</v>
      </c>
      <c r="E36" s="24">
        <v>720</v>
      </c>
      <c r="F36" s="24">
        <v>1440</v>
      </c>
      <c r="G36" s="24">
        <v>4320</v>
      </c>
      <c r="H36" s="24">
        <v>5760</v>
      </c>
      <c r="I36" s="24">
        <v>240</v>
      </c>
      <c r="J36" s="24">
        <v>360</v>
      </c>
      <c r="K36" s="24">
        <v>2520</v>
      </c>
      <c r="L36" s="24">
        <v>1440</v>
      </c>
      <c r="M36" s="24">
        <v>1440</v>
      </c>
      <c r="N36" s="24">
        <v>1800</v>
      </c>
      <c r="O36" s="24">
        <v>1080</v>
      </c>
      <c r="P36" s="24">
        <v>720</v>
      </c>
      <c r="Q36" s="22">
        <f t="shared" si="1"/>
        <v>21840</v>
      </c>
    </row>
    <row r="37" spans="1:17" ht="15" customHeight="1">
      <c r="A37" s="19" t="s">
        <v>84</v>
      </c>
      <c r="B37" s="20" t="s">
        <v>87</v>
      </c>
      <c r="C37" s="20"/>
      <c r="D37" s="21" t="s">
        <v>10</v>
      </c>
      <c r="E37" s="22">
        <f>E38+E40+E42+E44+E46+E49+E51+E53+E55+E57</f>
        <v>8150822.0899999999</v>
      </c>
      <c r="F37" s="22">
        <f t="shared" ref="F37:P37" si="24">F38+F40+F42+F44+F46+F49+F51+F53+F55+F57</f>
        <v>6199102.3200000003</v>
      </c>
      <c r="G37" s="22">
        <f t="shared" si="24"/>
        <v>8937099.7100000009</v>
      </c>
      <c r="H37" s="22">
        <f t="shared" si="24"/>
        <v>10679461.710000001</v>
      </c>
      <c r="I37" s="22">
        <f t="shared" si="24"/>
        <v>1237340.43</v>
      </c>
      <c r="J37" s="22">
        <f t="shared" si="24"/>
        <v>1734004.29</v>
      </c>
      <c r="K37" s="22">
        <f t="shared" si="24"/>
        <v>1235300.2700000003</v>
      </c>
      <c r="L37" s="22">
        <f t="shared" si="24"/>
        <v>1561937.31</v>
      </c>
      <c r="M37" s="22">
        <f t="shared" si="24"/>
        <v>2544655.5699999998</v>
      </c>
      <c r="N37" s="22">
        <f t="shared" si="24"/>
        <v>1186138.7</v>
      </c>
      <c r="O37" s="22">
        <f t="shared" si="24"/>
        <v>1311657</v>
      </c>
      <c r="P37" s="22">
        <f t="shared" si="24"/>
        <v>440437</v>
      </c>
      <c r="Q37" s="22">
        <f t="shared" si="1"/>
        <v>45217956.400000006</v>
      </c>
    </row>
    <row r="38" spans="1:17" ht="15" customHeight="1">
      <c r="A38" s="19" t="s">
        <v>85</v>
      </c>
      <c r="B38" s="20" t="s">
        <v>89</v>
      </c>
      <c r="C38" s="20"/>
      <c r="D38" s="21" t="s">
        <v>90</v>
      </c>
      <c r="E38" s="24">
        <v>6622060</v>
      </c>
      <c r="F38" s="24">
        <v>5031950</v>
      </c>
      <c r="G38" s="24">
        <f>3210*891+3850*859</f>
        <v>6167260</v>
      </c>
      <c r="H38" s="24">
        <f>3210*2532</f>
        <v>8127720</v>
      </c>
      <c r="I38" s="24">
        <f>300*2860</f>
        <v>858000</v>
      </c>
      <c r="J38" s="24">
        <f>461*2860</f>
        <v>1318460</v>
      </c>
      <c r="K38" s="24">
        <f>300*2860</f>
        <v>858000</v>
      </c>
      <c r="L38" s="24">
        <f>418*2860</f>
        <v>1195480</v>
      </c>
      <c r="M38" s="24">
        <v>1884740</v>
      </c>
      <c r="N38" s="24">
        <v>858000</v>
      </c>
      <c r="O38" s="24">
        <v>858000</v>
      </c>
      <c r="P38" s="24">
        <v>224000</v>
      </c>
      <c r="Q38" s="22">
        <f t="shared" si="1"/>
        <v>34003670</v>
      </c>
    </row>
    <row r="39" spans="1:17" ht="15" customHeight="1">
      <c r="A39" s="19" t="s">
        <v>86</v>
      </c>
      <c r="B39" s="20" t="s">
        <v>92</v>
      </c>
      <c r="C39" s="20" t="s">
        <v>93</v>
      </c>
      <c r="D39" s="30" t="s">
        <v>94</v>
      </c>
      <c r="E39" s="24">
        <v>331103</v>
      </c>
      <c r="F39" s="24">
        <v>251597.5</v>
      </c>
      <c r="G39" s="24">
        <f>G38*0.05</f>
        <v>308363</v>
      </c>
      <c r="H39" s="24">
        <f>H38*0.05</f>
        <v>406386</v>
      </c>
      <c r="I39" s="24">
        <v>39897</v>
      </c>
      <c r="J39" s="24">
        <v>65923</v>
      </c>
      <c r="K39" s="24">
        <v>35464</v>
      </c>
      <c r="L39" s="24">
        <v>59774</v>
      </c>
      <c r="M39" s="24">
        <v>80366</v>
      </c>
      <c r="N39" s="24">
        <v>32175</v>
      </c>
      <c r="O39" s="24">
        <v>36465</v>
      </c>
      <c r="P39" s="24">
        <v>11200</v>
      </c>
      <c r="Q39" s="22">
        <f t="shared" si="1"/>
        <v>1658713.5</v>
      </c>
    </row>
    <row r="40" spans="1:17" ht="15" customHeight="1">
      <c r="A40" s="19" t="s">
        <v>88</v>
      </c>
      <c r="B40" s="20" t="s">
        <v>96</v>
      </c>
      <c r="C40" s="20"/>
      <c r="D40" s="21"/>
      <c r="E40" s="22">
        <f>E41</f>
        <v>43200</v>
      </c>
      <c r="F40" s="22">
        <f t="shared" ref="F40:N40" si="25">F41</f>
        <v>30800</v>
      </c>
      <c r="G40" s="22">
        <f t="shared" si="25"/>
        <v>58800</v>
      </c>
      <c r="H40" s="22">
        <f t="shared" si="25"/>
        <v>68400</v>
      </c>
      <c r="I40" s="22">
        <f t="shared" si="25"/>
        <v>10400</v>
      </c>
      <c r="J40" s="22">
        <f t="shared" si="25"/>
        <v>11200</v>
      </c>
      <c r="K40" s="22">
        <f t="shared" si="25"/>
        <v>9200</v>
      </c>
      <c r="L40" s="22">
        <f t="shared" si="25"/>
        <v>9600</v>
      </c>
      <c r="M40" s="22">
        <f t="shared" si="25"/>
        <v>19600</v>
      </c>
      <c r="N40" s="22">
        <f t="shared" si="25"/>
        <v>8800</v>
      </c>
      <c r="O40" s="22">
        <f>O41</f>
        <v>11600</v>
      </c>
      <c r="P40" s="22">
        <f>P41</f>
        <v>4000</v>
      </c>
      <c r="Q40" s="22">
        <f t="shared" si="1"/>
        <v>285600</v>
      </c>
    </row>
    <row r="41" spans="1:17" s="2" customFormat="1" ht="15" customHeight="1">
      <c r="A41" s="19" t="s">
        <v>91</v>
      </c>
      <c r="B41" s="25" t="s">
        <v>98</v>
      </c>
      <c r="C41" s="25" t="s">
        <v>16</v>
      </c>
      <c r="D41" s="31" t="s">
        <v>99</v>
      </c>
      <c r="E41" s="22">
        <f>E60*400</f>
        <v>43200</v>
      </c>
      <c r="F41" s="22">
        <f t="shared" ref="F41:P41" si="26">F60*400</f>
        <v>30800</v>
      </c>
      <c r="G41" s="22">
        <f t="shared" si="26"/>
        <v>58800</v>
      </c>
      <c r="H41" s="22">
        <f t="shared" si="26"/>
        <v>68400</v>
      </c>
      <c r="I41" s="22">
        <f t="shared" si="26"/>
        <v>10400</v>
      </c>
      <c r="J41" s="22">
        <f t="shared" si="26"/>
        <v>11200</v>
      </c>
      <c r="K41" s="22">
        <f t="shared" si="26"/>
        <v>9200</v>
      </c>
      <c r="L41" s="22">
        <f t="shared" si="26"/>
        <v>9600</v>
      </c>
      <c r="M41" s="22">
        <f t="shared" si="26"/>
        <v>19600</v>
      </c>
      <c r="N41" s="22">
        <f t="shared" si="26"/>
        <v>8800</v>
      </c>
      <c r="O41" s="22">
        <f t="shared" si="26"/>
        <v>11600</v>
      </c>
      <c r="P41" s="22">
        <f t="shared" si="26"/>
        <v>4000</v>
      </c>
      <c r="Q41" s="22">
        <f t="shared" si="1"/>
        <v>285600</v>
      </c>
    </row>
    <row r="42" spans="1:17" ht="15" customHeight="1">
      <c r="A42" s="19" t="s">
        <v>95</v>
      </c>
      <c r="B42" s="20" t="s">
        <v>101</v>
      </c>
      <c r="C42" s="20"/>
      <c r="D42" s="21" t="s">
        <v>10</v>
      </c>
      <c r="E42" s="22">
        <f>E43</f>
        <v>300871.8</v>
      </c>
      <c r="F42" s="22">
        <f t="shared" ref="F42:P42" si="27">F43</f>
        <v>278907.75</v>
      </c>
      <c r="G42" s="22">
        <f t="shared" si="27"/>
        <v>297282</v>
      </c>
      <c r="H42" s="22">
        <f t="shared" si="27"/>
        <v>571320</v>
      </c>
      <c r="I42" s="22">
        <f t="shared" si="27"/>
        <v>85185</v>
      </c>
      <c r="J42" s="22">
        <f t="shared" si="27"/>
        <v>110250</v>
      </c>
      <c r="K42" s="22">
        <f t="shared" si="27"/>
        <v>110181.3</v>
      </c>
      <c r="L42" s="22">
        <f t="shared" si="27"/>
        <v>92082.45</v>
      </c>
      <c r="M42" s="22">
        <f t="shared" si="27"/>
        <v>173535</v>
      </c>
      <c r="N42" s="22">
        <f t="shared" si="27"/>
        <v>74342.700000000012</v>
      </c>
      <c r="O42" s="22">
        <f t="shared" si="27"/>
        <v>71205</v>
      </c>
      <c r="P42" s="22">
        <f t="shared" si="27"/>
        <v>20325</v>
      </c>
      <c r="Q42" s="22">
        <f t="shared" si="1"/>
        <v>2185488</v>
      </c>
    </row>
    <row r="43" spans="1:17" s="2" customFormat="1" ht="15" customHeight="1">
      <c r="A43" s="19" t="s">
        <v>97</v>
      </c>
      <c r="B43" s="25" t="s">
        <v>103</v>
      </c>
      <c r="C43" s="25" t="s">
        <v>16</v>
      </c>
      <c r="D43" s="31" t="s">
        <v>104</v>
      </c>
      <c r="E43" s="22">
        <f>E71*15</f>
        <v>300871.8</v>
      </c>
      <c r="F43" s="22">
        <f t="shared" ref="F43:P43" si="28">F71*15</f>
        <v>278907.75</v>
      </c>
      <c r="G43" s="22">
        <f t="shared" si="28"/>
        <v>297282</v>
      </c>
      <c r="H43" s="22">
        <f t="shared" si="28"/>
        <v>571320</v>
      </c>
      <c r="I43" s="22">
        <f t="shared" si="28"/>
        <v>85185</v>
      </c>
      <c r="J43" s="22">
        <f t="shared" si="28"/>
        <v>110250</v>
      </c>
      <c r="K43" s="22">
        <f t="shared" si="28"/>
        <v>110181.3</v>
      </c>
      <c r="L43" s="22">
        <f t="shared" si="28"/>
        <v>92082.45</v>
      </c>
      <c r="M43" s="22">
        <f t="shared" si="28"/>
        <v>173535</v>
      </c>
      <c r="N43" s="22">
        <f t="shared" si="28"/>
        <v>74342.700000000012</v>
      </c>
      <c r="O43" s="22">
        <f t="shared" si="28"/>
        <v>71205</v>
      </c>
      <c r="P43" s="22">
        <f t="shared" si="28"/>
        <v>20325</v>
      </c>
      <c r="Q43" s="22">
        <f t="shared" si="1"/>
        <v>2185488</v>
      </c>
    </row>
    <row r="44" spans="1:17" ht="15" customHeight="1">
      <c r="A44" s="19" t="s">
        <v>100</v>
      </c>
      <c r="B44" s="20" t="s">
        <v>106</v>
      </c>
      <c r="C44" s="20"/>
      <c r="D44" s="21" t="s">
        <v>10</v>
      </c>
      <c r="E44" s="22">
        <f>E45</f>
        <v>112080</v>
      </c>
      <c r="F44" s="22">
        <f t="shared" ref="F44:P44" si="29">F45</f>
        <v>78568</v>
      </c>
      <c r="G44" s="22">
        <f t="shared" si="29"/>
        <v>97216</v>
      </c>
      <c r="H44" s="22">
        <f t="shared" si="29"/>
        <v>163552</v>
      </c>
      <c r="I44" s="22">
        <f t="shared" si="29"/>
        <v>20904</v>
      </c>
      <c r="J44" s="22">
        <f t="shared" si="29"/>
        <v>25792</v>
      </c>
      <c r="K44" s="22">
        <f t="shared" si="29"/>
        <v>27218.400000000001</v>
      </c>
      <c r="L44" s="22">
        <f t="shared" si="29"/>
        <v>20616</v>
      </c>
      <c r="M44" s="22">
        <f t="shared" si="29"/>
        <v>37800</v>
      </c>
      <c r="N44" s="22">
        <f t="shared" si="29"/>
        <v>15744</v>
      </c>
      <c r="O44" s="22">
        <f t="shared" si="29"/>
        <v>20480</v>
      </c>
      <c r="P44" s="22">
        <f t="shared" si="29"/>
        <v>14400</v>
      </c>
      <c r="Q44" s="22">
        <f t="shared" si="1"/>
        <v>634370.4</v>
      </c>
    </row>
    <row r="45" spans="1:17" s="2" customFormat="1" ht="15" customHeight="1">
      <c r="A45" s="19" t="s">
        <v>102</v>
      </c>
      <c r="B45" s="25" t="s">
        <v>108</v>
      </c>
      <c r="C45" s="25" t="s">
        <v>16</v>
      </c>
      <c r="D45" s="31" t="s">
        <v>109</v>
      </c>
      <c r="E45" s="22">
        <f>E72*8</f>
        <v>112080</v>
      </c>
      <c r="F45" s="22">
        <f t="shared" ref="F45:P45" si="30">F72*8</f>
        <v>78568</v>
      </c>
      <c r="G45" s="22">
        <f t="shared" si="30"/>
        <v>97216</v>
      </c>
      <c r="H45" s="22">
        <f t="shared" si="30"/>
        <v>163552</v>
      </c>
      <c r="I45" s="22">
        <f t="shared" si="30"/>
        <v>20904</v>
      </c>
      <c r="J45" s="22">
        <f t="shared" si="30"/>
        <v>25792</v>
      </c>
      <c r="K45" s="22">
        <f t="shared" si="30"/>
        <v>27218.400000000001</v>
      </c>
      <c r="L45" s="22">
        <f t="shared" si="30"/>
        <v>20616</v>
      </c>
      <c r="M45" s="22">
        <f t="shared" si="30"/>
        <v>37800</v>
      </c>
      <c r="N45" s="22">
        <f t="shared" si="30"/>
        <v>15744</v>
      </c>
      <c r="O45" s="22">
        <f t="shared" si="30"/>
        <v>20480</v>
      </c>
      <c r="P45" s="22">
        <f t="shared" si="30"/>
        <v>14400</v>
      </c>
      <c r="Q45" s="22">
        <f t="shared" si="1"/>
        <v>634370.4</v>
      </c>
    </row>
    <row r="46" spans="1:17" ht="15" customHeight="1">
      <c r="A46" s="19" t="s">
        <v>105</v>
      </c>
      <c r="B46" s="20" t="s">
        <v>111</v>
      </c>
      <c r="C46" s="20"/>
      <c r="D46" s="21" t="s">
        <v>10</v>
      </c>
      <c r="E46" s="22">
        <f>E47+E48</f>
        <v>475200</v>
      </c>
      <c r="F46" s="22">
        <f t="shared" ref="F46:P46" si="31">F47+F48</f>
        <v>341280</v>
      </c>
      <c r="G46" s="22">
        <f t="shared" si="31"/>
        <v>1399680</v>
      </c>
      <c r="H46" s="22">
        <f t="shared" si="31"/>
        <v>868320</v>
      </c>
      <c r="I46" s="22">
        <f t="shared" si="31"/>
        <v>112320</v>
      </c>
      <c r="J46" s="22">
        <f t="shared" si="31"/>
        <v>120960</v>
      </c>
      <c r="K46" s="22">
        <f t="shared" si="31"/>
        <v>99360</v>
      </c>
      <c r="L46" s="22">
        <f t="shared" si="31"/>
        <v>103680</v>
      </c>
      <c r="M46" s="22">
        <f t="shared" si="31"/>
        <v>211680</v>
      </c>
      <c r="N46" s="22">
        <f t="shared" si="31"/>
        <v>103680</v>
      </c>
      <c r="O46" s="22">
        <f t="shared" si="31"/>
        <v>181440</v>
      </c>
      <c r="P46" s="22">
        <f t="shared" si="31"/>
        <v>90720</v>
      </c>
      <c r="Q46" s="22">
        <f t="shared" si="1"/>
        <v>4108320</v>
      </c>
    </row>
    <row r="47" spans="1:17" s="2" customFormat="1" ht="15" customHeight="1">
      <c r="A47" s="19" t="s">
        <v>107</v>
      </c>
      <c r="B47" s="25" t="s">
        <v>153</v>
      </c>
      <c r="C47" s="25" t="s">
        <v>16</v>
      </c>
      <c r="D47" s="31" t="s">
        <v>113</v>
      </c>
      <c r="E47" s="22">
        <f>E60*4320</f>
        <v>466560</v>
      </c>
      <c r="F47" s="22">
        <f t="shared" ref="F47:P47" si="32">F60*4320</f>
        <v>332640</v>
      </c>
      <c r="G47" s="22">
        <f t="shared" si="32"/>
        <v>635040</v>
      </c>
      <c r="H47" s="22">
        <f t="shared" si="32"/>
        <v>738720</v>
      </c>
      <c r="I47" s="22">
        <f t="shared" si="32"/>
        <v>112320</v>
      </c>
      <c r="J47" s="22">
        <f t="shared" si="32"/>
        <v>120960</v>
      </c>
      <c r="K47" s="22">
        <f t="shared" si="32"/>
        <v>99360</v>
      </c>
      <c r="L47" s="22">
        <f t="shared" si="32"/>
        <v>103680</v>
      </c>
      <c r="M47" s="22">
        <f t="shared" si="32"/>
        <v>211680</v>
      </c>
      <c r="N47" s="22">
        <f t="shared" si="32"/>
        <v>95040</v>
      </c>
      <c r="O47" s="22">
        <f t="shared" si="32"/>
        <v>125280</v>
      </c>
      <c r="P47" s="22">
        <f t="shared" si="32"/>
        <v>43200</v>
      </c>
      <c r="Q47" s="22">
        <f t="shared" si="1"/>
        <v>3084480</v>
      </c>
    </row>
    <row r="48" spans="1:17" s="2" customFormat="1" ht="15" customHeight="1">
      <c r="A48" s="19" t="s">
        <v>110</v>
      </c>
      <c r="B48" s="25" t="s">
        <v>179</v>
      </c>
      <c r="C48" s="25" t="s">
        <v>16</v>
      </c>
      <c r="D48" s="31" t="s">
        <v>154</v>
      </c>
      <c r="E48" s="22">
        <f>E70*4320</f>
        <v>8640</v>
      </c>
      <c r="F48" s="22">
        <f t="shared" ref="F48:P48" si="33">F70*4320</f>
        <v>8640</v>
      </c>
      <c r="G48" s="22">
        <f t="shared" si="33"/>
        <v>764640</v>
      </c>
      <c r="H48" s="22">
        <f t="shared" si="33"/>
        <v>129600</v>
      </c>
      <c r="I48" s="22">
        <f t="shared" si="33"/>
        <v>0</v>
      </c>
      <c r="J48" s="22">
        <f t="shared" si="33"/>
        <v>0</v>
      </c>
      <c r="K48" s="22">
        <f t="shared" si="33"/>
        <v>0</v>
      </c>
      <c r="L48" s="22">
        <f t="shared" si="33"/>
        <v>0</v>
      </c>
      <c r="M48" s="22">
        <f t="shared" si="33"/>
        <v>0</v>
      </c>
      <c r="N48" s="22">
        <f t="shared" si="33"/>
        <v>8640</v>
      </c>
      <c r="O48" s="22">
        <f t="shared" si="33"/>
        <v>56160</v>
      </c>
      <c r="P48" s="22">
        <f t="shared" si="33"/>
        <v>47520</v>
      </c>
      <c r="Q48" s="22">
        <f t="shared" si="1"/>
        <v>1023840</v>
      </c>
    </row>
    <row r="49" spans="1:17" ht="15" customHeight="1">
      <c r="A49" s="19" t="s">
        <v>112</v>
      </c>
      <c r="B49" s="20" t="s">
        <v>116</v>
      </c>
      <c r="C49" s="20"/>
      <c r="D49" s="21" t="s">
        <v>10</v>
      </c>
      <c r="E49" s="22">
        <f>E50</f>
        <v>552610.29</v>
      </c>
      <c r="F49" s="22">
        <f t="shared" ref="F49:P49" si="34">F50</f>
        <v>410996.57</v>
      </c>
      <c r="G49" s="22">
        <f t="shared" si="34"/>
        <v>777061.71</v>
      </c>
      <c r="H49" s="22">
        <f t="shared" si="34"/>
        <v>818149.71</v>
      </c>
      <c r="I49" s="22">
        <f t="shared" si="34"/>
        <v>114531.43</v>
      </c>
      <c r="J49" s="22">
        <f t="shared" si="34"/>
        <v>112642.29</v>
      </c>
      <c r="K49" s="22">
        <f t="shared" si="34"/>
        <v>97340.57</v>
      </c>
      <c r="L49" s="22">
        <f t="shared" si="34"/>
        <v>104478.86</v>
      </c>
      <c r="M49" s="22">
        <f t="shared" si="34"/>
        <v>179300.57</v>
      </c>
      <c r="N49" s="22">
        <f t="shared" si="34"/>
        <v>91272</v>
      </c>
      <c r="O49" s="22">
        <f t="shared" si="34"/>
        <v>128832</v>
      </c>
      <c r="P49" s="22">
        <f t="shared" si="34"/>
        <v>50592</v>
      </c>
      <c r="Q49" s="22">
        <f t="shared" si="1"/>
        <v>3437808</v>
      </c>
    </row>
    <row r="50" spans="1:17" s="2" customFormat="1" ht="15" customHeight="1">
      <c r="A50" s="19" t="s">
        <v>114</v>
      </c>
      <c r="B50" s="25" t="s">
        <v>118</v>
      </c>
      <c r="C50" s="25" t="s">
        <v>16</v>
      </c>
      <c r="D50" s="23" t="s">
        <v>32</v>
      </c>
      <c r="E50" s="22">
        <f>ROUND(E30/0.07*0.02,2)</f>
        <v>552610.29</v>
      </c>
      <c r="F50" s="22">
        <f t="shared" ref="F50:P50" si="35">ROUND(F30/0.07*0.02,2)</f>
        <v>410996.57</v>
      </c>
      <c r="G50" s="22">
        <f t="shared" si="35"/>
        <v>777061.71</v>
      </c>
      <c r="H50" s="22">
        <f t="shared" si="35"/>
        <v>818149.71</v>
      </c>
      <c r="I50" s="22">
        <f t="shared" si="35"/>
        <v>114531.43</v>
      </c>
      <c r="J50" s="22">
        <f t="shared" si="35"/>
        <v>112642.29</v>
      </c>
      <c r="K50" s="22">
        <f t="shared" si="35"/>
        <v>97340.57</v>
      </c>
      <c r="L50" s="22">
        <f t="shared" si="35"/>
        <v>104478.86</v>
      </c>
      <c r="M50" s="22">
        <f t="shared" si="35"/>
        <v>179300.57</v>
      </c>
      <c r="N50" s="22">
        <f t="shared" si="35"/>
        <v>91272</v>
      </c>
      <c r="O50" s="22">
        <f t="shared" si="35"/>
        <v>128832</v>
      </c>
      <c r="P50" s="22">
        <f t="shared" si="35"/>
        <v>50592</v>
      </c>
      <c r="Q50" s="22">
        <f t="shared" si="1"/>
        <v>3437808</v>
      </c>
    </row>
    <row r="51" spans="1:17" ht="15" customHeight="1">
      <c r="A51" s="19" t="s">
        <v>115</v>
      </c>
      <c r="B51" s="20" t="s">
        <v>155</v>
      </c>
      <c r="C51" s="20"/>
      <c r="D51" s="21" t="s">
        <v>10</v>
      </c>
      <c r="E51" s="22">
        <f>E52</f>
        <v>0</v>
      </c>
      <c r="F51" s="22">
        <f t="shared" ref="F51:P51" si="36">F52</f>
        <v>25000</v>
      </c>
      <c r="G51" s="22">
        <f t="shared" si="36"/>
        <v>64000</v>
      </c>
      <c r="H51" s="22">
        <f t="shared" si="36"/>
        <v>0</v>
      </c>
      <c r="I51" s="22">
        <f t="shared" si="36"/>
        <v>0</v>
      </c>
      <c r="J51" s="22">
        <f t="shared" si="36"/>
        <v>0</v>
      </c>
      <c r="K51" s="22">
        <f t="shared" si="36"/>
        <v>0</v>
      </c>
      <c r="L51" s="22">
        <f t="shared" si="36"/>
        <v>0</v>
      </c>
      <c r="M51" s="22">
        <f t="shared" si="36"/>
        <v>0</v>
      </c>
      <c r="N51" s="22">
        <f t="shared" si="36"/>
        <v>0</v>
      </c>
      <c r="O51" s="22">
        <f t="shared" si="36"/>
        <v>0</v>
      </c>
      <c r="P51" s="22">
        <f t="shared" si="36"/>
        <v>0</v>
      </c>
      <c r="Q51" s="22">
        <f t="shared" si="1"/>
        <v>89000</v>
      </c>
    </row>
    <row r="52" spans="1:17" ht="15" customHeight="1">
      <c r="A52" s="19" t="s">
        <v>117</v>
      </c>
      <c r="B52" s="20" t="s">
        <v>121</v>
      </c>
      <c r="C52" s="20" t="s">
        <v>16</v>
      </c>
      <c r="D52" s="30" t="s">
        <v>122</v>
      </c>
      <c r="E52" s="24"/>
      <c r="F52" s="93">
        <f>32000-7000</f>
        <v>25000</v>
      </c>
      <c r="G52" s="24">
        <v>64000</v>
      </c>
      <c r="H52" s="24"/>
      <c r="I52" s="24"/>
      <c r="J52" s="24"/>
      <c r="K52" s="24"/>
      <c r="L52" s="24"/>
      <c r="M52" s="24"/>
      <c r="N52" s="24"/>
      <c r="O52" s="24"/>
      <c r="P52" s="24"/>
      <c r="Q52" s="22">
        <f t="shared" si="1"/>
        <v>89000</v>
      </c>
    </row>
    <row r="53" spans="1:17" ht="15" customHeight="1">
      <c r="A53" s="19" t="s">
        <v>119</v>
      </c>
      <c r="B53" s="20" t="s">
        <v>180</v>
      </c>
      <c r="C53" s="20"/>
      <c r="D53" s="21" t="s">
        <v>10</v>
      </c>
      <c r="E53" s="22">
        <f>E54</f>
        <v>800</v>
      </c>
      <c r="F53" s="22">
        <f t="shared" ref="F53:P53" si="37">F54</f>
        <v>800</v>
      </c>
      <c r="G53" s="22">
        <f t="shared" si="37"/>
        <v>70800</v>
      </c>
      <c r="H53" s="22">
        <f t="shared" si="37"/>
        <v>12000</v>
      </c>
      <c r="I53" s="22">
        <f t="shared" si="37"/>
        <v>0</v>
      </c>
      <c r="J53" s="22">
        <f t="shared" si="37"/>
        <v>0</v>
      </c>
      <c r="K53" s="22">
        <f t="shared" si="37"/>
        <v>0</v>
      </c>
      <c r="L53" s="22">
        <f t="shared" si="37"/>
        <v>0</v>
      </c>
      <c r="M53" s="22">
        <f t="shared" si="37"/>
        <v>0</v>
      </c>
      <c r="N53" s="22">
        <f t="shared" si="37"/>
        <v>800</v>
      </c>
      <c r="O53" s="22">
        <f t="shared" si="37"/>
        <v>5200</v>
      </c>
      <c r="P53" s="22">
        <f t="shared" si="37"/>
        <v>4400</v>
      </c>
      <c r="Q53" s="22">
        <f t="shared" si="1"/>
        <v>94800</v>
      </c>
    </row>
    <row r="54" spans="1:17" s="2" customFormat="1" ht="15" customHeight="1">
      <c r="A54" s="19" t="s">
        <v>120</v>
      </c>
      <c r="B54" s="25" t="s">
        <v>126</v>
      </c>
      <c r="C54" s="25" t="s">
        <v>16</v>
      </c>
      <c r="D54" s="31" t="s">
        <v>127</v>
      </c>
      <c r="E54" s="22">
        <f>E70*400</f>
        <v>800</v>
      </c>
      <c r="F54" s="22">
        <f t="shared" ref="F54:P54" si="38">F70*400</f>
        <v>800</v>
      </c>
      <c r="G54" s="22">
        <f t="shared" si="38"/>
        <v>70800</v>
      </c>
      <c r="H54" s="22">
        <f t="shared" si="38"/>
        <v>12000</v>
      </c>
      <c r="I54" s="22">
        <f t="shared" si="38"/>
        <v>0</v>
      </c>
      <c r="J54" s="22">
        <f t="shared" si="38"/>
        <v>0</v>
      </c>
      <c r="K54" s="22">
        <f t="shared" si="38"/>
        <v>0</v>
      </c>
      <c r="L54" s="22">
        <f t="shared" si="38"/>
        <v>0</v>
      </c>
      <c r="M54" s="22">
        <f t="shared" si="38"/>
        <v>0</v>
      </c>
      <c r="N54" s="22">
        <f t="shared" si="38"/>
        <v>800</v>
      </c>
      <c r="O54" s="22">
        <f t="shared" si="38"/>
        <v>5200</v>
      </c>
      <c r="P54" s="22">
        <f t="shared" si="38"/>
        <v>4400</v>
      </c>
      <c r="Q54" s="22">
        <f t="shared" si="1"/>
        <v>94800</v>
      </c>
    </row>
    <row r="55" spans="1:17" s="2" customFormat="1" ht="15" customHeight="1">
      <c r="A55" s="19" t="s">
        <v>123</v>
      </c>
      <c r="B55" s="20" t="s">
        <v>181</v>
      </c>
      <c r="C55" s="25"/>
      <c r="D55" s="31"/>
      <c r="E55" s="22">
        <f>E56</f>
        <v>12000</v>
      </c>
      <c r="F55" s="22">
        <f t="shared" ref="F55:P55" si="39">F56</f>
        <v>800</v>
      </c>
      <c r="G55" s="22">
        <f t="shared" si="39"/>
        <v>5000</v>
      </c>
      <c r="H55" s="22">
        <f t="shared" si="39"/>
        <v>18000</v>
      </c>
      <c r="I55" s="22">
        <f t="shared" si="39"/>
        <v>4000</v>
      </c>
      <c r="J55" s="22">
        <f t="shared" si="39"/>
        <v>2700</v>
      </c>
      <c r="K55" s="22">
        <f t="shared" si="39"/>
        <v>2000</v>
      </c>
      <c r="L55" s="22">
        <f t="shared" si="39"/>
        <v>4000</v>
      </c>
      <c r="M55" s="22">
        <f t="shared" si="39"/>
        <v>6000</v>
      </c>
      <c r="N55" s="22">
        <f t="shared" si="39"/>
        <v>1500</v>
      </c>
      <c r="O55" s="22">
        <f t="shared" si="39"/>
        <v>2900</v>
      </c>
      <c r="P55" s="22">
        <f t="shared" si="39"/>
        <v>0</v>
      </c>
      <c r="Q55" s="22">
        <f t="shared" si="1"/>
        <v>58900</v>
      </c>
    </row>
    <row r="56" spans="1:17" ht="15" customHeight="1">
      <c r="A56" s="19" t="s">
        <v>124</v>
      </c>
      <c r="B56" s="20" t="s">
        <v>182</v>
      </c>
      <c r="C56" s="20" t="s">
        <v>16</v>
      </c>
      <c r="D56" s="30" t="s">
        <v>129</v>
      </c>
      <c r="E56" s="32">
        <v>12000</v>
      </c>
      <c r="F56" s="32">
        <v>800</v>
      </c>
      <c r="G56" s="32">
        <v>5000</v>
      </c>
      <c r="H56" s="32">
        <v>18000</v>
      </c>
      <c r="I56" s="32">
        <v>4000</v>
      </c>
      <c r="J56" s="32">
        <v>2700</v>
      </c>
      <c r="K56" s="32">
        <v>2000</v>
      </c>
      <c r="L56" s="32">
        <v>4000</v>
      </c>
      <c r="M56" s="32">
        <v>6000</v>
      </c>
      <c r="N56" s="32">
        <v>1500</v>
      </c>
      <c r="O56" s="32">
        <v>2900</v>
      </c>
      <c r="P56" s="32"/>
      <c r="Q56" s="22">
        <f t="shared" si="1"/>
        <v>58900</v>
      </c>
    </row>
    <row r="57" spans="1:17" ht="15" customHeight="1">
      <c r="A57" s="19" t="s">
        <v>125</v>
      </c>
      <c r="B57" s="20" t="s">
        <v>183</v>
      </c>
      <c r="C57" s="20"/>
      <c r="D57" s="21" t="s">
        <v>10</v>
      </c>
      <c r="E57" s="22">
        <f>E58</f>
        <v>32000</v>
      </c>
      <c r="F57" s="22">
        <f t="shared" ref="F57:P57" si="40">F58</f>
        <v>0</v>
      </c>
      <c r="G57" s="22">
        <f t="shared" si="40"/>
        <v>0</v>
      </c>
      <c r="H57" s="22">
        <f t="shared" si="40"/>
        <v>32000</v>
      </c>
      <c r="I57" s="22">
        <f t="shared" si="40"/>
        <v>32000</v>
      </c>
      <c r="J57" s="22">
        <f t="shared" si="40"/>
        <v>32000</v>
      </c>
      <c r="K57" s="22">
        <f t="shared" si="40"/>
        <v>32000</v>
      </c>
      <c r="L57" s="22">
        <f t="shared" si="40"/>
        <v>32000</v>
      </c>
      <c r="M57" s="22">
        <f t="shared" si="40"/>
        <v>32000</v>
      </c>
      <c r="N57" s="22">
        <f t="shared" si="40"/>
        <v>32000</v>
      </c>
      <c r="O57" s="22">
        <f t="shared" si="40"/>
        <v>32000</v>
      </c>
      <c r="P57" s="22">
        <f t="shared" si="40"/>
        <v>32000</v>
      </c>
      <c r="Q57" s="22">
        <f t="shared" si="1"/>
        <v>320000</v>
      </c>
    </row>
    <row r="58" spans="1:17" ht="15" customHeight="1" thickBot="1">
      <c r="A58" s="19" t="s">
        <v>128</v>
      </c>
      <c r="B58" s="3" t="s">
        <v>184</v>
      </c>
      <c r="C58" s="20" t="s">
        <v>16</v>
      </c>
      <c r="D58" s="4" t="s">
        <v>156</v>
      </c>
      <c r="E58" s="5">
        <v>32000</v>
      </c>
      <c r="F58" s="5"/>
      <c r="G58" s="5"/>
      <c r="H58" s="5">
        <v>32000</v>
      </c>
      <c r="I58" s="5">
        <v>32000</v>
      </c>
      <c r="J58" s="5">
        <v>32000</v>
      </c>
      <c r="K58" s="5">
        <v>32000</v>
      </c>
      <c r="L58" s="5">
        <v>32000</v>
      </c>
      <c r="M58" s="5">
        <v>32000</v>
      </c>
      <c r="N58" s="5">
        <v>32000</v>
      </c>
      <c r="O58" s="5">
        <v>32000</v>
      </c>
      <c r="P58" s="5">
        <v>32000</v>
      </c>
      <c r="Q58" s="22">
        <f t="shared" si="1"/>
        <v>320000</v>
      </c>
    </row>
    <row r="59" spans="1:17" ht="15" customHeight="1" thickTop="1">
      <c r="A59" s="19" t="s">
        <v>130</v>
      </c>
      <c r="B59" s="6" t="s">
        <v>133</v>
      </c>
      <c r="C59" s="6"/>
      <c r="D59" s="7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22">
        <f t="shared" si="1"/>
        <v>0</v>
      </c>
    </row>
    <row r="60" spans="1:17" ht="15" customHeight="1">
      <c r="A60" s="19" t="s">
        <v>131</v>
      </c>
      <c r="B60" s="20" t="s">
        <v>135</v>
      </c>
      <c r="C60" s="20"/>
      <c r="D60" s="21" t="s">
        <v>185</v>
      </c>
      <c r="E60" s="22">
        <f>E61+E62+E63+E64</f>
        <v>108</v>
      </c>
      <c r="F60" s="22">
        <f t="shared" ref="F60:P60" si="41">F61+F62+F63+F64</f>
        <v>77</v>
      </c>
      <c r="G60" s="22">
        <f t="shared" si="41"/>
        <v>147</v>
      </c>
      <c r="H60" s="22">
        <f t="shared" si="41"/>
        <v>171</v>
      </c>
      <c r="I60" s="22">
        <f t="shared" si="41"/>
        <v>26</v>
      </c>
      <c r="J60" s="22">
        <f t="shared" si="41"/>
        <v>28</v>
      </c>
      <c r="K60" s="22">
        <f t="shared" si="41"/>
        <v>23</v>
      </c>
      <c r="L60" s="22">
        <f t="shared" si="41"/>
        <v>24</v>
      </c>
      <c r="M60" s="22">
        <f t="shared" si="41"/>
        <v>49</v>
      </c>
      <c r="N60" s="22">
        <f t="shared" si="41"/>
        <v>22</v>
      </c>
      <c r="O60" s="22">
        <f t="shared" si="41"/>
        <v>29</v>
      </c>
      <c r="P60" s="22">
        <f t="shared" si="41"/>
        <v>10</v>
      </c>
      <c r="Q60" s="22">
        <f t="shared" si="1"/>
        <v>714</v>
      </c>
    </row>
    <row r="61" spans="1:17" ht="15" customHeight="1">
      <c r="A61" s="19" t="s">
        <v>132</v>
      </c>
      <c r="B61" s="33" t="s">
        <v>137</v>
      </c>
      <c r="C61" s="33"/>
      <c r="D61" s="27"/>
      <c r="E61" s="28">
        <v>40</v>
      </c>
      <c r="F61" s="28">
        <v>77</v>
      </c>
      <c r="G61" s="28">
        <v>74</v>
      </c>
      <c r="H61" s="28"/>
      <c r="I61" s="28"/>
      <c r="J61" s="28"/>
      <c r="K61" s="28"/>
      <c r="L61" s="28"/>
      <c r="M61" s="28"/>
      <c r="N61" s="28"/>
      <c r="O61" s="28"/>
      <c r="P61" s="28"/>
      <c r="Q61" s="22">
        <f t="shared" si="1"/>
        <v>191</v>
      </c>
    </row>
    <row r="62" spans="1:17" ht="15" customHeight="1">
      <c r="A62" s="19" t="s">
        <v>134</v>
      </c>
      <c r="B62" s="33" t="s">
        <v>139</v>
      </c>
      <c r="C62" s="33"/>
      <c r="D62" s="21"/>
      <c r="E62" s="24">
        <v>68</v>
      </c>
      <c r="F62" s="24"/>
      <c r="G62" s="24">
        <v>73</v>
      </c>
      <c r="H62" s="24">
        <v>171</v>
      </c>
      <c r="I62" s="24"/>
      <c r="J62" s="24"/>
      <c r="K62" s="24"/>
      <c r="L62" s="24"/>
      <c r="M62" s="24"/>
      <c r="N62" s="24"/>
      <c r="O62" s="24"/>
      <c r="P62" s="24"/>
      <c r="Q62" s="22">
        <f t="shared" si="1"/>
        <v>312</v>
      </c>
    </row>
    <row r="63" spans="1:17" ht="15" customHeight="1">
      <c r="A63" s="19" t="s">
        <v>136</v>
      </c>
      <c r="B63" s="33" t="s">
        <v>141</v>
      </c>
      <c r="C63" s="33"/>
      <c r="D63" s="27"/>
      <c r="E63" s="28"/>
      <c r="F63" s="28"/>
      <c r="G63" s="28"/>
      <c r="H63" s="28"/>
      <c r="I63" s="28">
        <v>26</v>
      </c>
      <c r="J63" s="28">
        <v>28</v>
      </c>
      <c r="K63" s="28">
        <v>23</v>
      </c>
      <c r="L63" s="28">
        <v>24</v>
      </c>
      <c r="M63" s="28">
        <v>49</v>
      </c>
      <c r="N63" s="28">
        <v>22</v>
      </c>
      <c r="O63" s="28">
        <v>29</v>
      </c>
      <c r="P63" s="28"/>
      <c r="Q63" s="22">
        <f t="shared" si="1"/>
        <v>201</v>
      </c>
    </row>
    <row r="64" spans="1:17" ht="15" customHeight="1">
      <c r="A64" s="19" t="s">
        <v>138</v>
      </c>
      <c r="B64" s="33" t="s">
        <v>143</v>
      </c>
      <c r="C64" s="33"/>
      <c r="D64" s="27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>
        <v>10</v>
      </c>
      <c r="Q64" s="22">
        <f t="shared" si="1"/>
        <v>10</v>
      </c>
    </row>
    <row r="65" spans="1:17" ht="15" customHeight="1">
      <c r="A65" s="19" t="s">
        <v>140</v>
      </c>
      <c r="B65" s="20" t="s">
        <v>145</v>
      </c>
      <c r="C65" s="20"/>
      <c r="D65" s="21" t="s">
        <v>186</v>
      </c>
      <c r="E65" s="22">
        <f>E66+E67+E68+E69</f>
        <v>1918</v>
      </c>
      <c r="F65" s="22">
        <f t="shared" ref="F65:P65" si="42">F66+F67+F68+F69</f>
        <v>1307</v>
      </c>
      <c r="G65" s="22">
        <f t="shared" si="42"/>
        <v>1750</v>
      </c>
      <c r="H65" s="22">
        <f t="shared" si="42"/>
        <v>2532</v>
      </c>
      <c r="I65" s="22">
        <f t="shared" si="42"/>
        <v>279</v>
      </c>
      <c r="J65" s="22">
        <f t="shared" si="42"/>
        <v>461</v>
      </c>
      <c r="K65" s="22">
        <f t="shared" si="42"/>
        <v>248</v>
      </c>
      <c r="L65" s="22">
        <f t="shared" si="42"/>
        <v>418</v>
      </c>
      <c r="M65" s="22">
        <f t="shared" si="42"/>
        <v>562</v>
      </c>
      <c r="N65" s="22">
        <f t="shared" si="42"/>
        <v>225</v>
      </c>
      <c r="O65" s="22">
        <f t="shared" si="42"/>
        <v>255</v>
      </c>
      <c r="P65" s="22">
        <f t="shared" si="42"/>
        <v>0</v>
      </c>
      <c r="Q65" s="22">
        <f t="shared" si="1"/>
        <v>9955</v>
      </c>
    </row>
    <row r="66" spans="1:17" ht="15" customHeight="1">
      <c r="A66" s="19" t="s">
        <v>142</v>
      </c>
      <c r="B66" s="33" t="s">
        <v>137</v>
      </c>
      <c r="C66" s="33"/>
      <c r="D66" s="27"/>
      <c r="E66" s="28">
        <v>727</v>
      </c>
      <c r="F66" s="28">
        <v>1307</v>
      </c>
      <c r="G66" s="28">
        <v>859</v>
      </c>
      <c r="H66" s="28"/>
      <c r="I66" s="28"/>
      <c r="J66" s="28"/>
      <c r="K66" s="28"/>
      <c r="L66" s="28"/>
      <c r="M66" s="28"/>
      <c r="N66" s="28"/>
      <c r="O66" s="28"/>
      <c r="P66" s="28"/>
      <c r="Q66" s="22">
        <f t="shared" si="1"/>
        <v>2893</v>
      </c>
    </row>
    <row r="67" spans="1:17" ht="15" customHeight="1">
      <c r="A67" s="19" t="s">
        <v>144</v>
      </c>
      <c r="B67" s="33" t="s">
        <v>139</v>
      </c>
      <c r="C67" s="33"/>
      <c r="D67" s="21"/>
      <c r="E67" s="24">
        <v>1191</v>
      </c>
      <c r="F67" s="24"/>
      <c r="G67" s="24">
        <v>891</v>
      </c>
      <c r="H67" s="24">
        <v>2532</v>
      </c>
      <c r="I67" s="24"/>
      <c r="J67" s="24"/>
      <c r="K67" s="24"/>
      <c r="L67" s="24"/>
      <c r="M67" s="24"/>
      <c r="N67" s="24"/>
      <c r="O67" s="24"/>
      <c r="P67" s="24"/>
      <c r="Q67" s="22">
        <f t="shared" si="1"/>
        <v>4614</v>
      </c>
    </row>
    <row r="68" spans="1:17" ht="15" customHeight="1">
      <c r="A68" s="19" t="s">
        <v>146</v>
      </c>
      <c r="B68" s="33" t="s">
        <v>141</v>
      </c>
      <c r="C68" s="33"/>
      <c r="D68" s="27"/>
      <c r="E68" s="28"/>
      <c r="F68" s="28"/>
      <c r="G68" s="28"/>
      <c r="H68" s="28"/>
      <c r="I68" s="28">
        <v>279</v>
      </c>
      <c r="J68" s="28">
        <v>461</v>
      </c>
      <c r="K68" s="28">
        <v>248</v>
      </c>
      <c r="L68" s="28">
        <v>418</v>
      </c>
      <c r="M68" s="28">
        <v>562</v>
      </c>
      <c r="N68" s="28">
        <v>225</v>
      </c>
      <c r="O68" s="28">
        <v>255</v>
      </c>
      <c r="P68" s="28"/>
      <c r="Q68" s="22">
        <f t="shared" ref="Q68:Q72" si="43">SUM(E68:P68)</f>
        <v>2448</v>
      </c>
    </row>
    <row r="69" spans="1:17" ht="15" customHeight="1">
      <c r="A69" s="19" t="s">
        <v>147</v>
      </c>
      <c r="B69" s="33" t="s">
        <v>143</v>
      </c>
      <c r="C69" s="33"/>
      <c r="D69" s="27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2">
        <f t="shared" si="43"/>
        <v>0</v>
      </c>
    </row>
    <row r="70" spans="1:17" ht="15" customHeight="1">
      <c r="A70" s="19" t="s">
        <v>148</v>
      </c>
      <c r="B70" s="20" t="s">
        <v>157</v>
      </c>
      <c r="C70" s="20"/>
      <c r="D70" s="21"/>
      <c r="E70" s="24">
        <v>2</v>
      </c>
      <c r="F70" s="24">
        <v>2</v>
      </c>
      <c r="G70" s="24">
        <v>177</v>
      </c>
      <c r="H70" s="24">
        <v>30</v>
      </c>
      <c r="I70" s="24"/>
      <c r="J70" s="24"/>
      <c r="K70" s="24"/>
      <c r="L70" s="24"/>
      <c r="M70" s="24"/>
      <c r="N70" s="24">
        <v>2</v>
      </c>
      <c r="O70" s="24">
        <v>13</v>
      </c>
      <c r="P70" s="24">
        <v>11</v>
      </c>
      <c r="Q70" s="22">
        <f t="shared" si="43"/>
        <v>237</v>
      </c>
    </row>
    <row r="71" spans="1:17" ht="15" customHeight="1">
      <c r="A71" s="19" t="s">
        <v>149</v>
      </c>
      <c r="B71" s="33" t="s">
        <v>151</v>
      </c>
      <c r="C71" s="33"/>
      <c r="D71" s="30"/>
      <c r="E71" s="24">
        <v>20058.12</v>
      </c>
      <c r="F71" s="24">
        <v>18593.849999999999</v>
      </c>
      <c r="G71" s="24">
        <v>19818.8</v>
      </c>
      <c r="H71" s="24">
        <v>38088</v>
      </c>
      <c r="I71" s="24">
        <v>5679</v>
      </c>
      <c r="J71" s="24">
        <v>7350</v>
      </c>
      <c r="K71" s="24">
        <v>7345.42</v>
      </c>
      <c r="L71" s="24">
        <v>6138.83</v>
      </c>
      <c r="M71" s="24">
        <v>11569</v>
      </c>
      <c r="N71" s="24">
        <v>4956.18</v>
      </c>
      <c r="O71" s="24">
        <v>4747</v>
      </c>
      <c r="P71" s="24">
        <v>1355</v>
      </c>
      <c r="Q71" s="22">
        <f t="shared" si="43"/>
        <v>145699.20000000001</v>
      </c>
    </row>
    <row r="72" spans="1:17" ht="15" customHeight="1">
      <c r="A72" s="19" t="s">
        <v>150</v>
      </c>
      <c r="B72" s="33" t="s">
        <v>152</v>
      </c>
      <c r="C72" s="33"/>
      <c r="D72" s="30"/>
      <c r="E72" s="24">
        <v>14010</v>
      </c>
      <c r="F72" s="24">
        <v>9821</v>
      </c>
      <c r="G72" s="24">
        <v>12152</v>
      </c>
      <c r="H72" s="24">
        <v>20444</v>
      </c>
      <c r="I72" s="24">
        <v>2613</v>
      </c>
      <c r="J72" s="24">
        <v>3224</v>
      </c>
      <c r="K72" s="24">
        <v>3402.3</v>
      </c>
      <c r="L72" s="24">
        <v>2577</v>
      </c>
      <c r="M72" s="24">
        <v>4725</v>
      </c>
      <c r="N72" s="24">
        <v>1968</v>
      </c>
      <c r="O72" s="24">
        <v>2560</v>
      </c>
      <c r="P72" s="24">
        <v>1800</v>
      </c>
      <c r="Q72" s="22">
        <f t="shared" si="43"/>
        <v>79296.3</v>
      </c>
    </row>
    <row r="73" spans="1:17">
      <c r="E73" s="1">
        <f t="shared" ref="E73:Q73" si="44">E5/E60</f>
        <v>373768.47629629634</v>
      </c>
      <c r="F73" s="1">
        <f t="shared" si="44"/>
        <v>377088.32272727275</v>
      </c>
      <c r="G73" s="1">
        <f t="shared" si="44"/>
        <v>396013.24190476193</v>
      </c>
      <c r="H73" s="1">
        <f t="shared" si="44"/>
        <v>358327.10269005847</v>
      </c>
      <c r="I73" s="1">
        <f t="shared" si="44"/>
        <v>320342.3519230769</v>
      </c>
      <c r="J73" s="1">
        <f t="shared" si="44"/>
        <v>306562.98</v>
      </c>
      <c r="K73" s="1">
        <f t="shared" si="44"/>
        <v>313342.03695652174</v>
      </c>
      <c r="L73" s="1">
        <f t="shared" si="44"/>
        <v>317798.42875000002</v>
      </c>
      <c r="M73" s="1">
        <f t="shared" si="44"/>
        <v>301243.32346938772</v>
      </c>
      <c r="N73" s="1">
        <f t="shared" si="44"/>
        <v>315858.18181818182</v>
      </c>
      <c r="O73" s="1">
        <f t="shared" si="44"/>
        <v>332207.86206896551</v>
      </c>
      <c r="P73" s="1">
        <f t="shared" si="44"/>
        <v>375796</v>
      </c>
      <c r="Q73" s="1">
        <f t="shared" si="44"/>
        <v>358178.09802521009</v>
      </c>
    </row>
    <row r="74" spans="1:17">
      <c r="E74" s="1">
        <f t="shared" ref="E74:Q74" si="45">E34/E70</f>
        <v>16140</v>
      </c>
      <c r="F74" s="1">
        <f t="shared" si="45"/>
        <v>17640</v>
      </c>
      <c r="G74" s="1">
        <f t="shared" si="45"/>
        <v>18021.497175141241</v>
      </c>
      <c r="H74" s="1">
        <f t="shared" si="45"/>
        <v>17314</v>
      </c>
      <c r="I74" s="1" t="e">
        <f t="shared" si="45"/>
        <v>#DIV/0!</v>
      </c>
      <c r="J74" s="1" t="e">
        <f t="shared" si="45"/>
        <v>#DIV/0!</v>
      </c>
      <c r="K74" s="1" t="e">
        <f t="shared" si="45"/>
        <v>#DIV/0!</v>
      </c>
      <c r="L74" s="1" t="e">
        <f t="shared" si="45"/>
        <v>#DIV/0!</v>
      </c>
      <c r="M74" s="1" t="e">
        <f t="shared" si="45"/>
        <v>#DIV/0!</v>
      </c>
      <c r="N74" s="1">
        <f t="shared" si="45"/>
        <v>17370</v>
      </c>
      <c r="O74" s="1">
        <f t="shared" si="45"/>
        <v>18530.76923076923</v>
      </c>
      <c r="P74" s="1">
        <f t="shared" si="45"/>
        <v>18280</v>
      </c>
      <c r="Q74" s="1">
        <f t="shared" si="45"/>
        <v>17947.278481012658</v>
      </c>
    </row>
  </sheetData>
  <protectedRanges>
    <protectedRange password="E9C1" sqref="D30 C31 B5:D29 Q5:Q72 A4:Q4 B32:D72 A5:A72 Q3 A3:D3 A2:Q2" name="区域1_1"/>
    <protectedRange password="E9C1" sqref="B30:C30 B31" name="区域1_1_1"/>
    <protectedRange password="E9C1" sqref="D31" name="区域1_2"/>
  </protectedRanges>
  <mergeCells count="6">
    <mergeCell ref="A1:Q1"/>
    <mergeCell ref="A2:A3"/>
    <mergeCell ref="B2:B3"/>
    <mergeCell ref="C2:C3"/>
    <mergeCell ref="D2:D3"/>
    <mergeCell ref="Q2:Q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6"/>
  <sheetViews>
    <sheetView topLeftCell="B1" workbookViewId="0">
      <selection activeCell="F52" sqref="F52"/>
    </sheetView>
  </sheetViews>
  <sheetFormatPr defaultRowHeight="13.5"/>
  <cols>
    <col min="1" max="1" width="0" style="94" hidden="1" customWidth="1"/>
    <col min="2" max="2" width="25.625" style="94" customWidth="1"/>
    <col min="3" max="3" width="6.5" style="94" hidden="1" customWidth="1"/>
    <col min="4" max="5" width="0" style="94" hidden="1" customWidth="1"/>
    <col min="6" max="7" width="12.625" style="94" customWidth="1"/>
    <col min="8" max="8" width="14.125" style="94" customWidth="1"/>
    <col min="9" max="17" width="12.625" style="94" customWidth="1"/>
    <col min="18" max="16384" width="9" style="94"/>
  </cols>
  <sheetData>
    <row r="1" spans="1:17" ht="20.25">
      <c r="A1" s="140" t="s">
        <v>296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</row>
    <row r="2" spans="1:17">
      <c r="A2" s="142" t="s">
        <v>219</v>
      </c>
      <c r="B2" s="144" t="s">
        <v>297</v>
      </c>
      <c r="C2" s="144" t="s">
        <v>3</v>
      </c>
      <c r="D2" s="142" t="s">
        <v>298</v>
      </c>
      <c r="E2" s="145" t="s">
        <v>299</v>
      </c>
      <c r="F2" s="146" t="s">
        <v>300</v>
      </c>
      <c r="G2" s="147"/>
      <c r="H2" s="147"/>
      <c r="I2" s="147"/>
      <c r="J2" s="146" t="s">
        <v>301</v>
      </c>
      <c r="K2" s="147"/>
      <c r="L2" s="147"/>
      <c r="M2" s="147"/>
      <c r="N2" s="146" t="s">
        <v>302</v>
      </c>
      <c r="O2" s="147"/>
      <c r="P2" s="147"/>
      <c r="Q2" s="147"/>
    </row>
    <row r="3" spans="1:17" ht="22.5">
      <c r="A3" s="143"/>
      <c r="B3" s="143"/>
      <c r="C3" s="143"/>
      <c r="D3" s="143"/>
      <c r="E3" s="143"/>
      <c r="F3" s="95" t="s">
        <v>303</v>
      </c>
      <c r="G3" s="96" t="s">
        <v>304</v>
      </c>
      <c r="H3" s="97" t="s">
        <v>324</v>
      </c>
      <c r="I3" s="97" t="s">
        <v>305</v>
      </c>
      <c r="J3" s="95" t="s">
        <v>303</v>
      </c>
      <c r="K3" s="96" t="s">
        <v>304</v>
      </c>
      <c r="L3" s="97" t="s">
        <v>306</v>
      </c>
      <c r="M3" s="97" t="s">
        <v>305</v>
      </c>
      <c r="N3" s="95" t="s">
        <v>303</v>
      </c>
      <c r="O3" s="96" t="s">
        <v>304</v>
      </c>
      <c r="P3" s="97" t="s">
        <v>324</v>
      </c>
      <c r="Q3" s="97" t="s">
        <v>305</v>
      </c>
    </row>
    <row r="4" spans="1:17" s="99" customFormat="1" ht="20.100000000000001" customHeight="1">
      <c r="A4" s="100" t="s">
        <v>2</v>
      </c>
      <c r="B4" s="49" t="s">
        <v>314</v>
      </c>
      <c r="C4" s="49">
        <v>1</v>
      </c>
      <c r="D4" s="49" t="s">
        <v>307</v>
      </c>
      <c r="E4" s="49" t="s">
        <v>313</v>
      </c>
      <c r="F4" s="47">
        <v>15404722</v>
      </c>
      <c r="G4" s="47">
        <v>284192</v>
      </c>
      <c r="H4" s="65">
        <v>1439824.5</v>
      </c>
      <c r="I4" s="65">
        <f t="shared" ref="I4:I15" si="0">F4+H4</f>
        <v>16844546.5</v>
      </c>
      <c r="J4" s="98">
        <v>15285635</v>
      </c>
      <c r="K4" s="98">
        <v>260192</v>
      </c>
      <c r="L4" s="98">
        <v>1620100.5</v>
      </c>
      <c r="M4" s="98">
        <f t="shared" ref="M4:M15" si="1">J4+L4</f>
        <v>16905735.5</v>
      </c>
      <c r="N4" s="98">
        <f t="shared" ref="N4:Q15" si="2">F4-J4</f>
        <v>119087</v>
      </c>
      <c r="O4" s="98">
        <f t="shared" si="2"/>
        <v>24000</v>
      </c>
      <c r="P4" s="98">
        <f t="shared" si="2"/>
        <v>-180276</v>
      </c>
      <c r="Q4" s="98">
        <f t="shared" si="2"/>
        <v>-61189</v>
      </c>
    </row>
    <row r="5" spans="1:17" s="99" customFormat="1" ht="20.100000000000001" customHeight="1">
      <c r="A5" s="100" t="s">
        <v>2</v>
      </c>
      <c r="B5" s="49" t="s">
        <v>315</v>
      </c>
      <c r="C5" s="49">
        <v>2</v>
      </c>
      <c r="D5" s="49" t="s">
        <v>307</v>
      </c>
      <c r="E5" s="49" t="s">
        <v>308</v>
      </c>
      <c r="F5" s="47">
        <v>29679558</v>
      </c>
      <c r="G5" s="47">
        <v>601620</v>
      </c>
      <c r="H5" s="65">
        <v>1622574</v>
      </c>
      <c r="I5" s="65">
        <f t="shared" si="0"/>
        <v>31302132</v>
      </c>
      <c r="J5" s="98">
        <v>30275419</v>
      </c>
      <c r="K5" s="98">
        <v>552960</v>
      </c>
      <c r="L5" s="98">
        <v>1846255</v>
      </c>
      <c r="M5" s="98">
        <f t="shared" si="1"/>
        <v>32121674</v>
      </c>
      <c r="N5" s="98">
        <f t="shared" si="2"/>
        <v>-595861</v>
      </c>
      <c r="O5" s="98">
        <f t="shared" si="2"/>
        <v>48660</v>
      </c>
      <c r="P5" s="98">
        <f t="shared" si="2"/>
        <v>-223681</v>
      </c>
      <c r="Q5" s="98">
        <f t="shared" si="2"/>
        <v>-819542</v>
      </c>
    </row>
    <row r="6" spans="1:17" s="99" customFormat="1" ht="20.100000000000001" customHeight="1">
      <c r="A6" s="100" t="s">
        <v>2</v>
      </c>
      <c r="B6" s="49" t="s">
        <v>161</v>
      </c>
      <c r="C6" s="49">
        <v>3</v>
      </c>
      <c r="D6" s="49" t="s">
        <v>307</v>
      </c>
      <c r="E6" s="49" t="s">
        <v>308</v>
      </c>
      <c r="F6" s="47">
        <v>20751323</v>
      </c>
      <c r="G6" s="47">
        <v>289880</v>
      </c>
      <c r="H6" s="65">
        <v>1807998.5</v>
      </c>
      <c r="I6" s="65">
        <f t="shared" si="0"/>
        <v>22559321.5</v>
      </c>
      <c r="J6" s="98">
        <v>20709570</v>
      </c>
      <c r="K6" s="98">
        <v>265880</v>
      </c>
      <c r="L6" s="98">
        <v>1965797.25</v>
      </c>
      <c r="M6" s="98">
        <f t="shared" si="1"/>
        <v>22675367.25</v>
      </c>
      <c r="N6" s="98">
        <f t="shared" si="2"/>
        <v>41753</v>
      </c>
      <c r="O6" s="98">
        <f t="shared" si="2"/>
        <v>24000</v>
      </c>
      <c r="P6" s="98">
        <f t="shared" si="2"/>
        <v>-157798.75</v>
      </c>
      <c r="Q6" s="98">
        <f t="shared" si="2"/>
        <v>-116045.75</v>
      </c>
    </row>
    <row r="7" spans="1:17" s="99" customFormat="1" ht="20.100000000000001" customHeight="1">
      <c r="A7" s="100" t="s">
        <v>2</v>
      </c>
      <c r="B7" s="49" t="s">
        <v>316</v>
      </c>
      <c r="C7" s="49">
        <v>4</v>
      </c>
      <c r="D7" s="49" t="s">
        <v>307</v>
      </c>
      <c r="E7" s="49" t="s">
        <v>312</v>
      </c>
      <c r="F7" s="47">
        <v>32055253</v>
      </c>
      <c r="G7" s="47">
        <v>719170</v>
      </c>
      <c r="H7" s="65">
        <v>1553226.75</v>
      </c>
      <c r="I7" s="65">
        <f t="shared" si="0"/>
        <v>33608479.75</v>
      </c>
      <c r="J7" s="98">
        <v>32001557</v>
      </c>
      <c r="K7" s="98">
        <v>668544</v>
      </c>
      <c r="L7" s="98">
        <v>1723273</v>
      </c>
      <c r="M7" s="98">
        <f t="shared" si="1"/>
        <v>33724830</v>
      </c>
      <c r="N7" s="98">
        <f t="shared" si="2"/>
        <v>53696</v>
      </c>
      <c r="O7" s="98">
        <f t="shared" si="2"/>
        <v>50626</v>
      </c>
      <c r="P7" s="98">
        <f t="shared" si="2"/>
        <v>-170046.25</v>
      </c>
      <c r="Q7" s="98">
        <f t="shared" si="2"/>
        <v>-116350.25</v>
      </c>
    </row>
    <row r="8" spans="1:17" s="99" customFormat="1" ht="20.100000000000001" customHeight="1">
      <c r="A8" s="100" t="s">
        <v>2</v>
      </c>
      <c r="B8" s="49" t="s">
        <v>255</v>
      </c>
      <c r="C8" s="49">
        <v>5</v>
      </c>
      <c r="D8" s="49" t="s">
        <v>309</v>
      </c>
      <c r="E8" s="49" t="s">
        <v>310</v>
      </c>
      <c r="F8" s="47">
        <v>1714656</v>
      </c>
      <c r="G8" s="47">
        <v>0</v>
      </c>
      <c r="H8" s="65"/>
      <c r="I8" s="65">
        <f t="shared" si="0"/>
        <v>1714656</v>
      </c>
      <c r="J8" s="98">
        <v>1786734</v>
      </c>
      <c r="K8" s="98"/>
      <c r="L8" s="98"/>
      <c r="M8" s="98">
        <f t="shared" si="1"/>
        <v>1786734</v>
      </c>
      <c r="N8" s="98">
        <f t="shared" si="2"/>
        <v>-72078</v>
      </c>
      <c r="O8" s="98">
        <f t="shared" si="2"/>
        <v>0</v>
      </c>
      <c r="P8" s="98">
        <f t="shared" si="2"/>
        <v>0</v>
      </c>
      <c r="Q8" s="98">
        <f t="shared" si="2"/>
        <v>-72078</v>
      </c>
    </row>
    <row r="9" spans="1:17" s="99" customFormat="1" ht="20.100000000000001" customHeight="1">
      <c r="A9" s="100" t="s">
        <v>2</v>
      </c>
      <c r="B9" s="49" t="s">
        <v>192</v>
      </c>
      <c r="C9" s="49">
        <v>6</v>
      </c>
      <c r="D9" s="49" t="s">
        <v>309</v>
      </c>
      <c r="E9" s="49" t="s">
        <v>311</v>
      </c>
      <c r="F9" s="47">
        <v>4954356</v>
      </c>
      <c r="G9" s="47">
        <v>235916</v>
      </c>
      <c r="H9" s="65"/>
      <c r="I9" s="65">
        <f t="shared" si="0"/>
        <v>4954356</v>
      </c>
      <c r="J9" s="98">
        <v>4880816</v>
      </c>
      <c r="K9" s="98">
        <v>211916</v>
      </c>
      <c r="L9" s="98">
        <v>0</v>
      </c>
      <c r="M9" s="98">
        <f t="shared" si="1"/>
        <v>4880816</v>
      </c>
      <c r="N9" s="98">
        <f t="shared" si="2"/>
        <v>73540</v>
      </c>
      <c r="O9" s="98">
        <f t="shared" si="2"/>
        <v>24000</v>
      </c>
      <c r="P9" s="98">
        <f t="shared" si="2"/>
        <v>0</v>
      </c>
      <c r="Q9" s="98">
        <f t="shared" si="2"/>
        <v>73540</v>
      </c>
    </row>
    <row r="10" spans="1:17" s="99" customFormat="1" ht="20.100000000000001" customHeight="1">
      <c r="A10" s="100" t="s">
        <v>2</v>
      </c>
      <c r="B10" s="49" t="s">
        <v>317</v>
      </c>
      <c r="C10" s="49">
        <v>7</v>
      </c>
      <c r="D10" s="49" t="s">
        <v>309</v>
      </c>
      <c r="E10" s="49" t="s">
        <v>311</v>
      </c>
      <c r="F10" s="47">
        <v>3713510</v>
      </c>
      <c r="G10" s="47">
        <v>234356</v>
      </c>
      <c r="H10" s="65"/>
      <c r="I10" s="65">
        <f t="shared" si="0"/>
        <v>3713510</v>
      </c>
      <c r="J10" s="98">
        <v>3618536</v>
      </c>
      <c r="K10" s="98">
        <v>210356</v>
      </c>
      <c r="L10" s="98">
        <v>0</v>
      </c>
      <c r="M10" s="98">
        <f t="shared" si="1"/>
        <v>3618536</v>
      </c>
      <c r="N10" s="98">
        <f t="shared" si="2"/>
        <v>94974</v>
      </c>
      <c r="O10" s="98">
        <f t="shared" si="2"/>
        <v>24000</v>
      </c>
      <c r="P10" s="98">
        <f t="shared" si="2"/>
        <v>0</v>
      </c>
      <c r="Q10" s="98">
        <f t="shared" si="2"/>
        <v>94974</v>
      </c>
    </row>
    <row r="11" spans="1:17" s="99" customFormat="1" ht="20.100000000000001" customHeight="1">
      <c r="A11" s="100" t="s">
        <v>2</v>
      </c>
      <c r="B11" s="49" t="s">
        <v>318</v>
      </c>
      <c r="C11" s="49">
        <v>8</v>
      </c>
      <c r="D11" s="49" t="s">
        <v>309</v>
      </c>
      <c r="E11" s="49" t="s">
        <v>311</v>
      </c>
      <c r="F11" s="47">
        <v>4562666</v>
      </c>
      <c r="G11" s="47">
        <v>239066</v>
      </c>
      <c r="H11" s="65"/>
      <c r="I11" s="65">
        <f t="shared" si="0"/>
        <v>4562666</v>
      </c>
      <c r="J11" s="98">
        <v>4375904</v>
      </c>
      <c r="K11" s="98">
        <v>221066</v>
      </c>
      <c r="L11" s="98">
        <v>0</v>
      </c>
      <c r="M11" s="98">
        <f t="shared" si="1"/>
        <v>4375904</v>
      </c>
      <c r="N11" s="98">
        <f t="shared" si="2"/>
        <v>186762</v>
      </c>
      <c r="O11" s="98">
        <f t="shared" si="2"/>
        <v>18000</v>
      </c>
      <c r="P11" s="98">
        <f t="shared" si="2"/>
        <v>0</v>
      </c>
      <c r="Q11" s="98">
        <f t="shared" si="2"/>
        <v>186762</v>
      </c>
    </row>
    <row r="12" spans="1:17" s="99" customFormat="1" ht="20.100000000000001" customHeight="1">
      <c r="A12" s="100" t="s">
        <v>2</v>
      </c>
      <c r="B12" s="49" t="s">
        <v>319</v>
      </c>
      <c r="C12" s="49">
        <v>9</v>
      </c>
      <c r="D12" s="49" t="s">
        <v>309</v>
      </c>
      <c r="E12" s="49" t="s">
        <v>311</v>
      </c>
      <c r="F12" s="47">
        <v>8530465</v>
      </c>
      <c r="G12" s="47">
        <v>257024</v>
      </c>
      <c r="H12" s="65"/>
      <c r="I12" s="65">
        <f t="shared" si="0"/>
        <v>8530465</v>
      </c>
      <c r="J12" s="98">
        <v>8331048</v>
      </c>
      <c r="K12" s="98">
        <v>233024</v>
      </c>
      <c r="L12" s="98">
        <v>0</v>
      </c>
      <c r="M12" s="98">
        <f t="shared" si="1"/>
        <v>8331048</v>
      </c>
      <c r="N12" s="98">
        <f t="shared" si="2"/>
        <v>199417</v>
      </c>
      <c r="O12" s="98">
        <f t="shared" si="2"/>
        <v>24000</v>
      </c>
      <c r="P12" s="98">
        <f t="shared" si="2"/>
        <v>0</v>
      </c>
      <c r="Q12" s="98">
        <f t="shared" si="2"/>
        <v>199417</v>
      </c>
    </row>
    <row r="13" spans="1:17" s="99" customFormat="1" ht="20.100000000000001" customHeight="1">
      <c r="A13" s="100" t="s">
        <v>2</v>
      </c>
      <c r="B13" s="49" t="s">
        <v>320</v>
      </c>
      <c r="C13" s="49">
        <v>10</v>
      </c>
      <c r="D13" s="49" t="s">
        <v>309</v>
      </c>
      <c r="E13" s="49" t="s">
        <v>311</v>
      </c>
      <c r="F13" s="47">
        <v>4169033</v>
      </c>
      <c r="G13" s="47">
        <v>252676</v>
      </c>
      <c r="H13" s="65"/>
      <c r="I13" s="65">
        <f t="shared" si="0"/>
        <v>4169033</v>
      </c>
      <c r="J13" s="98">
        <v>4123448</v>
      </c>
      <c r="K13" s="98">
        <v>228676</v>
      </c>
      <c r="L13" s="98">
        <v>0</v>
      </c>
      <c r="M13" s="98">
        <f t="shared" si="1"/>
        <v>4123448</v>
      </c>
      <c r="N13" s="98">
        <f t="shared" si="2"/>
        <v>45585</v>
      </c>
      <c r="O13" s="98">
        <f t="shared" si="2"/>
        <v>24000</v>
      </c>
      <c r="P13" s="98">
        <f t="shared" si="2"/>
        <v>0</v>
      </c>
      <c r="Q13" s="98">
        <f t="shared" si="2"/>
        <v>45585</v>
      </c>
    </row>
    <row r="14" spans="1:17" s="99" customFormat="1" ht="20.100000000000001" customHeight="1">
      <c r="A14" s="100" t="s">
        <v>2</v>
      </c>
      <c r="B14" s="95" t="s">
        <v>321</v>
      </c>
      <c r="C14" s="49">
        <v>11</v>
      </c>
      <c r="D14" s="49" t="s">
        <v>309</v>
      </c>
      <c r="E14" s="49" t="s">
        <v>311</v>
      </c>
      <c r="F14" s="47">
        <v>3949391</v>
      </c>
      <c r="G14" s="47">
        <v>236106</v>
      </c>
      <c r="H14" s="65"/>
      <c r="I14" s="65">
        <f t="shared" si="0"/>
        <v>3949391</v>
      </c>
      <c r="J14" s="98">
        <v>3870992</v>
      </c>
      <c r="K14" s="98">
        <v>212106</v>
      </c>
      <c r="L14" s="98">
        <v>0</v>
      </c>
      <c r="M14" s="98">
        <f t="shared" si="1"/>
        <v>3870992</v>
      </c>
      <c r="N14" s="98">
        <f t="shared" si="2"/>
        <v>78399</v>
      </c>
      <c r="O14" s="98">
        <f t="shared" si="2"/>
        <v>24000</v>
      </c>
      <c r="P14" s="98">
        <f t="shared" si="2"/>
        <v>0</v>
      </c>
      <c r="Q14" s="98">
        <f t="shared" si="2"/>
        <v>78399</v>
      </c>
    </row>
    <row r="15" spans="1:17" s="99" customFormat="1" ht="20.100000000000001" customHeight="1">
      <c r="A15" s="100" t="s">
        <v>2</v>
      </c>
      <c r="B15" s="95" t="s">
        <v>322</v>
      </c>
      <c r="C15" s="49">
        <v>12</v>
      </c>
      <c r="D15" s="49" t="s">
        <v>309</v>
      </c>
      <c r="E15" s="49" t="s">
        <v>311</v>
      </c>
      <c r="F15" s="47">
        <v>4469887</v>
      </c>
      <c r="G15" s="47">
        <v>249716</v>
      </c>
      <c r="H15" s="65"/>
      <c r="I15" s="65">
        <f t="shared" si="0"/>
        <v>4469887</v>
      </c>
      <c r="J15" s="98">
        <v>4375904</v>
      </c>
      <c r="K15" s="98">
        <v>225716</v>
      </c>
      <c r="L15" s="98">
        <v>0</v>
      </c>
      <c r="M15" s="98">
        <f t="shared" si="1"/>
        <v>4375904</v>
      </c>
      <c r="N15" s="98">
        <f t="shared" si="2"/>
        <v>93983</v>
      </c>
      <c r="O15" s="98">
        <f t="shared" si="2"/>
        <v>24000</v>
      </c>
      <c r="P15" s="98">
        <f t="shared" si="2"/>
        <v>0</v>
      </c>
      <c r="Q15" s="98">
        <f t="shared" si="2"/>
        <v>93983</v>
      </c>
    </row>
    <row r="16" spans="1:17" s="99" customFormat="1" ht="20.100000000000001" customHeight="1">
      <c r="A16" s="100"/>
      <c r="B16" s="95" t="s">
        <v>323</v>
      </c>
      <c r="C16" s="49"/>
      <c r="D16" s="49"/>
      <c r="E16" s="49"/>
      <c r="F16" s="47">
        <f>SUM(F4:F15)</f>
        <v>133954820</v>
      </c>
      <c r="G16" s="47">
        <f t="shared" ref="G16:Q16" si="3">SUM(G4:G15)</f>
        <v>3599722</v>
      </c>
      <c r="H16" s="47">
        <f t="shared" si="3"/>
        <v>6423623.75</v>
      </c>
      <c r="I16" s="47">
        <f t="shared" si="3"/>
        <v>140378443.75</v>
      </c>
      <c r="J16" s="47">
        <f t="shared" si="3"/>
        <v>133635563</v>
      </c>
      <c r="K16" s="47">
        <f t="shared" si="3"/>
        <v>3290436</v>
      </c>
      <c r="L16" s="47">
        <f t="shared" si="3"/>
        <v>7155425.75</v>
      </c>
      <c r="M16" s="47">
        <f t="shared" si="3"/>
        <v>140790988.75</v>
      </c>
      <c r="N16" s="47">
        <f t="shared" si="3"/>
        <v>319257</v>
      </c>
      <c r="O16" s="47">
        <f t="shared" si="3"/>
        <v>309286</v>
      </c>
      <c r="P16" s="47">
        <f t="shared" si="3"/>
        <v>-731802</v>
      </c>
      <c r="Q16" s="47">
        <f t="shared" si="3"/>
        <v>-412545</v>
      </c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J7"/>
  <sheetViews>
    <sheetView topLeftCell="B1" workbookViewId="0">
      <selection activeCell="F52" sqref="F52"/>
    </sheetView>
  </sheetViews>
  <sheetFormatPr defaultRowHeight="14.25"/>
  <cols>
    <col min="1" max="1" width="0" style="109" hidden="1" customWidth="1"/>
    <col min="2" max="2" width="28.5" style="109" customWidth="1"/>
    <col min="3" max="3" width="10.25" style="109" customWidth="1"/>
    <col min="4" max="4" width="7.5" style="109" customWidth="1"/>
    <col min="5" max="5" width="21.375" style="109" customWidth="1"/>
    <col min="6" max="6" width="13.625" style="109" customWidth="1"/>
    <col min="7" max="7" width="9" style="109"/>
    <col min="8" max="8" width="6.375" style="109" customWidth="1"/>
    <col min="9" max="9" width="6.75" style="109" customWidth="1"/>
    <col min="10" max="10" width="12.5" style="120" customWidth="1"/>
    <col min="11" max="11" width="9" style="109"/>
    <col min="12" max="12" width="21.25" style="109" customWidth="1"/>
    <col min="13" max="16384" width="9" style="109"/>
  </cols>
  <sheetData>
    <row r="1" spans="1:10" ht="18.75">
      <c r="A1" s="148" t="s">
        <v>332</v>
      </c>
      <c r="B1" s="148"/>
      <c r="C1" s="148"/>
      <c r="D1" s="148"/>
      <c r="E1" s="148"/>
      <c r="F1" s="148"/>
      <c r="G1" s="148"/>
      <c r="H1" s="148"/>
      <c r="I1" s="148"/>
      <c r="J1" s="148"/>
    </row>
    <row r="2" spans="1:10" s="113" customFormat="1" ht="85.5">
      <c r="A2" s="110" t="s">
        <v>3</v>
      </c>
      <c r="B2" s="110" t="s">
        <v>333</v>
      </c>
      <c r="C2" s="110" t="s">
        <v>334</v>
      </c>
      <c r="D2" s="110" t="s">
        <v>335</v>
      </c>
      <c r="E2" s="111" t="s">
        <v>336</v>
      </c>
      <c r="F2" s="112" t="s">
        <v>337</v>
      </c>
      <c r="G2" s="110" t="s">
        <v>338</v>
      </c>
      <c r="H2" s="110" t="s">
        <v>339</v>
      </c>
      <c r="I2" s="110" t="s">
        <v>340</v>
      </c>
      <c r="J2" s="111" t="s">
        <v>341</v>
      </c>
    </row>
    <row r="3" spans="1:10" s="113" customFormat="1" ht="54">
      <c r="A3" s="114">
        <v>28</v>
      </c>
      <c r="B3" s="115" t="s">
        <v>320</v>
      </c>
      <c r="C3" s="115" t="s">
        <v>347</v>
      </c>
      <c r="D3" s="114" t="s">
        <v>348</v>
      </c>
      <c r="E3" s="115" t="s">
        <v>349</v>
      </c>
      <c r="F3" s="116" t="s">
        <v>350</v>
      </c>
      <c r="G3" s="114" t="s">
        <v>342</v>
      </c>
      <c r="H3" s="115" t="s">
        <v>351</v>
      </c>
      <c r="I3" s="114" t="s">
        <v>352</v>
      </c>
      <c r="J3" s="117">
        <v>416402.6</v>
      </c>
    </row>
    <row r="4" spans="1:10" s="113" customFormat="1" ht="54">
      <c r="A4" s="114">
        <v>29</v>
      </c>
      <c r="B4" s="115" t="s">
        <v>320</v>
      </c>
      <c r="C4" s="115" t="s">
        <v>347</v>
      </c>
      <c r="D4" s="114" t="s">
        <v>353</v>
      </c>
      <c r="E4" s="115" t="s">
        <v>354</v>
      </c>
      <c r="F4" s="116" t="s">
        <v>355</v>
      </c>
      <c r="G4" s="114" t="s">
        <v>342</v>
      </c>
      <c r="H4" s="115" t="s">
        <v>343</v>
      </c>
      <c r="I4" s="114" t="s">
        <v>344</v>
      </c>
      <c r="J4" s="117">
        <v>35309.379999999997</v>
      </c>
    </row>
    <row r="5" spans="1:10" s="113" customFormat="1">
      <c r="A5" s="114">
        <v>30</v>
      </c>
      <c r="B5" s="115" t="s">
        <v>318</v>
      </c>
      <c r="C5" s="115" t="s">
        <v>347</v>
      </c>
      <c r="D5" s="114" t="s">
        <v>356</v>
      </c>
      <c r="E5" s="115" t="s">
        <v>357</v>
      </c>
      <c r="F5" s="116">
        <v>44228</v>
      </c>
      <c r="G5" s="114" t="s">
        <v>342</v>
      </c>
      <c r="H5" s="114" t="s">
        <v>345</v>
      </c>
      <c r="I5" s="114" t="s">
        <v>346</v>
      </c>
      <c r="J5" s="118">
        <v>34784.74</v>
      </c>
    </row>
    <row r="6" spans="1:10" s="113" customFormat="1">
      <c r="A6" s="114">
        <v>31</v>
      </c>
      <c r="B6" s="115" t="s">
        <v>317</v>
      </c>
      <c r="C6" s="115" t="s">
        <v>347</v>
      </c>
      <c r="D6" s="114" t="s">
        <v>358</v>
      </c>
      <c r="E6" s="115" t="s">
        <v>359</v>
      </c>
      <c r="F6" s="116">
        <v>41760</v>
      </c>
      <c r="G6" s="114" t="s">
        <v>342</v>
      </c>
      <c r="H6" s="114" t="s">
        <v>351</v>
      </c>
      <c r="I6" s="114" t="s">
        <v>360</v>
      </c>
      <c r="J6" s="117">
        <v>444795.77</v>
      </c>
    </row>
    <row r="7" spans="1:10" s="113" customFormat="1">
      <c r="A7" s="114"/>
      <c r="B7" s="115"/>
      <c r="C7" s="115" t="s">
        <v>361</v>
      </c>
      <c r="D7" s="114"/>
      <c r="E7" s="115"/>
      <c r="F7" s="116"/>
      <c r="G7" s="114"/>
      <c r="H7" s="119"/>
      <c r="I7" s="114"/>
      <c r="J7" s="117">
        <f>SUM(J3:J6)</f>
        <v>931292.49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5"/>
  <sheetViews>
    <sheetView workbookViewId="0">
      <selection activeCell="F52" sqref="F52"/>
    </sheetView>
  </sheetViews>
  <sheetFormatPr defaultColWidth="9" defaultRowHeight="13.5" outlineLevelRow="2"/>
  <cols>
    <col min="1" max="1" width="20.875" style="62" customWidth="1"/>
    <col min="2" max="2" width="35" style="62" customWidth="1"/>
    <col min="3" max="3" width="15.625" style="62" customWidth="1"/>
    <col min="4" max="4" width="20.625" style="62" customWidth="1"/>
    <col min="5" max="5" width="24.75" style="62" customWidth="1"/>
    <col min="6" max="16384" width="9" style="62"/>
  </cols>
  <sheetData>
    <row r="1" spans="1:5" s="53" customFormat="1" ht="20.25">
      <c r="A1" s="149" t="s">
        <v>249</v>
      </c>
      <c r="B1" s="150"/>
      <c r="C1" s="150"/>
      <c r="D1" s="150"/>
      <c r="E1" s="150"/>
    </row>
    <row r="2" spans="1:5" s="55" customFormat="1" ht="17.100000000000001" customHeight="1">
      <c r="A2" s="54" t="s">
        <v>250</v>
      </c>
      <c r="B2" s="54" t="s">
        <v>251</v>
      </c>
      <c r="C2" s="54" t="s">
        <v>282</v>
      </c>
      <c r="D2" s="54" t="s">
        <v>252</v>
      </c>
      <c r="E2" s="54" t="s">
        <v>253</v>
      </c>
    </row>
    <row r="3" spans="1:5" s="55" customFormat="1" ht="17.100000000000001" customHeight="1" outlineLevel="2">
      <c r="A3" s="34" t="s">
        <v>254</v>
      </c>
      <c r="B3" s="56" t="s">
        <v>255</v>
      </c>
      <c r="C3" s="56" t="s">
        <v>283</v>
      </c>
      <c r="D3" s="57">
        <v>31608.51</v>
      </c>
      <c r="E3" s="57">
        <f t="shared" ref="E3:E14" si="0">ROUND(D3*1.1,2)</f>
        <v>34769.360000000001</v>
      </c>
    </row>
    <row r="4" spans="1:5" s="55" customFormat="1" ht="17.100000000000001" customHeight="1" outlineLevel="2">
      <c r="A4" s="34" t="s">
        <v>254</v>
      </c>
      <c r="B4" s="61" t="s">
        <v>256</v>
      </c>
      <c r="C4" s="61" t="s">
        <v>284</v>
      </c>
      <c r="D4" s="57">
        <v>298061.40000000002</v>
      </c>
      <c r="E4" s="57">
        <f t="shared" si="0"/>
        <v>327867.53999999998</v>
      </c>
    </row>
    <row r="5" spans="1:5" s="55" customFormat="1" ht="17.100000000000001" customHeight="1" outlineLevel="2">
      <c r="A5" s="34" t="s">
        <v>254</v>
      </c>
      <c r="B5" s="61" t="s">
        <v>257</v>
      </c>
      <c r="C5" s="61" t="s">
        <v>284</v>
      </c>
      <c r="D5" s="57">
        <v>545717.5</v>
      </c>
      <c r="E5" s="57">
        <f t="shared" si="0"/>
        <v>600289.25</v>
      </c>
    </row>
    <row r="6" spans="1:5" s="55" customFormat="1" ht="17.100000000000001" customHeight="1" outlineLevel="2">
      <c r="A6" s="34" t="s">
        <v>254</v>
      </c>
      <c r="B6" s="61" t="s">
        <v>258</v>
      </c>
      <c r="C6" s="61" t="s">
        <v>287</v>
      </c>
      <c r="D6" s="57">
        <v>232820.4</v>
      </c>
      <c r="E6" s="57">
        <f t="shared" si="0"/>
        <v>256102.44</v>
      </c>
    </row>
    <row r="7" spans="1:5" s="55" customFormat="1" ht="17.100000000000001" customHeight="1" outlineLevel="2">
      <c r="A7" s="34" t="s">
        <v>254</v>
      </c>
      <c r="B7" s="61" t="s">
        <v>259</v>
      </c>
      <c r="C7" s="61" t="s">
        <v>285</v>
      </c>
      <c r="D7" s="57">
        <v>266762.09999999998</v>
      </c>
      <c r="E7" s="57">
        <f t="shared" si="0"/>
        <v>293438.31</v>
      </c>
    </row>
    <row r="8" spans="1:5" s="55" customFormat="1" ht="17.100000000000001" customHeight="1" outlineLevel="2">
      <c r="A8" s="34" t="s">
        <v>254</v>
      </c>
      <c r="B8" s="61" t="s">
        <v>260</v>
      </c>
      <c r="C8" s="61" t="s">
        <v>286</v>
      </c>
      <c r="D8" s="57">
        <v>76232.100000000006</v>
      </c>
      <c r="E8" s="57">
        <f t="shared" si="0"/>
        <v>83855.31</v>
      </c>
    </row>
    <row r="9" spans="1:5" s="55" customFormat="1" ht="17.100000000000001" customHeight="1" outlineLevel="2">
      <c r="A9" s="34" t="s">
        <v>254</v>
      </c>
      <c r="B9" s="61" t="s">
        <v>261</v>
      </c>
      <c r="C9" s="61" t="s">
        <v>286</v>
      </c>
      <c r="D9" s="57">
        <v>60770.2</v>
      </c>
      <c r="E9" s="57">
        <f t="shared" si="0"/>
        <v>66847.22</v>
      </c>
    </row>
    <row r="10" spans="1:5" s="55" customFormat="1" ht="17.100000000000001" customHeight="1" outlineLevel="2">
      <c r="A10" s="34" t="s">
        <v>254</v>
      </c>
      <c r="B10" s="61" t="s">
        <v>262</v>
      </c>
      <c r="C10" s="61" t="s">
        <v>286</v>
      </c>
      <c r="D10" s="57">
        <v>78359.149999999994</v>
      </c>
      <c r="E10" s="57">
        <f t="shared" si="0"/>
        <v>86195.07</v>
      </c>
    </row>
    <row r="11" spans="1:5" s="55" customFormat="1" ht="17.100000000000001" customHeight="1" outlineLevel="2">
      <c r="A11" s="34" t="s">
        <v>254</v>
      </c>
      <c r="B11" s="61" t="s">
        <v>263</v>
      </c>
      <c r="C11" s="61" t="s">
        <v>286</v>
      </c>
      <c r="D11" s="57">
        <v>158913</v>
      </c>
      <c r="E11" s="57">
        <f t="shared" si="0"/>
        <v>174804.3</v>
      </c>
    </row>
    <row r="12" spans="1:5" s="55" customFormat="1" ht="17.100000000000001" customHeight="1" outlineLevel="2">
      <c r="A12" s="34" t="s">
        <v>254</v>
      </c>
      <c r="B12" s="61" t="s">
        <v>264</v>
      </c>
      <c r="C12" s="61" t="s">
        <v>286</v>
      </c>
      <c r="D12" s="57">
        <v>83760.2</v>
      </c>
      <c r="E12" s="57">
        <f t="shared" si="0"/>
        <v>92136.22</v>
      </c>
    </row>
    <row r="13" spans="1:5" s="55" customFormat="1" ht="17.100000000000001" customHeight="1" outlineLevel="2">
      <c r="A13" s="34" t="s">
        <v>254</v>
      </c>
      <c r="B13" s="61" t="s">
        <v>265</v>
      </c>
      <c r="C13" s="61" t="s">
        <v>286</v>
      </c>
      <c r="D13" s="57">
        <v>57413.3</v>
      </c>
      <c r="E13" s="57">
        <f t="shared" si="0"/>
        <v>63154.63</v>
      </c>
    </row>
    <row r="14" spans="1:5" s="55" customFormat="1" ht="17.100000000000001" customHeight="1" outlineLevel="2">
      <c r="A14" s="34" t="s">
        <v>254</v>
      </c>
      <c r="B14" s="61" t="s">
        <v>266</v>
      </c>
      <c r="C14" s="61" t="s">
        <v>286</v>
      </c>
      <c r="D14" s="57">
        <v>57821</v>
      </c>
      <c r="E14" s="57">
        <f t="shared" si="0"/>
        <v>63603.1</v>
      </c>
    </row>
    <row r="15" spans="1:5" s="55" customFormat="1" ht="17.100000000000001" customHeight="1" outlineLevel="1">
      <c r="A15" s="58" t="s">
        <v>160</v>
      </c>
      <c r="B15" s="59"/>
      <c r="C15" s="59"/>
      <c r="D15" s="60">
        <f>SUM(D3:D14)</f>
        <v>1948238.86</v>
      </c>
      <c r="E15" s="60">
        <f>SUM(E3:E14)</f>
        <v>2143062.75</v>
      </c>
    </row>
  </sheetData>
  <autoFilter ref="A2:E15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F52" sqref="F52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151" t="s">
        <v>268</v>
      </c>
      <c r="B1" s="151"/>
      <c r="C1" s="151"/>
    </row>
    <row r="2" spans="1:3" ht="24.95" customHeight="1">
      <c r="A2" s="13" t="s">
        <v>159</v>
      </c>
      <c r="B2" s="13" t="s">
        <v>163</v>
      </c>
      <c r="C2" s="13" t="s">
        <v>164</v>
      </c>
    </row>
    <row r="3" spans="1:3" ht="24.95" customHeight="1">
      <c r="A3" s="14" t="s">
        <v>2</v>
      </c>
      <c r="B3" s="15">
        <v>142015</v>
      </c>
      <c r="C3" s="12">
        <f t="shared" ref="C3" si="0">B3*3</f>
        <v>426045</v>
      </c>
    </row>
    <row r="4" spans="1:3" ht="24.95" customHeight="1">
      <c r="A4" s="16" t="s">
        <v>162</v>
      </c>
      <c r="B4" s="17">
        <f>SUM(B3:B3)</f>
        <v>142015</v>
      </c>
      <c r="C4" s="17">
        <f>SUM(C3:C3)</f>
        <v>426045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J17"/>
  <sheetViews>
    <sheetView workbookViewId="0">
      <selection activeCell="F52" sqref="F52"/>
    </sheetView>
  </sheetViews>
  <sheetFormatPr defaultRowHeight="14.25" outlineLevelRow="2"/>
  <cols>
    <col min="1" max="1" width="37.5" style="68" customWidth="1"/>
    <col min="2" max="2" width="11.625" style="69" customWidth="1"/>
    <col min="3" max="3" width="13.5" style="11" customWidth="1"/>
    <col min="4" max="5" width="7.625" style="11" customWidth="1"/>
    <col min="6" max="6" width="12.625" style="71" customWidth="1"/>
    <col min="7" max="7" width="15.75" style="72" customWidth="1"/>
    <col min="8" max="8" width="6.25" style="11" hidden="1" customWidth="1"/>
    <col min="9" max="9" width="25.875" style="11" hidden="1" customWidth="1"/>
    <col min="10" max="10" width="31.25" style="70" customWidth="1"/>
    <col min="11" max="16384" width="9" style="11"/>
  </cols>
  <sheetData>
    <row r="1" spans="1:10" ht="32.1" customHeight="1">
      <c r="A1" s="152" t="s">
        <v>281</v>
      </c>
      <c r="B1" s="152"/>
      <c r="C1" s="152"/>
      <c r="D1" s="152"/>
      <c r="E1" s="152"/>
      <c r="F1" s="152"/>
      <c r="G1" s="152"/>
      <c r="H1" s="152"/>
      <c r="I1" s="152"/>
      <c r="J1" s="152"/>
    </row>
    <row r="2" spans="1:10" ht="14.1" customHeight="1">
      <c r="A2" s="73" t="s">
        <v>193</v>
      </c>
      <c r="B2" s="73" t="s">
        <v>194</v>
      </c>
      <c r="C2" s="74" t="s">
        <v>195</v>
      </c>
      <c r="D2" s="73" t="s">
        <v>196</v>
      </c>
      <c r="E2" s="73" t="s">
        <v>197</v>
      </c>
      <c r="F2" s="75" t="s">
        <v>198</v>
      </c>
      <c r="G2" s="76" t="s">
        <v>199</v>
      </c>
      <c r="H2" s="73" t="s">
        <v>200</v>
      </c>
      <c r="I2" s="77" t="s">
        <v>201</v>
      </c>
      <c r="J2" s="74" t="s">
        <v>201</v>
      </c>
    </row>
    <row r="3" spans="1:10" s="35" customFormat="1" ht="14.1" customHeight="1" outlineLevel="2">
      <c r="A3" s="78" t="s">
        <v>208</v>
      </c>
      <c r="B3" s="79" t="s">
        <v>209</v>
      </c>
      <c r="C3" s="80" t="s">
        <v>202</v>
      </c>
      <c r="D3" s="81">
        <v>2</v>
      </c>
      <c r="E3" s="81">
        <v>12</v>
      </c>
      <c r="F3" s="82">
        <v>105000</v>
      </c>
      <c r="G3" s="83">
        <f>ROUND(F3*E3,2)</f>
        <v>1260000</v>
      </c>
      <c r="H3" s="36" t="s">
        <v>203</v>
      </c>
      <c r="I3" s="84"/>
      <c r="J3" s="85" t="s">
        <v>210</v>
      </c>
    </row>
    <row r="4" spans="1:10" s="35" customFormat="1" ht="14.1" customHeight="1" outlineLevel="2">
      <c r="A4" s="86" t="s">
        <v>211</v>
      </c>
      <c r="B4" s="79" t="s">
        <v>209</v>
      </c>
      <c r="C4" s="80" t="s">
        <v>202</v>
      </c>
      <c r="D4" s="87">
        <v>1</v>
      </c>
      <c r="E4" s="87">
        <v>7</v>
      </c>
      <c r="F4" s="82">
        <v>105000</v>
      </c>
      <c r="G4" s="83">
        <f>ROUND(F4*E4,2)</f>
        <v>735000</v>
      </c>
      <c r="H4" s="36" t="s">
        <v>203</v>
      </c>
      <c r="I4" s="84"/>
      <c r="J4" s="37" t="s">
        <v>212</v>
      </c>
    </row>
    <row r="5" spans="1:10" s="35" customFormat="1" ht="14.1" customHeight="1" outlineLevel="2">
      <c r="A5" s="78" t="s">
        <v>213</v>
      </c>
      <c r="B5" s="79" t="s">
        <v>214</v>
      </c>
      <c r="C5" s="80" t="s">
        <v>202</v>
      </c>
      <c r="D5" s="87">
        <v>1</v>
      </c>
      <c r="E5" s="81">
        <v>5</v>
      </c>
      <c r="F5" s="82">
        <v>105000</v>
      </c>
      <c r="G5" s="83">
        <f>ROUND(F5*E5,2)</f>
        <v>525000</v>
      </c>
      <c r="H5" s="36" t="s">
        <v>203</v>
      </c>
      <c r="I5" s="84"/>
      <c r="J5" s="37"/>
    </row>
    <row r="6" spans="1:10" s="35" customFormat="1" ht="14.1" customHeight="1" outlineLevel="2">
      <c r="A6" s="86" t="s">
        <v>215</v>
      </c>
      <c r="B6" s="79" t="s">
        <v>214</v>
      </c>
      <c r="C6" s="80" t="s">
        <v>202</v>
      </c>
      <c r="D6" s="87">
        <v>1</v>
      </c>
      <c r="E6" s="81">
        <v>5</v>
      </c>
      <c r="F6" s="82">
        <v>105000</v>
      </c>
      <c r="G6" s="83">
        <f>ROUND(F6*E6,2)</f>
        <v>525000</v>
      </c>
      <c r="H6" s="36"/>
      <c r="I6" s="84"/>
      <c r="J6" s="88" t="s">
        <v>207</v>
      </c>
    </row>
    <row r="7" spans="1:10" s="35" customFormat="1" ht="14.1" customHeight="1" outlineLevel="2">
      <c r="A7" s="78" t="s">
        <v>216</v>
      </c>
      <c r="B7" s="79" t="s">
        <v>217</v>
      </c>
      <c r="C7" s="80" t="s">
        <v>202</v>
      </c>
      <c r="D7" s="81">
        <v>1</v>
      </c>
      <c r="E7" s="81">
        <v>5</v>
      </c>
      <c r="F7" s="82">
        <v>105000</v>
      </c>
      <c r="G7" s="83">
        <f>ROUND(F7*E7,2)</f>
        <v>525000</v>
      </c>
      <c r="H7" s="36" t="s">
        <v>203</v>
      </c>
      <c r="I7" s="81"/>
      <c r="J7" s="37"/>
    </row>
    <row r="8" spans="1:10" s="35" customFormat="1" ht="14.1" customHeight="1" outlineLevel="2">
      <c r="A8" s="86" t="s">
        <v>269</v>
      </c>
      <c r="B8" s="79" t="s">
        <v>270</v>
      </c>
      <c r="C8" s="80" t="s">
        <v>271</v>
      </c>
      <c r="D8" s="81">
        <v>1</v>
      </c>
      <c r="E8" s="81">
        <v>5</v>
      </c>
      <c r="F8" s="82">
        <v>105000</v>
      </c>
      <c r="G8" s="83">
        <f t="shared" ref="G8:G16" si="0">ROUND(F8*E8,2)</f>
        <v>525000</v>
      </c>
      <c r="H8" s="36" t="s">
        <v>272</v>
      </c>
      <c r="I8" s="84"/>
      <c r="J8" s="88"/>
    </row>
    <row r="9" spans="1:10" s="35" customFormat="1" ht="14.1" customHeight="1" outlineLevel="2">
      <c r="A9" s="78" t="s">
        <v>273</v>
      </c>
      <c r="B9" s="79" t="s">
        <v>270</v>
      </c>
      <c r="C9" s="80" t="s">
        <v>271</v>
      </c>
      <c r="D9" s="87">
        <v>1</v>
      </c>
      <c r="E9" s="81">
        <v>5</v>
      </c>
      <c r="F9" s="82">
        <v>105000</v>
      </c>
      <c r="G9" s="83">
        <f t="shared" si="0"/>
        <v>525000</v>
      </c>
      <c r="H9" s="36" t="s">
        <v>272</v>
      </c>
      <c r="I9" s="84"/>
      <c r="J9" s="37"/>
    </row>
    <row r="10" spans="1:10" s="35" customFormat="1" ht="14.1" customHeight="1" outlineLevel="2">
      <c r="A10" s="78" t="s">
        <v>274</v>
      </c>
      <c r="B10" s="79" t="s">
        <v>270</v>
      </c>
      <c r="C10" s="80" t="s">
        <v>271</v>
      </c>
      <c r="D10" s="87">
        <v>1</v>
      </c>
      <c r="E10" s="81">
        <v>5</v>
      </c>
      <c r="F10" s="82">
        <v>105000</v>
      </c>
      <c r="G10" s="83">
        <f t="shared" si="0"/>
        <v>525000</v>
      </c>
      <c r="H10" s="36" t="s">
        <v>272</v>
      </c>
      <c r="I10" s="84"/>
      <c r="J10" s="37"/>
    </row>
    <row r="11" spans="1:10" s="35" customFormat="1" ht="14.1" customHeight="1" outlineLevel="2">
      <c r="A11" s="78" t="s">
        <v>204</v>
      </c>
      <c r="B11" s="79" t="s">
        <v>270</v>
      </c>
      <c r="C11" s="80" t="s">
        <v>271</v>
      </c>
      <c r="D11" s="87">
        <v>1</v>
      </c>
      <c r="E11" s="87">
        <v>5</v>
      </c>
      <c r="F11" s="82">
        <v>105000</v>
      </c>
      <c r="G11" s="83">
        <f t="shared" si="0"/>
        <v>525000</v>
      </c>
      <c r="H11" s="36" t="s">
        <v>272</v>
      </c>
      <c r="I11" s="84"/>
      <c r="J11" s="37"/>
    </row>
    <row r="12" spans="1:10" s="35" customFormat="1" ht="14.1" customHeight="1" outlineLevel="2">
      <c r="A12" s="78" t="s">
        <v>205</v>
      </c>
      <c r="B12" s="79" t="s">
        <v>270</v>
      </c>
      <c r="C12" s="80" t="s">
        <v>271</v>
      </c>
      <c r="D12" s="87">
        <v>1</v>
      </c>
      <c r="E12" s="87">
        <v>5</v>
      </c>
      <c r="F12" s="82">
        <v>105000</v>
      </c>
      <c r="G12" s="83">
        <f t="shared" si="0"/>
        <v>525000</v>
      </c>
      <c r="H12" s="36" t="s">
        <v>272</v>
      </c>
      <c r="I12" s="84"/>
      <c r="J12" s="37"/>
    </row>
    <row r="13" spans="1:10" s="35" customFormat="1" ht="14.1" customHeight="1" outlineLevel="2">
      <c r="A13" s="78" t="s">
        <v>206</v>
      </c>
      <c r="B13" s="79" t="s">
        <v>270</v>
      </c>
      <c r="C13" s="80" t="s">
        <v>271</v>
      </c>
      <c r="D13" s="81">
        <v>1</v>
      </c>
      <c r="E13" s="81">
        <v>5</v>
      </c>
      <c r="F13" s="82">
        <v>105000</v>
      </c>
      <c r="G13" s="83">
        <f t="shared" si="0"/>
        <v>525000</v>
      </c>
      <c r="H13" s="36" t="s">
        <v>272</v>
      </c>
      <c r="I13" s="84"/>
      <c r="J13" s="37"/>
    </row>
    <row r="14" spans="1:10" s="35" customFormat="1" ht="14.1" customHeight="1" outlineLevel="2">
      <c r="A14" s="86" t="s">
        <v>275</v>
      </c>
      <c r="B14" s="79" t="s">
        <v>270</v>
      </c>
      <c r="C14" s="80" t="s">
        <v>271</v>
      </c>
      <c r="D14" s="81">
        <v>1</v>
      </c>
      <c r="E14" s="81">
        <v>5</v>
      </c>
      <c r="F14" s="82">
        <v>105000</v>
      </c>
      <c r="G14" s="83">
        <f t="shared" si="0"/>
        <v>525000</v>
      </c>
      <c r="H14" s="36"/>
      <c r="I14" s="81"/>
      <c r="J14" s="37"/>
    </row>
    <row r="15" spans="1:10" s="35" customFormat="1" ht="14.1" customHeight="1" outlineLevel="2">
      <c r="A15" s="86" t="s">
        <v>276</v>
      </c>
      <c r="B15" s="79" t="s">
        <v>270</v>
      </c>
      <c r="C15" s="80" t="s">
        <v>271</v>
      </c>
      <c r="D15" s="81">
        <v>1</v>
      </c>
      <c r="E15" s="81">
        <v>5</v>
      </c>
      <c r="F15" s="82">
        <v>105000</v>
      </c>
      <c r="G15" s="83">
        <f t="shared" si="0"/>
        <v>525000</v>
      </c>
      <c r="H15" s="36"/>
      <c r="I15" s="81"/>
      <c r="J15" s="37" t="s">
        <v>277</v>
      </c>
    </row>
    <row r="16" spans="1:10" s="35" customFormat="1" ht="14.1" customHeight="1" outlineLevel="2">
      <c r="A16" s="89" t="s">
        <v>218</v>
      </c>
      <c r="B16" s="79" t="s">
        <v>279</v>
      </c>
      <c r="C16" s="84" t="s">
        <v>278</v>
      </c>
      <c r="D16" s="84">
        <v>1</v>
      </c>
      <c r="E16" s="84">
        <v>5</v>
      </c>
      <c r="F16" s="83">
        <v>105000</v>
      </c>
      <c r="G16" s="83">
        <f t="shared" si="0"/>
        <v>525000</v>
      </c>
      <c r="H16" s="36"/>
      <c r="I16" s="81"/>
      <c r="J16" s="37"/>
    </row>
    <row r="17" spans="1:10" s="35" customFormat="1" ht="14.1" customHeight="1" outlineLevel="1">
      <c r="A17" s="89"/>
      <c r="B17" s="79"/>
      <c r="C17" s="90" t="s">
        <v>280</v>
      </c>
      <c r="D17" s="84">
        <f>SUBTOTAL(9,D3:D16)</f>
        <v>15</v>
      </c>
      <c r="E17" s="84">
        <f>SUBTOTAL(9,E3:E16)</f>
        <v>79</v>
      </c>
      <c r="F17" s="83"/>
      <c r="G17" s="83">
        <f>SUBTOTAL(9,G3:G16)</f>
        <v>8295000</v>
      </c>
      <c r="H17" s="36"/>
      <c r="I17" s="81"/>
      <c r="J17" s="37"/>
    </row>
  </sheetData>
  <autoFilter ref="A2:J17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AO15"/>
  <sheetViews>
    <sheetView topLeftCell="B1" workbookViewId="0">
      <pane xSplit="2" ySplit="1" topLeftCell="D2" activePane="bottomRight" state="frozen"/>
      <selection activeCell="F52" sqref="F52"/>
      <selection pane="topRight" activeCell="F52" sqref="F52"/>
      <selection pane="bottomLeft" activeCell="F52" sqref="F52"/>
      <selection pane="bottomRight" activeCell="F52" sqref="F52"/>
    </sheetView>
  </sheetViews>
  <sheetFormatPr defaultColWidth="9" defaultRowHeight="11.25"/>
  <cols>
    <col min="1" max="1" width="8.125" style="38" hidden="1" customWidth="1"/>
    <col min="2" max="2" width="20.375" style="38" customWidth="1"/>
    <col min="3" max="3" width="5.75" style="38" customWidth="1"/>
    <col min="4" max="4" width="9.75" style="38" hidden="1" customWidth="1"/>
    <col min="5" max="18" width="9" style="38" hidden="1" customWidth="1"/>
    <col min="19" max="19" width="9" style="52" hidden="1" customWidth="1"/>
    <col min="20" max="23" width="9" style="38" hidden="1" customWidth="1"/>
    <col min="24" max="24" width="9" style="52" hidden="1" customWidth="1"/>
    <col min="25" max="25" width="8.375" style="38" customWidth="1"/>
    <col min="26" max="26" width="9.625" style="38" customWidth="1"/>
    <col min="27" max="27" width="9.375" style="38" customWidth="1"/>
    <col min="28" max="28" width="12.5" style="38" customWidth="1"/>
    <col min="29" max="29" width="9.875" style="38" customWidth="1"/>
    <col min="30" max="30" width="11.625" style="38" customWidth="1"/>
    <col min="31" max="31" width="10.5" style="38" customWidth="1"/>
    <col min="32" max="32" width="10.875" style="38" customWidth="1"/>
    <col min="33" max="33" width="11.375" style="38" customWidth="1"/>
    <col min="34" max="34" width="11.625" style="38" customWidth="1"/>
    <col min="35" max="35" width="11.375" style="38" customWidth="1"/>
    <col min="36" max="36" width="9.5" style="38" bestFit="1" customWidth="1"/>
    <col min="37" max="37" width="11" style="38" customWidth="1"/>
    <col min="38" max="38" width="12.125" style="38" customWidth="1"/>
    <col min="39" max="39" width="12.5" style="48" customWidth="1"/>
    <col min="40" max="40" width="10.5" style="66" customWidth="1"/>
    <col min="41" max="41" width="13" style="67" bestFit="1" customWidth="1"/>
    <col min="42" max="16384" width="9" style="38"/>
  </cols>
  <sheetData>
    <row r="1" spans="1:41" ht="18.75">
      <c r="A1" s="155" t="s">
        <v>288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6"/>
      <c r="AG1" s="156"/>
      <c r="AH1" s="156"/>
      <c r="AI1" s="156"/>
      <c r="AJ1" s="156"/>
      <c r="AK1" s="156"/>
      <c r="AL1" s="156"/>
      <c r="AM1" s="156"/>
      <c r="AN1" s="157"/>
      <c r="AO1" s="157"/>
    </row>
    <row r="2" spans="1:41" ht="11.25" customHeight="1">
      <c r="A2" s="158" t="s">
        <v>219</v>
      </c>
      <c r="B2" s="158" t="s">
        <v>220</v>
      </c>
      <c r="C2" s="158" t="s">
        <v>282</v>
      </c>
      <c r="D2" s="158" t="s">
        <v>221</v>
      </c>
      <c r="E2" s="158" t="s">
        <v>222</v>
      </c>
      <c r="F2" s="158"/>
      <c r="G2" s="158"/>
      <c r="H2" s="158"/>
      <c r="I2" s="158"/>
      <c r="J2" s="158" t="s">
        <v>289</v>
      </c>
      <c r="K2" s="158"/>
      <c r="L2" s="158"/>
      <c r="M2" s="158"/>
      <c r="N2" s="158"/>
      <c r="O2" s="159" t="s">
        <v>223</v>
      </c>
      <c r="P2" s="159"/>
      <c r="Q2" s="159"/>
      <c r="R2" s="159"/>
      <c r="S2" s="159"/>
      <c r="T2" s="159" t="s">
        <v>224</v>
      </c>
      <c r="U2" s="159"/>
      <c r="V2" s="159"/>
      <c r="W2" s="159"/>
      <c r="X2" s="159"/>
      <c r="Y2" s="159" t="s">
        <v>225</v>
      </c>
      <c r="Z2" s="159"/>
      <c r="AA2" s="159"/>
      <c r="AB2" s="159"/>
      <c r="AC2" s="159"/>
      <c r="AD2" s="158" t="s">
        <v>290</v>
      </c>
      <c r="AE2" s="158"/>
      <c r="AF2" s="158"/>
      <c r="AG2" s="158"/>
      <c r="AH2" s="158"/>
      <c r="AI2" s="158"/>
      <c r="AJ2" s="158"/>
      <c r="AK2" s="158"/>
      <c r="AL2" s="158"/>
      <c r="AM2" s="158"/>
      <c r="AN2" s="153" t="s">
        <v>291</v>
      </c>
      <c r="AO2" s="153" t="s">
        <v>162</v>
      </c>
    </row>
    <row r="3" spans="1:41" ht="33.75">
      <c r="A3" s="158"/>
      <c r="B3" s="158"/>
      <c r="C3" s="158"/>
      <c r="D3" s="158"/>
      <c r="E3" s="39" t="s">
        <v>226</v>
      </c>
      <c r="F3" s="39" t="s">
        <v>227</v>
      </c>
      <c r="G3" s="39" t="s">
        <v>228</v>
      </c>
      <c r="H3" s="39" t="s">
        <v>229</v>
      </c>
      <c r="I3" s="92" t="s">
        <v>7</v>
      </c>
      <c r="J3" s="39" t="s">
        <v>226</v>
      </c>
      <c r="K3" s="39" t="s">
        <v>227</v>
      </c>
      <c r="L3" s="39" t="s">
        <v>228</v>
      </c>
      <c r="M3" s="39" t="s">
        <v>229</v>
      </c>
      <c r="N3" s="92" t="s">
        <v>7</v>
      </c>
      <c r="O3" s="39" t="s">
        <v>226</v>
      </c>
      <c r="P3" s="39" t="s">
        <v>227</v>
      </c>
      <c r="Q3" s="39" t="s">
        <v>228</v>
      </c>
      <c r="R3" s="39" t="s">
        <v>229</v>
      </c>
      <c r="S3" s="50" t="s">
        <v>7</v>
      </c>
      <c r="T3" s="39" t="s">
        <v>226</v>
      </c>
      <c r="U3" s="39" t="s">
        <v>227</v>
      </c>
      <c r="V3" s="39" t="s">
        <v>228</v>
      </c>
      <c r="W3" s="39" t="s">
        <v>229</v>
      </c>
      <c r="X3" s="50" t="s">
        <v>7</v>
      </c>
      <c r="Y3" s="39" t="s">
        <v>226</v>
      </c>
      <c r="Z3" s="39" t="s">
        <v>227</v>
      </c>
      <c r="AA3" s="39" t="s">
        <v>228</v>
      </c>
      <c r="AB3" s="39" t="s">
        <v>229</v>
      </c>
      <c r="AC3" s="92" t="s">
        <v>7</v>
      </c>
      <c r="AD3" s="39" t="s">
        <v>230</v>
      </c>
      <c r="AE3" s="39" t="s">
        <v>231</v>
      </c>
      <c r="AF3" s="39" t="s">
        <v>232</v>
      </c>
      <c r="AG3" s="39" t="s">
        <v>233</v>
      </c>
      <c r="AH3" s="39" t="s">
        <v>234</v>
      </c>
      <c r="AI3" s="39" t="s">
        <v>292</v>
      </c>
      <c r="AJ3" s="39" t="s">
        <v>293</v>
      </c>
      <c r="AK3" s="39" t="s">
        <v>248</v>
      </c>
      <c r="AL3" s="39" t="s">
        <v>235</v>
      </c>
      <c r="AM3" s="45" t="s">
        <v>294</v>
      </c>
      <c r="AN3" s="154"/>
      <c r="AO3" s="154"/>
    </row>
    <row r="4" spans="1:41" s="44" customFormat="1" ht="18" customHeight="1">
      <c r="A4" s="40" t="s">
        <v>2</v>
      </c>
      <c r="B4" s="41" t="s">
        <v>237</v>
      </c>
      <c r="C4" s="41" t="s">
        <v>236</v>
      </c>
      <c r="D4" s="42">
        <v>1</v>
      </c>
      <c r="E4" s="47">
        <v>0</v>
      </c>
      <c r="F4" s="47">
        <v>1</v>
      </c>
      <c r="G4" s="47">
        <v>13.487500000000001</v>
      </c>
      <c r="H4" s="47">
        <v>1</v>
      </c>
      <c r="I4" s="43">
        <f t="shared" ref="I4:I14" si="0">SUM(E4:H4)</f>
        <v>15.487500000000001</v>
      </c>
      <c r="J4" s="42">
        <v>1</v>
      </c>
      <c r="K4" s="42">
        <v>0</v>
      </c>
      <c r="L4" s="42">
        <v>1</v>
      </c>
      <c r="M4" s="42">
        <v>1</v>
      </c>
      <c r="N4" s="43">
        <f t="shared" ref="N4:N14" si="1">SUM(J4:M4)</f>
        <v>3</v>
      </c>
      <c r="O4" s="43">
        <f>E4+J4</f>
        <v>1</v>
      </c>
      <c r="P4" s="43">
        <f t="shared" ref="P4:R14" si="2">F4+K4</f>
        <v>1</v>
      </c>
      <c r="Q4" s="43">
        <f t="shared" si="2"/>
        <v>14.487500000000001</v>
      </c>
      <c r="R4" s="43">
        <f t="shared" si="2"/>
        <v>2</v>
      </c>
      <c r="S4" s="51">
        <f t="shared" ref="S4:S14" si="3">SUM(O4:R4)</f>
        <v>18.487500000000001</v>
      </c>
      <c r="T4" s="42">
        <v>1</v>
      </c>
      <c r="U4" s="42">
        <v>1</v>
      </c>
      <c r="V4" s="42">
        <v>14</v>
      </c>
      <c r="W4" s="42">
        <v>1</v>
      </c>
      <c r="X4" s="51">
        <f t="shared" ref="X4:X14" si="4">SUM(T4:W4)</f>
        <v>17</v>
      </c>
      <c r="Y4" s="42">
        <v>1</v>
      </c>
      <c r="Z4" s="42">
        <v>1</v>
      </c>
      <c r="AA4" s="42">
        <v>14</v>
      </c>
      <c r="AB4" s="42">
        <v>1</v>
      </c>
      <c r="AC4" s="43">
        <f t="shared" ref="AC4:AC14" si="5">SUM(Y4:AB4)</f>
        <v>17</v>
      </c>
      <c r="AD4" s="43">
        <f>(Y4*7050+Z4*6485+AA4*5800+AB4*4900)*12</f>
        <v>1195620</v>
      </c>
      <c r="AE4" s="43">
        <f t="shared" ref="AE4:AE14" si="6">AC4*4320</f>
        <v>73440</v>
      </c>
      <c r="AF4" s="43">
        <f t="shared" ref="AF4:AF14" si="7">AC4*6000</f>
        <v>102000</v>
      </c>
      <c r="AG4" s="43">
        <f t="shared" ref="AG4:AG14" si="8">AC4*2400</f>
        <v>40800</v>
      </c>
      <c r="AH4" s="43">
        <f t="shared" ref="AH4:AH14" si="9">AC4*9400</f>
        <v>159800</v>
      </c>
      <c r="AI4" s="43">
        <f t="shared" ref="AI4:AI14" si="10">AC4*800</f>
        <v>13600</v>
      </c>
      <c r="AJ4" s="43">
        <f t="shared" ref="AJ4:AJ14" si="11">D4*50*200</f>
        <v>10000</v>
      </c>
      <c r="AK4" s="43">
        <f t="shared" ref="AK4:AK14" si="12">AC4*960</f>
        <v>16320</v>
      </c>
      <c r="AL4" s="43">
        <f t="shared" ref="AL4:AL14" si="13">ROUND((7384*0.34256*AC4*12),2)</f>
        <v>516010.46</v>
      </c>
      <c r="AM4" s="43">
        <f t="shared" ref="AM4:AM14" si="14">ROUND(SUM(AD4:AL4),0)</f>
        <v>2127590</v>
      </c>
      <c r="AN4" s="64"/>
      <c r="AO4" s="43">
        <f>AM4+AN4</f>
        <v>2127590</v>
      </c>
    </row>
    <row r="5" spans="1:41" ht="18" customHeight="1">
      <c r="A5" s="40" t="s">
        <v>2</v>
      </c>
      <c r="B5" s="41" t="s">
        <v>238</v>
      </c>
      <c r="C5" s="41" t="s">
        <v>236</v>
      </c>
      <c r="D5" s="42">
        <v>2</v>
      </c>
      <c r="E5" s="47">
        <v>0</v>
      </c>
      <c r="F5" s="47">
        <v>2</v>
      </c>
      <c r="G5" s="47">
        <v>29.024999999999999</v>
      </c>
      <c r="H5" s="47">
        <v>2</v>
      </c>
      <c r="I5" s="43">
        <f t="shared" si="0"/>
        <v>33.024999999999999</v>
      </c>
      <c r="J5" s="42">
        <v>4</v>
      </c>
      <c r="K5" s="42">
        <v>0</v>
      </c>
      <c r="L5" s="42">
        <v>1</v>
      </c>
      <c r="M5" s="42">
        <v>0</v>
      </c>
      <c r="N5" s="43">
        <f t="shared" si="1"/>
        <v>5</v>
      </c>
      <c r="O5" s="43">
        <f t="shared" ref="O5:O14" si="15">E5+J5</f>
        <v>4</v>
      </c>
      <c r="P5" s="43">
        <f t="shared" si="2"/>
        <v>2</v>
      </c>
      <c r="Q5" s="43">
        <f t="shared" si="2"/>
        <v>30.024999999999999</v>
      </c>
      <c r="R5" s="43">
        <f t="shared" si="2"/>
        <v>2</v>
      </c>
      <c r="S5" s="51">
        <f t="shared" si="3"/>
        <v>38.024999999999999</v>
      </c>
      <c r="T5" s="42">
        <v>3</v>
      </c>
      <c r="U5" s="42">
        <v>2</v>
      </c>
      <c r="V5" s="42">
        <v>29</v>
      </c>
      <c r="W5" s="42">
        <v>2</v>
      </c>
      <c r="X5" s="51">
        <f t="shared" si="4"/>
        <v>36</v>
      </c>
      <c r="Y5" s="42">
        <v>3</v>
      </c>
      <c r="Z5" s="42">
        <v>2</v>
      </c>
      <c r="AA5" s="42">
        <v>29</v>
      </c>
      <c r="AB5" s="42">
        <v>2</v>
      </c>
      <c r="AC5" s="43">
        <f t="shared" si="5"/>
        <v>36</v>
      </c>
      <c r="AD5" s="43">
        <f>(Y5*7050+Z5*6485+AA5*5800+AB5*4900)*12</f>
        <v>2545440</v>
      </c>
      <c r="AE5" s="43">
        <f t="shared" si="6"/>
        <v>155520</v>
      </c>
      <c r="AF5" s="43">
        <f t="shared" si="7"/>
        <v>216000</v>
      </c>
      <c r="AG5" s="43">
        <f t="shared" si="8"/>
        <v>86400</v>
      </c>
      <c r="AH5" s="43">
        <f t="shared" si="9"/>
        <v>338400</v>
      </c>
      <c r="AI5" s="43">
        <f t="shared" si="10"/>
        <v>28800</v>
      </c>
      <c r="AJ5" s="43">
        <f t="shared" si="11"/>
        <v>20000</v>
      </c>
      <c r="AK5" s="43">
        <f t="shared" si="12"/>
        <v>34560</v>
      </c>
      <c r="AL5" s="43">
        <f t="shared" si="13"/>
        <v>1092728.03</v>
      </c>
      <c r="AM5" s="43">
        <f t="shared" si="14"/>
        <v>4517848</v>
      </c>
      <c r="AN5" s="63"/>
      <c r="AO5" s="43">
        <f t="shared" ref="AO5:AO14" si="16">AM5+AN5</f>
        <v>4517848</v>
      </c>
    </row>
    <row r="6" spans="1:41" ht="18" customHeight="1">
      <c r="A6" s="40" t="s">
        <v>2</v>
      </c>
      <c r="B6" s="41" t="s">
        <v>239</v>
      </c>
      <c r="C6" s="41" t="s">
        <v>236</v>
      </c>
      <c r="D6" s="42">
        <v>1</v>
      </c>
      <c r="E6" s="47">
        <v>11.726495726495699</v>
      </c>
      <c r="F6" s="47">
        <v>3</v>
      </c>
      <c r="G6" s="47">
        <v>20.225000000000001</v>
      </c>
      <c r="H6" s="47">
        <v>2</v>
      </c>
      <c r="I6" s="43">
        <f t="shared" si="0"/>
        <v>36.9514957264957</v>
      </c>
      <c r="J6" s="42">
        <v>0</v>
      </c>
      <c r="K6" s="42">
        <v>1</v>
      </c>
      <c r="L6" s="42">
        <v>0</v>
      </c>
      <c r="M6" s="42">
        <v>0</v>
      </c>
      <c r="N6" s="43">
        <f t="shared" si="1"/>
        <v>1</v>
      </c>
      <c r="O6" s="43">
        <f t="shared" si="15"/>
        <v>11.726495726495699</v>
      </c>
      <c r="P6" s="43">
        <f t="shared" si="2"/>
        <v>4</v>
      </c>
      <c r="Q6" s="43">
        <f t="shared" si="2"/>
        <v>20.225000000000001</v>
      </c>
      <c r="R6" s="43">
        <f t="shared" si="2"/>
        <v>2</v>
      </c>
      <c r="S6" s="51">
        <f t="shared" si="3"/>
        <v>37.9514957264957</v>
      </c>
      <c r="T6" s="42">
        <v>11</v>
      </c>
      <c r="U6" s="42">
        <v>5</v>
      </c>
      <c r="V6" s="42">
        <v>19</v>
      </c>
      <c r="W6" s="42">
        <v>2</v>
      </c>
      <c r="X6" s="51">
        <f t="shared" si="4"/>
        <v>37</v>
      </c>
      <c r="Y6" s="42">
        <v>11</v>
      </c>
      <c r="Z6" s="42">
        <v>5</v>
      </c>
      <c r="AA6" s="42">
        <v>19</v>
      </c>
      <c r="AB6" s="42">
        <v>2</v>
      </c>
      <c r="AC6" s="43">
        <f t="shared" si="5"/>
        <v>37</v>
      </c>
      <c r="AD6" s="43">
        <f>(Y6*7050+Z6*6485+AA6*5800+AB6*4900)*12</f>
        <v>2759700</v>
      </c>
      <c r="AE6" s="43">
        <f t="shared" si="6"/>
        <v>159840</v>
      </c>
      <c r="AF6" s="43">
        <f t="shared" si="7"/>
        <v>222000</v>
      </c>
      <c r="AG6" s="43">
        <f t="shared" si="8"/>
        <v>88800</v>
      </c>
      <c r="AH6" s="43">
        <f t="shared" si="9"/>
        <v>347800</v>
      </c>
      <c r="AI6" s="43">
        <f t="shared" si="10"/>
        <v>29600</v>
      </c>
      <c r="AJ6" s="43">
        <f t="shared" si="11"/>
        <v>10000</v>
      </c>
      <c r="AK6" s="43">
        <f t="shared" si="12"/>
        <v>35520</v>
      </c>
      <c r="AL6" s="43">
        <f t="shared" si="13"/>
        <v>1123081.5900000001</v>
      </c>
      <c r="AM6" s="43">
        <f t="shared" si="14"/>
        <v>4776342</v>
      </c>
      <c r="AN6" s="63"/>
      <c r="AO6" s="43">
        <f t="shared" si="16"/>
        <v>4776342</v>
      </c>
    </row>
    <row r="7" spans="1:41" s="44" customFormat="1" ht="18" customHeight="1">
      <c r="A7" s="40" t="s">
        <v>2</v>
      </c>
      <c r="B7" s="41" t="s">
        <v>240</v>
      </c>
      <c r="C7" s="41" t="s">
        <v>236</v>
      </c>
      <c r="D7" s="42">
        <v>1</v>
      </c>
      <c r="E7" s="47">
        <v>0</v>
      </c>
      <c r="F7" s="47">
        <v>2</v>
      </c>
      <c r="G7" s="47">
        <v>12.8125</v>
      </c>
      <c r="H7" s="47">
        <v>2</v>
      </c>
      <c r="I7" s="43">
        <f t="shared" si="0"/>
        <v>16.8125</v>
      </c>
      <c r="J7" s="42">
        <v>2</v>
      </c>
      <c r="K7" s="42">
        <v>0</v>
      </c>
      <c r="L7" s="42">
        <v>1</v>
      </c>
      <c r="M7" s="42">
        <v>0</v>
      </c>
      <c r="N7" s="43">
        <f t="shared" si="1"/>
        <v>3</v>
      </c>
      <c r="O7" s="43">
        <f t="shared" si="15"/>
        <v>2</v>
      </c>
      <c r="P7" s="43">
        <f t="shared" si="2"/>
        <v>2</v>
      </c>
      <c r="Q7" s="43">
        <f t="shared" si="2"/>
        <v>13.8125</v>
      </c>
      <c r="R7" s="43">
        <f t="shared" si="2"/>
        <v>2</v>
      </c>
      <c r="S7" s="51">
        <f t="shared" si="3"/>
        <v>19.8125</v>
      </c>
      <c r="T7" s="42">
        <v>2</v>
      </c>
      <c r="U7" s="42">
        <v>2</v>
      </c>
      <c r="V7" s="42">
        <v>13</v>
      </c>
      <c r="W7" s="42">
        <v>2</v>
      </c>
      <c r="X7" s="51">
        <f t="shared" si="4"/>
        <v>19</v>
      </c>
      <c r="Y7" s="42">
        <v>2</v>
      </c>
      <c r="Z7" s="42">
        <v>2</v>
      </c>
      <c r="AA7" s="42">
        <v>13</v>
      </c>
      <c r="AB7" s="42">
        <v>2</v>
      </c>
      <c r="AC7" s="43">
        <f t="shared" si="5"/>
        <v>19</v>
      </c>
      <c r="AD7" s="43">
        <f>(Y7*7050+Z7*6485+AA7*5800+AB7*4900)*12</f>
        <v>1347240</v>
      </c>
      <c r="AE7" s="43">
        <f t="shared" si="6"/>
        <v>82080</v>
      </c>
      <c r="AF7" s="43">
        <f t="shared" si="7"/>
        <v>114000</v>
      </c>
      <c r="AG7" s="43">
        <f t="shared" si="8"/>
        <v>45600</v>
      </c>
      <c r="AH7" s="43">
        <f t="shared" si="9"/>
        <v>178600</v>
      </c>
      <c r="AI7" s="43">
        <f t="shared" si="10"/>
        <v>15200</v>
      </c>
      <c r="AJ7" s="43">
        <f t="shared" si="11"/>
        <v>10000</v>
      </c>
      <c r="AK7" s="43">
        <f t="shared" si="12"/>
        <v>18240</v>
      </c>
      <c r="AL7" s="43">
        <f t="shared" si="13"/>
        <v>576717.56999999995</v>
      </c>
      <c r="AM7" s="43">
        <f t="shared" si="14"/>
        <v>2387678</v>
      </c>
      <c r="AN7" s="64"/>
      <c r="AO7" s="43">
        <f t="shared" si="16"/>
        <v>2387678</v>
      </c>
    </row>
    <row r="8" spans="1:41" s="44" customFormat="1" ht="18" customHeight="1">
      <c r="A8" s="40" t="s">
        <v>2</v>
      </c>
      <c r="B8" s="41" t="s">
        <v>192</v>
      </c>
      <c r="C8" s="41" t="s">
        <v>236</v>
      </c>
      <c r="D8" s="42">
        <v>1</v>
      </c>
      <c r="E8" s="47">
        <v>0</v>
      </c>
      <c r="F8" s="47">
        <v>2</v>
      </c>
      <c r="G8" s="47">
        <v>14.1875</v>
      </c>
      <c r="H8" s="47">
        <v>1</v>
      </c>
      <c r="I8" s="43">
        <f t="shared" si="0"/>
        <v>17.1875</v>
      </c>
      <c r="J8" s="42">
        <v>0</v>
      </c>
      <c r="K8" s="42">
        <v>0</v>
      </c>
      <c r="L8" s="42">
        <v>2</v>
      </c>
      <c r="M8" s="42">
        <v>0</v>
      </c>
      <c r="N8" s="43">
        <f t="shared" si="1"/>
        <v>2</v>
      </c>
      <c r="O8" s="43">
        <f t="shared" si="15"/>
        <v>0</v>
      </c>
      <c r="P8" s="43">
        <f t="shared" si="2"/>
        <v>2</v>
      </c>
      <c r="Q8" s="43">
        <f t="shared" si="2"/>
        <v>16.1875</v>
      </c>
      <c r="R8" s="43">
        <f t="shared" si="2"/>
        <v>1</v>
      </c>
      <c r="S8" s="51">
        <f t="shared" si="3"/>
        <v>19.1875</v>
      </c>
      <c r="T8" s="42">
        <v>0</v>
      </c>
      <c r="U8" s="42">
        <v>2</v>
      </c>
      <c r="V8" s="42">
        <v>16</v>
      </c>
      <c r="W8" s="42">
        <v>1</v>
      </c>
      <c r="X8" s="51">
        <f t="shared" si="4"/>
        <v>19</v>
      </c>
      <c r="Y8" s="42">
        <v>0</v>
      </c>
      <c r="Z8" s="42">
        <v>2</v>
      </c>
      <c r="AA8" s="42">
        <v>16</v>
      </c>
      <c r="AB8" s="42">
        <v>1</v>
      </c>
      <c r="AC8" s="43">
        <f t="shared" si="5"/>
        <v>19</v>
      </c>
      <c r="AD8" s="43">
        <f>(Y8*7050+Z8*6485+AA8*5800+AB8*4900)*12</f>
        <v>1328040</v>
      </c>
      <c r="AE8" s="43">
        <f t="shared" si="6"/>
        <v>82080</v>
      </c>
      <c r="AF8" s="43">
        <f t="shared" si="7"/>
        <v>114000</v>
      </c>
      <c r="AG8" s="43">
        <f t="shared" si="8"/>
        <v>45600</v>
      </c>
      <c r="AH8" s="43">
        <f t="shared" si="9"/>
        <v>178600</v>
      </c>
      <c r="AI8" s="43">
        <f t="shared" si="10"/>
        <v>15200</v>
      </c>
      <c r="AJ8" s="43">
        <f t="shared" si="11"/>
        <v>10000</v>
      </c>
      <c r="AK8" s="43">
        <f t="shared" si="12"/>
        <v>18240</v>
      </c>
      <c r="AL8" s="43">
        <f t="shared" si="13"/>
        <v>576717.56999999995</v>
      </c>
      <c r="AM8" s="43">
        <f t="shared" si="14"/>
        <v>2368478</v>
      </c>
      <c r="AN8" s="64"/>
      <c r="AO8" s="43">
        <f t="shared" si="16"/>
        <v>2368478</v>
      </c>
    </row>
    <row r="9" spans="1:41" ht="18" customHeight="1">
      <c r="A9" s="40" t="s">
        <v>2</v>
      </c>
      <c r="B9" s="41" t="s">
        <v>241</v>
      </c>
      <c r="C9" s="41" t="s">
        <v>295</v>
      </c>
      <c r="D9" s="42"/>
      <c r="E9" s="47">
        <v>37</v>
      </c>
      <c r="F9" s="47">
        <v>11</v>
      </c>
      <c r="G9" s="47">
        <v>0</v>
      </c>
      <c r="H9" s="47">
        <v>9</v>
      </c>
      <c r="I9" s="43">
        <f t="shared" si="0"/>
        <v>57</v>
      </c>
      <c r="J9" s="42">
        <v>3</v>
      </c>
      <c r="K9" s="42">
        <v>4</v>
      </c>
      <c r="L9" s="42">
        <v>0</v>
      </c>
      <c r="M9" s="42">
        <v>0</v>
      </c>
      <c r="N9" s="43">
        <f t="shared" si="1"/>
        <v>7</v>
      </c>
      <c r="O9" s="43">
        <f t="shared" si="15"/>
        <v>40</v>
      </c>
      <c r="P9" s="43">
        <f t="shared" si="2"/>
        <v>15</v>
      </c>
      <c r="Q9" s="43">
        <f t="shared" si="2"/>
        <v>0</v>
      </c>
      <c r="R9" s="43">
        <f t="shared" si="2"/>
        <v>9</v>
      </c>
      <c r="S9" s="51">
        <f t="shared" si="3"/>
        <v>64</v>
      </c>
      <c r="T9" s="42">
        <v>10</v>
      </c>
      <c r="U9" s="42">
        <v>8</v>
      </c>
      <c r="V9" s="42">
        <v>0</v>
      </c>
      <c r="W9" s="42">
        <v>8</v>
      </c>
      <c r="X9" s="51">
        <f t="shared" si="4"/>
        <v>26</v>
      </c>
      <c r="Y9" s="42">
        <v>10</v>
      </c>
      <c r="Z9" s="42">
        <v>8</v>
      </c>
      <c r="AA9" s="42">
        <v>0</v>
      </c>
      <c r="AB9" s="42">
        <v>8</v>
      </c>
      <c r="AC9" s="43">
        <f t="shared" si="5"/>
        <v>26</v>
      </c>
      <c r="AD9" s="43">
        <f>(Y9*9230+Z9*7215+AA9*5800+AB9*5100)*12</f>
        <v>2289840</v>
      </c>
      <c r="AE9" s="43">
        <f t="shared" si="6"/>
        <v>112320</v>
      </c>
      <c r="AF9" s="43">
        <f t="shared" si="7"/>
        <v>156000</v>
      </c>
      <c r="AG9" s="43">
        <f t="shared" si="8"/>
        <v>62400</v>
      </c>
      <c r="AH9" s="43">
        <f>Y9*15400+(Z9+AA9+AB9)*9400</f>
        <v>304400</v>
      </c>
      <c r="AI9" s="43">
        <f t="shared" si="10"/>
        <v>20800</v>
      </c>
      <c r="AJ9" s="43">
        <f t="shared" si="11"/>
        <v>0</v>
      </c>
      <c r="AK9" s="43">
        <f t="shared" si="12"/>
        <v>24960</v>
      </c>
      <c r="AL9" s="43">
        <f t="shared" si="13"/>
        <v>789192.47</v>
      </c>
      <c r="AM9" s="43">
        <f t="shared" si="14"/>
        <v>3759912</v>
      </c>
      <c r="AN9" s="63">
        <v>146697.5</v>
      </c>
      <c r="AO9" s="64">
        <f t="shared" si="16"/>
        <v>3906609.5</v>
      </c>
    </row>
    <row r="10" spans="1:41" ht="18" customHeight="1">
      <c r="A10" s="40" t="s">
        <v>2</v>
      </c>
      <c r="B10" s="41" t="s">
        <v>242</v>
      </c>
      <c r="C10" s="41" t="s">
        <v>285</v>
      </c>
      <c r="D10" s="42"/>
      <c r="E10" s="47">
        <v>7.6206896551719865</v>
      </c>
      <c r="F10" s="47">
        <v>12</v>
      </c>
      <c r="G10" s="47">
        <v>0</v>
      </c>
      <c r="H10" s="47">
        <v>10</v>
      </c>
      <c r="I10" s="43">
        <f t="shared" si="0"/>
        <v>29.620689655171986</v>
      </c>
      <c r="J10" s="42">
        <v>1</v>
      </c>
      <c r="K10" s="42">
        <v>0</v>
      </c>
      <c r="L10" s="42">
        <v>0</v>
      </c>
      <c r="M10" s="42">
        <v>0</v>
      </c>
      <c r="N10" s="43">
        <f t="shared" si="1"/>
        <v>1</v>
      </c>
      <c r="O10" s="43">
        <f t="shared" si="15"/>
        <v>8.6206896551719865</v>
      </c>
      <c r="P10" s="43">
        <f t="shared" si="2"/>
        <v>12</v>
      </c>
      <c r="Q10" s="43">
        <f t="shared" si="2"/>
        <v>0</v>
      </c>
      <c r="R10" s="43">
        <f t="shared" si="2"/>
        <v>10</v>
      </c>
      <c r="S10" s="51">
        <f t="shared" si="3"/>
        <v>30.620689655171986</v>
      </c>
      <c r="T10" s="42">
        <v>4</v>
      </c>
      <c r="U10" s="42">
        <v>7</v>
      </c>
      <c r="V10" s="42">
        <v>0</v>
      </c>
      <c r="W10" s="42">
        <v>11</v>
      </c>
      <c r="X10" s="51">
        <f t="shared" si="4"/>
        <v>22</v>
      </c>
      <c r="Y10" s="42">
        <v>4</v>
      </c>
      <c r="Z10" s="42">
        <v>7</v>
      </c>
      <c r="AA10" s="42">
        <v>0</v>
      </c>
      <c r="AB10" s="42">
        <v>11</v>
      </c>
      <c r="AC10" s="43">
        <f t="shared" si="5"/>
        <v>22</v>
      </c>
      <c r="AD10" s="43">
        <f>(Y10*7050+Z10*6485+AA10*5800+AB10*4900)*12</f>
        <v>1529940</v>
      </c>
      <c r="AE10" s="43">
        <f t="shared" si="6"/>
        <v>95040</v>
      </c>
      <c r="AF10" s="43">
        <f t="shared" si="7"/>
        <v>132000</v>
      </c>
      <c r="AG10" s="43">
        <f t="shared" si="8"/>
        <v>52800</v>
      </c>
      <c r="AH10" s="43">
        <f t="shared" si="9"/>
        <v>206800</v>
      </c>
      <c r="AI10" s="43">
        <f t="shared" si="10"/>
        <v>17600</v>
      </c>
      <c r="AJ10" s="43">
        <f t="shared" si="11"/>
        <v>0</v>
      </c>
      <c r="AK10" s="43">
        <f t="shared" si="12"/>
        <v>21120</v>
      </c>
      <c r="AL10" s="43">
        <f t="shared" si="13"/>
        <v>667778.24</v>
      </c>
      <c r="AM10" s="43">
        <f t="shared" si="14"/>
        <v>2723078</v>
      </c>
      <c r="AN10" s="63">
        <v>31510.25</v>
      </c>
      <c r="AO10" s="64">
        <f t="shared" si="16"/>
        <v>2754588.25</v>
      </c>
    </row>
    <row r="11" spans="1:41" ht="18" customHeight="1">
      <c r="A11" s="40" t="s">
        <v>2</v>
      </c>
      <c r="B11" s="41" t="s">
        <v>243</v>
      </c>
      <c r="C11" s="41" t="s">
        <v>295</v>
      </c>
      <c r="D11" s="42"/>
      <c r="E11" s="47">
        <v>0</v>
      </c>
      <c r="F11" s="47">
        <v>10</v>
      </c>
      <c r="G11" s="47">
        <v>0</v>
      </c>
      <c r="H11" s="47">
        <v>9</v>
      </c>
      <c r="I11" s="43">
        <f t="shared" si="0"/>
        <v>19</v>
      </c>
      <c r="J11" s="42">
        <v>0</v>
      </c>
      <c r="K11" s="42">
        <v>2</v>
      </c>
      <c r="L11" s="42">
        <v>0</v>
      </c>
      <c r="M11" s="42">
        <v>0</v>
      </c>
      <c r="N11" s="43">
        <f t="shared" si="1"/>
        <v>2</v>
      </c>
      <c r="O11" s="43">
        <f t="shared" si="15"/>
        <v>0</v>
      </c>
      <c r="P11" s="43">
        <f t="shared" si="2"/>
        <v>12</v>
      </c>
      <c r="Q11" s="43">
        <f t="shared" si="2"/>
        <v>0</v>
      </c>
      <c r="R11" s="43">
        <f t="shared" si="2"/>
        <v>9</v>
      </c>
      <c r="S11" s="51">
        <f t="shared" si="3"/>
        <v>21</v>
      </c>
      <c r="T11" s="42">
        <v>0</v>
      </c>
      <c r="U11" s="42">
        <v>3</v>
      </c>
      <c r="V11" s="42">
        <v>0</v>
      </c>
      <c r="W11" s="42">
        <v>12</v>
      </c>
      <c r="X11" s="51">
        <f t="shared" si="4"/>
        <v>15</v>
      </c>
      <c r="Y11" s="42">
        <v>0</v>
      </c>
      <c r="Z11" s="42">
        <v>3</v>
      </c>
      <c r="AA11" s="42">
        <v>0</v>
      </c>
      <c r="AB11" s="42">
        <v>12</v>
      </c>
      <c r="AC11" s="43">
        <f t="shared" si="5"/>
        <v>15</v>
      </c>
      <c r="AD11" s="43">
        <f t="shared" ref="AD11:AD12" si="17">(Y11*9230+Z11*7215+AA11*5800+AB11*5100)*12</f>
        <v>994140</v>
      </c>
      <c r="AE11" s="43">
        <f t="shared" si="6"/>
        <v>64800</v>
      </c>
      <c r="AF11" s="43">
        <f t="shared" si="7"/>
        <v>90000</v>
      </c>
      <c r="AG11" s="43">
        <f t="shared" si="8"/>
        <v>36000</v>
      </c>
      <c r="AH11" s="43">
        <f t="shared" ref="AH11:AH12" si="18">Y11*15400+(Z11+AA11+AB11)*9400</f>
        <v>141000</v>
      </c>
      <c r="AI11" s="43">
        <f t="shared" si="10"/>
        <v>12000</v>
      </c>
      <c r="AJ11" s="43">
        <f t="shared" si="11"/>
        <v>0</v>
      </c>
      <c r="AK11" s="43">
        <f t="shared" si="12"/>
        <v>14400</v>
      </c>
      <c r="AL11" s="43">
        <f t="shared" si="13"/>
        <v>455303.35</v>
      </c>
      <c r="AM11" s="43">
        <f t="shared" si="14"/>
        <v>1807643</v>
      </c>
      <c r="AN11" s="63"/>
      <c r="AO11" s="64">
        <f t="shared" si="16"/>
        <v>1807643</v>
      </c>
    </row>
    <row r="12" spans="1:41" ht="18" customHeight="1">
      <c r="A12" s="40" t="s">
        <v>2</v>
      </c>
      <c r="B12" s="41" t="s">
        <v>244</v>
      </c>
      <c r="C12" s="41" t="s">
        <v>191</v>
      </c>
      <c r="D12" s="42"/>
      <c r="E12" s="47">
        <v>32.831932773109003</v>
      </c>
      <c r="F12" s="47">
        <v>11</v>
      </c>
      <c r="G12" s="47">
        <v>0</v>
      </c>
      <c r="H12" s="47">
        <v>6</v>
      </c>
      <c r="I12" s="43">
        <f t="shared" si="0"/>
        <v>49.831932773109003</v>
      </c>
      <c r="J12" s="42">
        <v>0</v>
      </c>
      <c r="K12" s="42">
        <v>2</v>
      </c>
      <c r="L12" s="42">
        <v>0</v>
      </c>
      <c r="M12" s="42">
        <v>1</v>
      </c>
      <c r="N12" s="43">
        <f t="shared" si="1"/>
        <v>3</v>
      </c>
      <c r="O12" s="43">
        <f t="shared" si="15"/>
        <v>32.831932773109003</v>
      </c>
      <c r="P12" s="43">
        <f t="shared" si="2"/>
        <v>13</v>
      </c>
      <c r="Q12" s="43">
        <f t="shared" si="2"/>
        <v>0</v>
      </c>
      <c r="R12" s="43">
        <f t="shared" si="2"/>
        <v>7</v>
      </c>
      <c r="S12" s="51">
        <f t="shared" si="3"/>
        <v>52.831932773109003</v>
      </c>
      <c r="T12" s="42">
        <v>9</v>
      </c>
      <c r="U12" s="42">
        <v>9</v>
      </c>
      <c r="V12" s="42">
        <v>0</v>
      </c>
      <c r="W12" s="42">
        <v>6</v>
      </c>
      <c r="X12" s="51">
        <f t="shared" si="4"/>
        <v>24</v>
      </c>
      <c r="Y12" s="42">
        <v>9</v>
      </c>
      <c r="Z12" s="42">
        <v>9</v>
      </c>
      <c r="AA12" s="42">
        <v>0</v>
      </c>
      <c r="AB12" s="42">
        <v>6</v>
      </c>
      <c r="AC12" s="43">
        <f t="shared" si="5"/>
        <v>24</v>
      </c>
      <c r="AD12" s="43">
        <f t="shared" si="17"/>
        <v>2143260</v>
      </c>
      <c r="AE12" s="43">
        <f t="shared" si="6"/>
        <v>103680</v>
      </c>
      <c r="AF12" s="43">
        <f t="shared" si="7"/>
        <v>144000</v>
      </c>
      <c r="AG12" s="43">
        <f t="shared" si="8"/>
        <v>57600</v>
      </c>
      <c r="AH12" s="43">
        <f t="shared" si="18"/>
        <v>279600</v>
      </c>
      <c r="AI12" s="43">
        <f t="shared" si="10"/>
        <v>19200</v>
      </c>
      <c r="AJ12" s="43">
        <f t="shared" si="11"/>
        <v>0</v>
      </c>
      <c r="AK12" s="43">
        <f t="shared" si="12"/>
        <v>23040</v>
      </c>
      <c r="AL12" s="43">
        <f t="shared" si="13"/>
        <v>728485.36</v>
      </c>
      <c r="AM12" s="43">
        <f t="shared" si="14"/>
        <v>3498865</v>
      </c>
      <c r="AN12" s="63">
        <v>64001</v>
      </c>
      <c r="AO12" s="64">
        <f t="shared" si="16"/>
        <v>3562866</v>
      </c>
    </row>
    <row r="13" spans="1:41" s="44" customFormat="1" ht="18" customHeight="1">
      <c r="A13" s="40" t="s">
        <v>2</v>
      </c>
      <c r="B13" s="41" t="s">
        <v>245</v>
      </c>
      <c r="C13" s="41" t="s">
        <v>236</v>
      </c>
      <c r="D13" s="42">
        <v>1</v>
      </c>
      <c r="E13" s="47">
        <v>0</v>
      </c>
      <c r="F13" s="47">
        <v>2</v>
      </c>
      <c r="G13" s="47">
        <v>14.1</v>
      </c>
      <c r="H13" s="47">
        <v>3</v>
      </c>
      <c r="I13" s="43">
        <f t="shared" si="0"/>
        <v>19.100000000000001</v>
      </c>
      <c r="J13" s="42">
        <v>3</v>
      </c>
      <c r="K13" s="42">
        <v>1</v>
      </c>
      <c r="L13" s="42">
        <v>0</v>
      </c>
      <c r="M13" s="42">
        <v>0</v>
      </c>
      <c r="N13" s="43">
        <f t="shared" si="1"/>
        <v>4</v>
      </c>
      <c r="O13" s="43">
        <f t="shared" si="15"/>
        <v>3</v>
      </c>
      <c r="P13" s="43">
        <f t="shared" si="2"/>
        <v>3</v>
      </c>
      <c r="Q13" s="43">
        <f t="shared" si="2"/>
        <v>14.1</v>
      </c>
      <c r="R13" s="43">
        <f t="shared" si="2"/>
        <v>3</v>
      </c>
      <c r="S13" s="51">
        <f t="shared" si="3"/>
        <v>23.1</v>
      </c>
      <c r="T13" s="42">
        <v>3</v>
      </c>
      <c r="U13" s="42">
        <v>3</v>
      </c>
      <c r="V13" s="42">
        <v>12</v>
      </c>
      <c r="W13" s="42">
        <v>4</v>
      </c>
      <c r="X13" s="51">
        <f t="shared" si="4"/>
        <v>22</v>
      </c>
      <c r="Y13" s="42">
        <v>3</v>
      </c>
      <c r="Z13" s="42">
        <v>3</v>
      </c>
      <c r="AA13" s="42">
        <v>12</v>
      </c>
      <c r="AB13" s="42">
        <v>4</v>
      </c>
      <c r="AC13" s="43">
        <f t="shared" si="5"/>
        <v>22</v>
      </c>
      <c r="AD13" s="43">
        <f>(Y13*7050+Z13*6485+AA13*5800+AB13*4900)*12</f>
        <v>1557660</v>
      </c>
      <c r="AE13" s="43">
        <f t="shared" si="6"/>
        <v>95040</v>
      </c>
      <c r="AF13" s="43">
        <f t="shared" si="7"/>
        <v>132000</v>
      </c>
      <c r="AG13" s="43">
        <f t="shared" si="8"/>
        <v>52800</v>
      </c>
      <c r="AH13" s="43">
        <f t="shared" si="9"/>
        <v>206800</v>
      </c>
      <c r="AI13" s="43">
        <f t="shared" si="10"/>
        <v>17600</v>
      </c>
      <c r="AJ13" s="43">
        <f t="shared" si="11"/>
        <v>10000</v>
      </c>
      <c r="AK13" s="43">
        <f t="shared" si="12"/>
        <v>21120</v>
      </c>
      <c r="AL13" s="43">
        <f t="shared" si="13"/>
        <v>667778.24</v>
      </c>
      <c r="AM13" s="43">
        <f t="shared" si="14"/>
        <v>2760798</v>
      </c>
      <c r="AN13" s="64"/>
      <c r="AO13" s="43">
        <f t="shared" si="16"/>
        <v>2760798</v>
      </c>
    </row>
    <row r="14" spans="1:41" ht="18" customHeight="1">
      <c r="A14" s="40" t="s">
        <v>2</v>
      </c>
      <c r="B14" s="41" t="s">
        <v>246</v>
      </c>
      <c r="C14" s="41" t="s">
        <v>236</v>
      </c>
      <c r="D14" s="42">
        <v>1</v>
      </c>
      <c r="E14" s="47">
        <v>11.316239316239297</v>
      </c>
      <c r="F14" s="47">
        <v>3</v>
      </c>
      <c r="G14" s="47">
        <v>21.75</v>
      </c>
      <c r="H14" s="47">
        <v>3</v>
      </c>
      <c r="I14" s="43">
        <f t="shared" si="0"/>
        <v>39.066239316239297</v>
      </c>
      <c r="J14" s="42">
        <v>0</v>
      </c>
      <c r="K14" s="42">
        <v>0</v>
      </c>
      <c r="L14" s="42">
        <v>0</v>
      </c>
      <c r="M14" s="42">
        <v>0</v>
      </c>
      <c r="N14" s="43">
        <f t="shared" si="1"/>
        <v>0</v>
      </c>
      <c r="O14" s="43">
        <f t="shared" si="15"/>
        <v>11.316239316239297</v>
      </c>
      <c r="P14" s="43">
        <f t="shared" si="2"/>
        <v>3</v>
      </c>
      <c r="Q14" s="43">
        <f t="shared" si="2"/>
        <v>21.75</v>
      </c>
      <c r="R14" s="43">
        <f t="shared" si="2"/>
        <v>3</v>
      </c>
      <c r="S14" s="51">
        <f t="shared" si="3"/>
        <v>39.066239316239297</v>
      </c>
      <c r="T14" s="42">
        <v>11</v>
      </c>
      <c r="U14" s="42">
        <v>4</v>
      </c>
      <c r="V14" s="42">
        <v>21</v>
      </c>
      <c r="W14" s="42">
        <v>3</v>
      </c>
      <c r="X14" s="51">
        <f t="shared" si="4"/>
        <v>39</v>
      </c>
      <c r="Y14" s="42">
        <v>11</v>
      </c>
      <c r="Z14" s="42">
        <v>4</v>
      </c>
      <c r="AA14" s="42">
        <v>21</v>
      </c>
      <c r="AB14" s="42">
        <v>3</v>
      </c>
      <c r="AC14" s="43">
        <f t="shared" si="5"/>
        <v>39</v>
      </c>
      <c r="AD14" s="43">
        <f>(Y14*7050+Z14*6485+AA14*5800+AB14*4900)*12</f>
        <v>2879880</v>
      </c>
      <c r="AE14" s="43">
        <f t="shared" si="6"/>
        <v>168480</v>
      </c>
      <c r="AF14" s="43">
        <f t="shared" si="7"/>
        <v>234000</v>
      </c>
      <c r="AG14" s="43">
        <f t="shared" si="8"/>
        <v>93600</v>
      </c>
      <c r="AH14" s="43">
        <f t="shared" si="9"/>
        <v>366600</v>
      </c>
      <c r="AI14" s="43">
        <f t="shared" si="10"/>
        <v>31200</v>
      </c>
      <c r="AJ14" s="43">
        <f t="shared" si="11"/>
        <v>10000</v>
      </c>
      <c r="AK14" s="43">
        <f t="shared" si="12"/>
        <v>37440</v>
      </c>
      <c r="AL14" s="43">
        <f t="shared" si="13"/>
        <v>1183788.7</v>
      </c>
      <c r="AM14" s="43">
        <f t="shared" si="14"/>
        <v>5004989</v>
      </c>
      <c r="AN14" s="63"/>
      <c r="AO14" s="43">
        <f t="shared" si="16"/>
        <v>5004989</v>
      </c>
    </row>
    <row r="15" spans="1:41" s="46" customFormat="1" ht="18" customHeight="1">
      <c r="A15" s="91"/>
      <c r="B15" s="91" t="s">
        <v>247</v>
      </c>
      <c r="C15" s="91"/>
      <c r="D15" s="45">
        <f>SUM(D4:D14)</f>
        <v>8</v>
      </c>
      <c r="E15" s="45">
        <f t="shared" ref="E15:AO15" si="19">SUM(E4:E14)</f>
        <v>100.49535747101598</v>
      </c>
      <c r="F15" s="45">
        <f t="shared" si="19"/>
        <v>59</v>
      </c>
      <c r="G15" s="45">
        <f t="shared" si="19"/>
        <v>125.58750000000001</v>
      </c>
      <c r="H15" s="45">
        <f t="shared" si="19"/>
        <v>48</v>
      </c>
      <c r="I15" s="45">
        <f t="shared" si="19"/>
        <v>333.08285747101604</v>
      </c>
      <c r="J15" s="45">
        <f t="shared" si="19"/>
        <v>14</v>
      </c>
      <c r="K15" s="45">
        <f t="shared" si="19"/>
        <v>10</v>
      </c>
      <c r="L15" s="45">
        <f t="shared" si="19"/>
        <v>5</v>
      </c>
      <c r="M15" s="45">
        <f t="shared" si="19"/>
        <v>2</v>
      </c>
      <c r="N15" s="45">
        <f t="shared" si="19"/>
        <v>31</v>
      </c>
      <c r="O15" s="45">
        <f t="shared" si="19"/>
        <v>114.49535747101598</v>
      </c>
      <c r="P15" s="45">
        <f t="shared" si="19"/>
        <v>69</v>
      </c>
      <c r="Q15" s="45">
        <f t="shared" si="19"/>
        <v>130.58750000000001</v>
      </c>
      <c r="R15" s="45">
        <f t="shared" si="19"/>
        <v>50</v>
      </c>
      <c r="S15" s="45">
        <f t="shared" si="19"/>
        <v>364.08285747101604</v>
      </c>
      <c r="T15" s="45">
        <f t="shared" si="19"/>
        <v>54</v>
      </c>
      <c r="U15" s="45">
        <f t="shared" si="19"/>
        <v>46</v>
      </c>
      <c r="V15" s="45">
        <f t="shared" si="19"/>
        <v>124</v>
      </c>
      <c r="W15" s="45">
        <f t="shared" si="19"/>
        <v>52</v>
      </c>
      <c r="X15" s="45">
        <f t="shared" si="19"/>
        <v>276</v>
      </c>
      <c r="Y15" s="45">
        <f t="shared" si="19"/>
        <v>54</v>
      </c>
      <c r="Z15" s="45">
        <f t="shared" si="19"/>
        <v>46</v>
      </c>
      <c r="AA15" s="45">
        <f t="shared" si="19"/>
        <v>124</v>
      </c>
      <c r="AB15" s="45">
        <f t="shared" si="19"/>
        <v>52</v>
      </c>
      <c r="AC15" s="45">
        <f t="shared" si="19"/>
        <v>276</v>
      </c>
      <c r="AD15" s="45">
        <f t="shared" si="19"/>
        <v>20570760</v>
      </c>
      <c r="AE15" s="45">
        <f t="shared" si="19"/>
        <v>1192320</v>
      </c>
      <c r="AF15" s="45">
        <f t="shared" si="19"/>
        <v>1656000</v>
      </c>
      <c r="AG15" s="45">
        <f t="shared" si="19"/>
        <v>662400</v>
      </c>
      <c r="AH15" s="45">
        <f t="shared" si="19"/>
        <v>2708400</v>
      </c>
      <c r="AI15" s="45">
        <f t="shared" si="19"/>
        <v>220800</v>
      </c>
      <c r="AJ15" s="45">
        <f t="shared" si="19"/>
        <v>80000</v>
      </c>
      <c r="AK15" s="45">
        <f t="shared" si="19"/>
        <v>264960</v>
      </c>
      <c r="AL15" s="45">
        <f t="shared" si="19"/>
        <v>8377581.5800000001</v>
      </c>
      <c r="AM15" s="45">
        <f t="shared" si="19"/>
        <v>35733221</v>
      </c>
      <c r="AN15" s="45">
        <f t="shared" si="19"/>
        <v>242208.75</v>
      </c>
      <c r="AO15" s="45">
        <f t="shared" si="19"/>
        <v>35975429.75</v>
      </c>
    </row>
  </sheetData>
  <autoFilter ref="A2:AN15">
    <filterColumn colId="4" showButton="0"/>
    <filterColumn colId="5" showButton="0"/>
    <filterColumn colId="6" showButton="0"/>
    <filterColumn colId="7" showButton="0"/>
    <filterColumn colId="9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</autoFilter>
  <mergeCells count="13">
    <mergeCell ref="AN2:AN3"/>
    <mergeCell ref="AO2:AO3"/>
    <mergeCell ref="A1:AO1"/>
    <mergeCell ref="AD2:AM2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F52" sqref="F52"/>
    </sheetView>
  </sheetViews>
  <sheetFormatPr defaultRowHeight="13.5" outlineLevelRow="2"/>
  <cols>
    <col min="1" max="1" width="9.625" style="101" customWidth="1"/>
    <col min="2" max="2" width="30" style="101" customWidth="1"/>
    <col min="3" max="5" width="15.625" style="101" customWidth="1"/>
    <col min="6" max="16384" width="9" style="101"/>
  </cols>
  <sheetData>
    <row r="1" spans="1:5" ht="35.25" customHeight="1">
      <c r="A1" s="160" t="s">
        <v>325</v>
      </c>
      <c r="B1" s="160"/>
      <c r="C1" s="160"/>
      <c r="D1" s="161"/>
      <c r="E1" s="161"/>
    </row>
    <row r="2" spans="1:5" s="103" customFormat="1" ht="18" customHeight="1">
      <c r="A2" s="97" t="s">
        <v>326</v>
      </c>
      <c r="B2" s="102" t="s">
        <v>327</v>
      </c>
      <c r="C2" s="102" t="s">
        <v>328</v>
      </c>
      <c r="D2" s="100" t="s">
        <v>329</v>
      </c>
      <c r="E2" s="100" t="s">
        <v>330</v>
      </c>
    </row>
    <row r="3" spans="1:5" ht="18" customHeight="1" outlineLevel="2">
      <c r="A3" s="104" t="s">
        <v>331</v>
      </c>
      <c r="B3" s="105" t="s">
        <v>316</v>
      </c>
      <c r="C3" s="106">
        <v>24038</v>
      </c>
      <c r="D3" s="107">
        <v>31510.25</v>
      </c>
      <c r="E3" s="107">
        <f t="shared" ref="E3:E5" si="0">C3-D3</f>
        <v>-7472.25</v>
      </c>
    </row>
    <row r="4" spans="1:5" ht="18" customHeight="1" outlineLevel="2">
      <c r="A4" s="104" t="s">
        <v>331</v>
      </c>
      <c r="B4" s="105" t="s">
        <v>161</v>
      </c>
      <c r="C4" s="106">
        <v>141026</v>
      </c>
      <c r="D4" s="107">
        <v>146697.5</v>
      </c>
      <c r="E4" s="107">
        <f t="shared" si="0"/>
        <v>-5671.5</v>
      </c>
    </row>
    <row r="5" spans="1:5" ht="18" customHeight="1" outlineLevel="2">
      <c r="A5" s="104" t="s">
        <v>331</v>
      </c>
      <c r="B5" s="105" t="s">
        <v>314</v>
      </c>
      <c r="C5" s="106">
        <v>84887</v>
      </c>
      <c r="D5" s="107">
        <v>64001</v>
      </c>
      <c r="E5" s="107">
        <f t="shared" si="0"/>
        <v>20886</v>
      </c>
    </row>
    <row r="6" spans="1:5" ht="18" customHeight="1" outlineLevel="1">
      <c r="A6" s="108" t="s">
        <v>160</v>
      </c>
      <c r="B6" s="105"/>
      <c r="C6" s="106">
        <f t="shared" ref="C6:E6" si="1">SUBTOTAL(9,C3:C5)</f>
        <v>249951</v>
      </c>
      <c r="D6" s="107">
        <f t="shared" si="1"/>
        <v>242208.75</v>
      </c>
      <c r="E6" s="107">
        <f t="shared" si="1"/>
        <v>7742.25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9</vt:i4>
      </vt:variant>
    </vt:vector>
  </HeadingPairs>
  <TitlesOfParts>
    <vt:vector size="18" baseType="lpstr">
      <vt:lpstr>马桥镇</vt:lpstr>
      <vt:lpstr>马桥</vt:lpstr>
      <vt:lpstr>清算2024年绩效</vt:lpstr>
      <vt:lpstr>补缴年金</vt:lpstr>
      <vt:lpstr>残疾就业保障</vt:lpstr>
      <vt:lpstr>社区教育</vt:lpstr>
      <vt:lpstr>保安经费</vt:lpstr>
      <vt:lpstr>补充公用经费</vt:lpstr>
      <vt:lpstr>清算补充公用经费</vt:lpstr>
      <vt:lpstr>保安经费!Print_Area</vt:lpstr>
      <vt:lpstr>补充公用经费!Print_Area</vt:lpstr>
      <vt:lpstr>残疾就业保障!Print_Area</vt:lpstr>
      <vt:lpstr>马桥!Print_Area</vt:lpstr>
      <vt:lpstr>社区教育!Print_Area</vt:lpstr>
      <vt:lpstr>保安经费!Print_Titles</vt:lpstr>
      <vt:lpstr>补充公用经费!Print_Titles</vt:lpstr>
      <vt:lpstr>残疾就业保障!Print_Titles</vt:lpstr>
      <vt:lpstr>马桥!Print_Titles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2025-01-02T06:09:08Z</cp:lastPrinted>
  <dcterms:created xsi:type="dcterms:W3CDTF">2022-11-10T02:18:00Z</dcterms:created>
  <dcterms:modified xsi:type="dcterms:W3CDTF">2025-02-17T05:50:37Z</dcterms:modified>
</cp:coreProperties>
</file>