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90" windowWidth="1980" windowHeight="12330"/>
  </bookViews>
  <sheets>
    <sheet name="七宝镇" sheetId="68" r:id="rId1"/>
    <sheet name="七宝" sheetId="61" state="hidden" r:id="rId2"/>
    <sheet name="清算2024年绩效" sheetId="64" state="hidden" r:id="rId3"/>
    <sheet name="2024年绩效增量" sheetId="69" state="hidden" r:id="rId4"/>
    <sheet name="补缴年金" sheetId="67" state="hidden" r:id="rId5"/>
    <sheet name="残疾就业保障" sheetId="31" state="hidden" r:id="rId6"/>
    <sheet name="社区教育" sheetId="43" state="hidden" r:id="rId7"/>
    <sheet name="保安经费" sheetId="33" state="hidden" r:id="rId8"/>
    <sheet name="补充公用经费" sheetId="32" state="hidden" r:id="rId9"/>
    <sheet name="清算补充公用经费" sheetId="65" state="hidden" r:id="rId10"/>
  </sheets>
  <definedNames>
    <definedName name="_xlnm._FilterDatabase" localSheetId="7" hidden="1">保安经费!$A$2:$J$34</definedName>
    <definedName name="_xlnm._FilterDatabase" localSheetId="8" hidden="1">补充公用经费!$A$2:$AN$23</definedName>
    <definedName name="_xlnm._FilterDatabase" localSheetId="5" hidden="1">残疾就业保障!$A$2:$E$23</definedName>
    <definedName name="_xlnm.Print_Area" localSheetId="7">保安经费!$A$1:$J$34</definedName>
    <definedName name="_xlnm.Print_Area" localSheetId="8">补充公用经费!$A$1:$AO$23</definedName>
    <definedName name="_xlnm.Print_Area" localSheetId="5">残疾就业保障!$A$1:$E$23</definedName>
    <definedName name="_xlnm.Print_Area" localSheetId="1">七宝!$A$1:$Y$72</definedName>
    <definedName name="_xlnm.Print_Area" localSheetId="6">社区教育!$A$1:$C$4</definedName>
    <definedName name="_xlnm.Print_Titles" localSheetId="7">保安经费!$1:$2</definedName>
    <definedName name="_xlnm.Print_Titles" localSheetId="8">补充公用经费!$1:$3</definedName>
    <definedName name="_xlnm.Print_Titles" localSheetId="5">残疾就业保障!$1:$2</definedName>
    <definedName name="_xlnm.Print_Titles" localSheetId="1">七宝!$1:$3</definedName>
  </definedNames>
  <calcPr calcId="124519"/>
</workbook>
</file>

<file path=xl/calcChain.xml><?xml version="1.0" encoding="utf-8"?>
<calcChain xmlns="http://schemas.openxmlformats.org/spreadsheetml/2006/main">
  <c r="C4" i="68"/>
  <c r="D4" i="69"/>
  <c r="C4"/>
  <c r="D4" i="68" l="1"/>
  <c r="D12" s="1"/>
  <c r="C11"/>
  <c r="E11" s="1"/>
  <c r="C9"/>
  <c r="C8"/>
  <c r="G8" s="1"/>
  <c r="C7"/>
  <c r="E7" s="1"/>
  <c r="C6"/>
  <c r="C5"/>
  <c r="E5" s="1"/>
  <c r="E4"/>
  <c r="G10"/>
  <c r="E10"/>
  <c r="E6"/>
  <c r="G6"/>
  <c r="G5"/>
  <c r="G9" l="1"/>
  <c r="F9"/>
  <c r="F12" s="1"/>
  <c r="E8"/>
  <c r="E9"/>
  <c r="C12"/>
  <c r="G7"/>
  <c r="G11"/>
  <c r="G4"/>
  <c r="E12" l="1"/>
  <c r="G12"/>
  <c r="J5" i="67"/>
  <c r="AD22" i="32" l="1"/>
  <c r="AD20"/>
  <c r="AD19"/>
  <c r="AD18"/>
  <c r="AD13"/>
  <c r="AD12"/>
  <c r="AD11"/>
  <c r="AD10"/>
  <c r="AD9"/>
  <c r="AD8"/>
  <c r="AD7"/>
  <c r="AD6"/>
  <c r="AD5"/>
  <c r="AD4"/>
  <c r="D13" i="65" l="1"/>
  <c r="C13"/>
  <c r="E12"/>
  <c r="E11"/>
  <c r="E10"/>
  <c r="E9"/>
  <c r="E8"/>
  <c r="E7"/>
  <c r="E6"/>
  <c r="E5"/>
  <c r="E4"/>
  <c r="E3"/>
  <c r="E13" l="1"/>
  <c r="L24" i="64" l="1"/>
  <c r="K24"/>
  <c r="J24"/>
  <c r="H24"/>
  <c r="G24"/>
  <c r="F24"/>
  <c r="P23"/>
  <c r="O23"/>
  <c r="N23"/>
  <c r="M23"/>
  <c r="I23"/>
  <c r="P22"/>
  <c r="O22"/>
  <c r="N22"/>
  <c r="M22"/>
  <c r="I22"/>
  <c r="P21"/>
  <c r="O21"/>
  <c r="N21"/>
  <c r="M21"/>
  <c r="I21"/>
  <c r="Q21" s="1"/>
  <c r="P20"/>
  <c r="O20"/>
  <c r="N20"/>
  <c r="M20"/>
  <c r="I20"/>
  <c r="Q20" s="1"/>
  <c r="P19"/>
  <c r="O19"/>
  <c r="N19"/>
  <c r="M19"/>
  <c r="I19"/>
  <c r="P18"/>
  <c r="O18"/>
  <c r="N18"/>
  <c r="M18"/>
  <c r="I18"/>
  <c r="P17"/>
  <c r="O17"/>
  <c r="N17"/>
  <c r="M17"/>
  <c r="I17"/>
  <c r="Q17" s="1"/>
  <c r="P16"/>
  <c r="O16"/>
  <c r="N16"/>
  <c r="M16"/>
  <c r="I16"/>
  <c r="Q16" s="1"/>
  <c r="P15"/>
  <c r="O15"/>
  <c r="N15"/>
  <c r="M15"/>
  <c r="I15"/>
  <c r="P14"/>
  <c r="O14"/>
  <c r="N14"/>
  <c r="M14"/>
  <c r="I14"/>
  <c r="P13"/>
  <c r="O13"/>
  <c r="N13"/>
  <c r="M13"/>
  <c r="I13"/>
  <c r="Q13" s="1"/>
  <c r="P12"/>
  <c r="O12"/>
  <c r="N12"/>
  <c r="M12"/>
  <c r="I12"/>
  <c r="Q12" s="1"/>
  <c r="P11"/>
  <c r="O11"/>
  <c r="N11"/>
  <c r="M11"/>
  <c r="I11"/>
  <c r="P10"/>
  <c r="O10"/>
  <c r="N10"/>
  <c r="M10"/>
  <c r="I10"/>
  <c r="P9"/>
  <c r="O9"/>
  <c r="N9"/>
  <c r="M9"/>
  <c r="I9"/>
  <c r="Q9" s="1"/>
  <c r="P8"/>
  <c r="O8"/>
  <c r="N8"/>
  <c r="M8"/>
  <c r="I8"/>
  <c r="Q8" s="1"/>
  <c r="P7"/>
  <c r="O7"/>
  <c r="N7"/>
  <c r="M7"/>
  <c r="I7"/>
  <c r="P6"/>
  <c r="O6"/>
  <c r="N6"/>
  <c r="M6"/>
  <c r="I6"/>
  <c r="P5"/>
  <c r="O5"/>
  <c r="N5"/>
  <c r="M5"/>
  <c r="I5"/>
  <c r="Q5" s="1"/>
  <c r="P4"/>
  <c r="O4"/>
  <c r="N4"/>
  <c r="M4"/>
  <c r="I4"/>
  <c r="Q4" s="1"/>
  <c r="Q7" l="1"/>
  <c r="Q11"/>
  <c r="Q15"/>
  <c r="O24"/>
  <c r="Q19"/>
  <c r="Q23"/>
  <c r="N24"/>
  <c r="Q6"/>
  <c r="Q10"/>
  <c r="Q14"/>
  <c r="Q18"/>
  <c r="Q22"/>
  <c r="M24"/>
  <c r="P24"/>
  <c r="I24"/>
  <c r="Q24" l="1"/>
  <c r="I52" i="61"/>
  <c r="F52"/>
  <c r="AC4" i="32"/>
  <c r="AG4" s="1"/>
  <c r="AJ4"/>
  <c r="AC5"/>
  <c r="AG5" s="1"/>
  <c r="AJ5"/>
  <c r="AC6"/>
  <c r="AG6" s="1"/>
  <c r="AJ6"/>
  <c r="AC7"/>
  <c r="AG7" s="1"/>
  <c r="AJ7"/>
  <c r="AC8"/>
  <c r="AG8" s="1"/>
  <c r="AJ8"/>
  <c r="AC9"/>
  <c r="AG9" s="1"/>
  <c r="AI9"/>
  <c r="AJ9"/>
  <c r="AC10"/>
  <c r="AG10" s="1"/>
  <c r="AJ10"/>
  <c r="AC11"/>
  <c r="AG11" s="1"/>
  <c r="AJ11"/>
  <c r="AC12"/>
  <c r="AG12" s="1"/>
  <c r="AJ12"/>
  <c r="AC13"/>
  <c r="AG13" s="1"/>
  <c r="AJ13"/>
  <c r="AL13"/>
  <c r="AD14"/>
  <c r="AD23" s="1"/>
  <c r="AC14"/>
  <c r="AG14" s="1"/>
  <c r="AE14"/>
  <c r="AH14"/>
  <c r="AI14"/>
  <c r="AJ14"/>
  <c r="AL14"/>
  <c r="AD15"/>
  <c r="AC15"/>
  <c r="AG15" s="1"/>
  <c r="AH15"/>
  <c r="AJ15"/>
  <c r="AD16"/>
  <c r="AC16"/>
  <c r="AG16" s="1"/>
  <c r="AH16"/>
  <c r="AJ16"/>
  <c r="AD17"/>
  <c r="AC17"/>
  <c r="AG17" s="1"/>
  <c r="AE17"/>
  <c r="AH17"/>
  <c r="AJ17"/>
  <c r="AL17"/>
  <c r="AC18"/>
  <c r="AG18" s="1"/>
  <c r="AJ18"/>
  <c r="AC19"/>
  <c r="AG19" s="1"/>
  <c r="AJ19"/>
  <c r="AC20"/>
  <c r="AG20" s="1"/>
  <c r="AJ20"/>
  <c r="AD21"/>
  <c r="AC21"/>
  <c r="AG21" s="1"/>
  <c r="AH21"/>
  <c r="AJ21"/>
  <c r="AC22"/>
  <c r="AG22" s="1"/>
  <c r="AJ22"/>
  <c r="AN23"/>
  <c r="AC23"/>
  <c r="AB23"/>
  <c r="AA23"/>
  <c r="Z23"/>
  <c r="Y23"/>
  <c r="X4"/>
  <c r="X5"/>
  <c r="X6"/>
  <c r="X7"/>
  <c r="X8"/>
  <c r="X9"/>
  <c r="X10"/>
  <c r="X11"/>
  <c r="X12"/>
  <c r="X13"/>
  <c r="X14"/>
  <c r="X15"/>
  <c r="X16"/>
  <c r="X17"/>
  <c r="X18"/>
  <c r="X19"/>
  <c r="X20"/>
  <c r="X21"/>
  <c r="X22"/>
  <c r="W23"/>
  <c r="V23"/>
  <c r="U23"/>
  <c r="T23"/>
  <c r="O4"/>
  <c r="O23" s="1"/>
  <c r="P4"/>
  <c r="Q4"/>
  <c r="R4"/>
  <c r="O5"/>
  <c r="P5"/>
  <c r="Q5"/>
  <c r="R5"/>
  <c r="O6"/>
  <c r="P6"/>
  <c r="Q6"/>
  <c r="R6"/>
  <c r="O7"/>
  <c r="P7"/>
  <c r="Q7"/>
  <c r="R7"/>
  <c r="O8"/>
  <c r="P8"/>
  <c r="Q8"/>
  <c r="R8"/>
  <c r="O9"/>
  <c r="P9"/>
  <c r="Q9"/>
  <c r="R9"/>
  <c r="O10"/>
  <c r="P10"/>
  <c r="Q10"/>
  <c r="R10"/>
  <c r="O11"/>
  <c r="P11"/>
  <c r="Q11"/>
  <c r="R11"/>
  <c r="O12"/>
  <c r="P12"/>
  <c r="Q12"/>
  <c r="R12"/>
  <c r="O13"/>
  <c r="P13"/>
  <c r="Q13"/>
  <c r="R13"/>
  <c r="O14"/>
  <c r="P14"/>
  <c r="Q14"/>
  <c r="R14"/>
  <c r="O15"/>
  <c r="P15"/>
  <c r="Q15"/>
  <c r="R15"/>
  <c r="O16"/>
  <c r="P16"/>
  <c r="Q16"/>
  <c r="R16"/>
  <c r="O17"/>
  <c r="P17"/>
  <c r="Q17"/>
  <c r="R17"/>
  <c r="S17"/>
  <c r="O18"/>
  <c r="P18"/>
  <c r="Q18"/>
  <c r="R18"/>
  <c r="O19"/>
  <c r="P19"/>
  <c r="Q19"/>
  <c r="Q23" s="1"/>
  <c r="R19"/>
  <c r="O20"/>
  <c r="P20"/>
  <c r="Q20"/>
  <c r="R20"/>
  <c r="O21"/>
  <c r="P21"/>
  <c r="Q21"/>
  <c r="R21"/>
  <c r="S21" s="1"/>
  <c r="O22"/>
  <c r="P22"/>
  <c r="Q22"/>
  <c r="R22"/>
  <c r="P2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M23"/>
  <c r="L23"/>
  <c r="K23"/>
  <c r="J23"/>
  <c r="I4"/>
  <c r="I5"/>
  <c r="I6"/>
  <c r="I7"/>
  <c r="I8"/>
  <c r="I9"/>
  <c r="I10"/>
  <c r="I11"/>
  <c r="I12"/>
  <c r="I13"/>
  <c r="I14"/>
  <c r="I15"/>
  <c r="I16"/>
  <c r="I17"/>
  <c r="I18"/>
  <c r="I19"/>
  <c r="I20"/>
  <c r="I21"/>
  <c r="I22"/>
  <c r="H23"/>
  <c r="G23"/>
  <c r="F23"/>
  <c r="E23"/>
  <c r="D23"/>
  <c r="AJ23" l="1"/>
  <c r="AI5"/>
  <c r="AH4"/>
  <c r="AI15"/>
  <c r="AL11"/>
  <c r="I23"/>
  <c r="AI7"/>
  <c r="AL5"/>
  <c r="AL4"/>
  <c r="S6"/>
  <c r="S22"/>
  <c r="S5"/>
  <c r="S23" s="1"/>
  <c r="AL22"/>
  <c r="AE22"/>
  <c r="AH20"/>
  <c r="AE19"/>
  <c r="AH18"/>
  <c r="AI4"/>
  <c r="AE4"/>
  <c r="AH22"/>
  <c r="AI20"/>
  <c r="AI18"/>
  <c r="AE13"/>
  <c r="AE11"/>
  <c r="AL9"/>
  <c r="AE9"/>
  <c r="AL7"/>
  <c r="AE7"/>
  <c r="AF4"/>
  <c r="S13"/>
  <c r="S12"/>
  <c r="S11"/>
  <c r="S9"/>
  <c r="AI22"/>
  <c r="AL19"/>
  <c r="AH13"/>
  <c r="AI12"/>
  <c r="AH11"/>
  <c r="AH9"/>
  <c r="AH7"/>
  <c r="AH5"/>
  <c r="AK4"/>
  <c r="R23"/>
  <c r="X23"/>
  <c r="AI21"/>
  <c r="AI16"/>
  <c r="AH12"/>
  <c r="AH10"/>
  <c r="AH8"/>
  <c r="AH6"/>
  <c r="AE5"/>
  <c r="S16"/>
  <c r="S15"/>
  <c r="S10"/>
  <c r="AI10"/>
  <c r="AI8"/>
  <c r="AI6"/>
  <c r="AF5"/>
  <c r="N23"/>
  <c r="S20"/>
  <c r="S19"/>
  <c r="S14"/>
  <c r="S4"/>
  <c r="AL21"/>
  <c r="AE21"/>
  <c r="AH19"/>
  <c r="AL16"/>
  <c r="AE16"/>
  <c r="S18"/>
  <c r="S8"/>
  <c r="S7"/>
  <c r="AL20"/>
  <c r="AE20"/>
  <c r="AI19"/>
  <c r="AL18"/>
  <c r="AE18"/>
  <c r="AI17"/>
  <c r="AL15"/>
  <c r="AE15"/>
  <c r="AI13"/>
  <c r="AL12"/>
  <c r="AE12"/>
  <c r="AI11"/>
  <c r="AL10"/>
  <c r="AE10"/>
  <c r="AL8"/>
  <c r="AE8"/>
  <c r="AL6"/>
  <c r="AL23" s="1"/>
  <c r="AE6"/>
  <c r="AG23"/>
  <c r="AF22"/>
  <c r="AF21"/>
  <c r="AF20"/>
  <c r="AF19"/>
  <c r="AF18"/>
  <c r="AF17"/>
  <c r="AF16"/>
  <c r="AF15"/>
  <c r="AF14"/>
  <c r="AF13"/>
  <c r="AF12"/>
  <c r="AF11"/>
  <c r="AF10"/>
  <c r="AF9"/>
  <c r="AF8"/>
  <c r="AF7"/>
  <c r="AF6"/>
  <c r="AK22"/>
  <c r="AK21"/>
  <c r="AK20"/>
  <c r="AK19"/>
  <c r="AK18"/>
  <c r="AK17"/>
  <c r="AK16"/>
  <c r="AK15"/>
  <c r="AK14"/>
  <c r="AK13"/>
  <c r="AK12"/>
  <c r="AK11"/>
  <c r="AK10"/>
  <c r="AK9"/>
  <c r="AK8"/>
  <c r="AK7"/>
  <c r="AK6"/>
  <c r="AK5"/>
  <c r="AM4" l="1"/>
  <c r="AO4" s="1"/>
  <c r="AE23"/>
  <c r="AI23"/>
  <c r="AH23"/>
  <c r="AM6"/>
  <c r="AO6" s="1"/>
  <c r="AF23"/>
  <c r="AM15"/>
  <c r="AO15" s="1"/>
  <c r="AM10"/>
  <c r="AO10" s="1"/>
  <c r="AM14"/>
  <c r="AO14" s="1"/>
  <c r="AM18"/>
  <c r="AO18" s="1"/>
  <c r="AM22"/>
  <c r="AO22" s="1"/>
  <c r="AK23"/>
  <c r="AM9"/>
  <c r="AO9" s="1"/>
  <c r="AM13"/>
  <c r="AO13" s="1"/>
  <c r="AM17"/>
  <c r="AO17" s="1"/>
  <c r="AM21"/>
  <c r="AO21" s="1"/>
  <c r="AM8"/>
  <c r="AO8" s="1"/>
  <c r="AM12"/>
  <c r="AO12" s="1"/>
  <c r="AM16"/>
  <c r="AO16" s="1"/>
  <c r="AM20"/>
  <c r="AO20" s="1"/>
  <c r="AM7"/>
  <c r="AO7" s="1"/>
  <c r="AM11"/>
  <c r="AO11" s="1"/>
  <c r="AM19"/>
  <c r="AO19" s="1"/>
  <c r="AM5"/>
  <c r="AM23" l="1"/>
  <c r="AO5"/>
  <c r="AO23" s="1"/>
  <c r="E34" i="33" l="1"/>
  <c r="D34"/>
  <c r="G33"/>
  <c r="G32"/>
  <c r="G31"/>
  <c r="G30"/>
  <c r="G29"/>
  <c r="G28"/>
  <c r="G27"/>
  <c r="G26"/>
  <c r="G25"/>
  <c r="G24"/>
  <c r="G23"/>
  <c r="G22"/>
  <c r="G21"/>
  <c r="G20"/>
  <c r="G19"/>
  <c r="G18"/>
  <c r="G17"/>
  <c r="G16"/>
  <c r="G15"/>
  <c r="G14"/>
  <c r="G13"/>
  <c r="G12"/>
  <c r="G11"/>
  <c r="G10"/>
  <c r="G9"/>
  <c r="G8"/>
  <c r="G7"/>
  <c r="G6"/>
  <c r="G5"/>
  <c r="G4"/>
  <c r="G3"/>
  <c r="G34" l="1"/>
  <c r="E3" i="31" l="1"/>
  <c r="E4"/>
  <c r="E5"/>
  <c r="E6"/>
  <c r="E7"/>
  <c r="E8"/>
  <c r="E9"/>
  <c r="E10"/>
  <c r="E11"/>
  <c r="E12"/>
  <c r="E13"/>
  <c r="E14"/>
  <c r="E15"/>
  <c r="E16"/>
  <c r="E17"/>
  <c r="E18"/>
  <c r="E19"/>
  <c r="E20"/>
  <c r="E21"/>
  <c r="E22"/>
  <c r="D23"/>
  <c r="E23" l="1"/>
  <c r="X74" i="61" l="1"/>
  <c r="V74"/>
  <c r="U74"/>
  <c r="T74"/>
  <c r="S74"/>
  <c r="R74"/>
  <c r="Q74"/>
  <c r="J74"/>
  <c r="I74"/>
  <c r="G74"/>
  <c r="E74"/>
  <c r="Y72"/>
  <c r="Y71"/>
  <c r="Y70"/>
  <c r="Y69"/>
  <c r="Y68"/>
  <c r="Y67"/>
  <c r="Y66"/>
  <c r="X65"/>
  <c r="W65"/>
  <c r="V65"/>
  <c r="U65"/>
  <c r="T65"/>
  <c r="S65"/>
  <c r="R65"/>
  <c r="Q65"/>
  <c r="P65"/>
  <c r="O65"/>
  <c r="N65"/>
  <c r="M65"/>
  <c r="L65"/>
  <c r="K65"/>
  <c r="J65"/>
  <c r="I65"/>
  <c r="H65"/>
  <c r="G65"/>
  <c r="F65"/>
  <c r="E65"/>
  <c r="Y64"/>
  <c r="Y63"/>
  <c r="Y62"/>
  <c r="Y61"/>
  <c r="X60"/>
  <c r="W60"/>
  <c r="V60"/>
  <c r="U60"/>
  <c r="U47" s="1"/>
  <c r="T60"/>
  <c r="S60"/>
  <c r="R60"/>
  <c r="Q60"/>
  <c r="Q47" s="1"/>
  <c r="P60"/>
  <c r="O60"/>
  <c r="N60"/>
  <c r="M60"/>
  <c r="M47" s="1"/>
  <c r="L60"/>
  <c r="K60"/>
  <c r="J60"/>
  <c r="I60"/>
  <c r="I47" s="1"/>
  <c r="H60"/>
  <c r="G60"/>
  <c r="F60"/>
  <c r="E60"/>
  <c r="E47" s="1"/>
  <c r="Y59"/>
  <c r="Y58"/>
  <c r="X57"/>
  <c r="W57"/>
  <c r="V57"/>
  <c r="U57"/>
  <c r="T57"/>
  <c r="S57"/>
  <c r="R57"/>
  <c r="Q57"/>
  <c r="P57"/>
  <c r="O57"/>
  <c r="N57"/>
  <c r="M57"/>
  <c r="L57"/>
  <c r="K57"/>
  <c r="J57"/>
  <c r="I57"/>
  <c r="H57"/>
  <c r="G57"/>
  <c r="F57"/>
  <c r="E57"/>
  <c r="Y56"/>
  <c r="X55"/>
  <c r="W55"/>
  <c r="V55"/>
  <c r="U55"/>
  <c r="T55"/>
  <c r="S55"/>
  <c r="R55"/>
  <c r="Q55"/>
  <c r="P55"/>
  <c r="O55"/>
  <c r="N55"/>
  <c r="M55"/>
  <c r="L55"/>
  <c r="K55"/>
  <c r="J55"/>
  <c r="I55"/>
  <c r="H55"/>
  <c r="G55"/>
  <c r="F55"/>
  <c r="E55"/>
  <c r="Y55" s="1"/>
  <c r="X54"/>
  <c r="W54"/>
  <c r="W53" s="1"/>
  <c r="V54"/>
  <c r="U54"/>
  <c r="U53" s="1"/>
  <c r="T54"/>
  <c r="S54"/>
  <c r="S53" s="1"/>
  <c r="R54"/>
  <c r="R53" s="1"/>
  <c r="Q54"/>
  <c r="Q53" s="1"/>
  <c r="P54"/>
  <c r="O54"/>
  <c r="O53" s="1"/>
  <c r="N54"/>
  <c r="M54"/>
  <c r="M53" s="1"/>
  <c r="L54"/>
  <c r="K54"/>
  <c r="K53" s="1"/>
  <c r="J54"/>
  <c r="I54"/>
  <c r="H54"/>
  <c r="G54"/>
  <c r="G53" s="1"/>
  <c r="F54"/>
  <c r="E54"/>
  <c r="Y54" s="1"/>
  <c r="X53"/>
  <c r="V53"/>
  <c r="T53"/>
  <c r="P53"/>
  <c r="N53"/>
  <c r="L53"/>
  <c r="J53"/>
  <c r="I53"/>
  <c r="H53"/>
  <c r="F53"/>
  <c r="Y52"/>
  <c r="X51"/>
  <c r="W51"/>
  <c r="V51"/>
  <c r="U51"/>
  <c r="T51"/>
  <c r="S51"/>
  <c r="R51"/>
  <c r="Q51"/>
  <c r="P51"/>
  <c r="O51"/>
  <c r="N51"/>
  <c r="M51"/>
  <c r="L51"/>
  <c r="K51"/>
  <c r="J51"/>
  <c r="I51"/>
  <c r="H51"/>
  <c r="G51"/>
  <c r="F51"/>
  <c r="E51"/>
  <c r="Y51" s="1"/>
  <c r="X50"/>
  <c r="T50"/>
  <c r="S50"/>
  <c r="S49" s="1"/>
  <c r="R50"/>
  <c r="Q50"/>
  <c r="J50"/>
  <c r="I50"/>
  <c r="G50"/>
  <c r="G49" s="1"/>
  <c r="E50"/>
  <c r="X49"/>
  <c r="T49"/>
  <c r="R49"/>
  <c r="Q49"/>
  <c r="J49"/>
  <c r="I49"/>
  <c r="E49"/>
  <c r="X48"/>
  <c r="W48"/>
  <c r="V48"/>
  <c r="U48"/>
  <c r="T48"/>
  <c r="S48"/>
  <c r="R48"/>
  <c r="Q48"/>
  <c r="P48"/>
  <c r="O48"/>
  <c r="N48"/>
  <c r="M48"/>
  <c r="L48"/>
  <c r="K48"/>
  <c r="J48"/>
  <c r="I48"/>
  <c r="H48"/>
  <c r="G48"/>
  <c r="F48"/>
  <c r="E48"/>
  <c r="Y48" s="1"/>
  <c r="X47"/>
  <c r="W47"/>
  <c r="V47"/>
  <c r="V46" s="1"/>
  <c r="T47"/>
  <c r="T46" s="1"/>
  <c r="S47"/>
  <c r="R47"/>
  <c r="P47"/>
  <c r="O47"/>
  <c r="O46" s="1"/>
  <c r="N47"/>
  <c r="N46" s="1"/>
  <c r="L47"/>
  <c r="K47"/>
  <c r="J47"/>
  <c r="J46" s="1"/>
  <c r="H47"/>
  <c r="G47"/>
  <c r="F47"/>
  <c r="F46" s="1"/>
  <c r="X46"/>
  <c r="W46"/>
  <c r="S46"/>
  <c r="P46"/>
  <c r="L46"/>
  <c r="K46"/>
  <c r="H46"/>
  <c r="G46"/>
  <c r="X45"/>
  <c r="X44" s="1"/>
  <c r="W45"/>
  <c r="W44" s="1"/>
  <c r="V45"/>
  <c r="V44" s="1"/>
  <c r="U45"/>
  <c r="T45"/>
  <c r="T44" s="1"/>
  <c r="S45"/>
  <c r="R45"/>
  <c r="R44" s="1"/>
  <c r="Q45"/>
  <c r="P45"/>
  <c r="P44" s="1"/>
  <c r="O45"/>
  <c r="N45"/>
  <c r="N44" s="1"/>
  <c r="M45"/>
  <c r="M44" s="1"/>
  <c r="L45"/>
  <c r="L44" s="1"/>
  <c r="K45"/>
  <c r="J45"/>
  <c r="I45"/>
  <c r="H45"/>
  <c r="H44" s="1"/>
  <c r="G45"/>
  <c r="G44" s="1"/>
  <c r="F45"/>
  <c r="F44" s="1"/>
  <c r="E45"/>
  <c r="U44"/>
  <c r="S44"/>
  <c r="Q44"/>
  <c r="O44"/>
  <c r="K44"/>
  <c r="J44"/>
  <c r="I44"/>
  <c r="E44"/>
  <c r="X43"/>
  <c r="W43"/>
  <c r="V43"/>
  <c r="V42" s="1"/>
  <c r="U43"/>
  <c r="T43"/>
  <c r="S43"/>
  <c r="R43"/>
  <c r="R42" s="1"/>
  <c r="Q43"/>
  <c r="Q42" s="1"/>
  <c r="P43"/>
  <c r="O43"/>
  <c r="N43"/>
  <c r="N42" s="1"/>
  <c r="M43"/>
  <c r="M42" s="1"/>
  <c r="L43"/>
  <c r="L42" s="1"/>
  <c r="K43"/>
  <c r="J43"/>
  <c r="J42" s="1"/>
  <c r="I43"/>
  <c r="H43"/>
  <c r="G43"/>
  <c r="F43"/>
  <c r="F42" s="1"/>
  <c r="E43"/>
  <c r="Y43" s="1"/>
  <c r="X42"/>
  <c r="W42"/>
  <c r="U42"/>
  <c r="T42"/>
  <c r="S42"/>
  <c r="P42"/>
  <c r="O42"/>
  <c r="K42"/>
  <c r="I42"/>
  <c r="H42"/>
  <c r="G42"/>
  <c r="E42"/>
  <c r="X41"/>
  <c r="X40" s="1"/>
  <c r="W41"/>
  <c r="V41"/>
  <c r="U41"/>
  <c r="U40" s="1"/>
  <c r="T41"/>
  <c r="T40" s="1"/>
  <c r="S41"/>
  <c r="R41"/>
  <c r="Q41"/>
  <c r="Q40" s="1"/>
  <c r="P41"/>
  <c r="P40" s="1"/>
  <c r="O41"/>
  <c r="O40" s="1"/>
  <c r="N41"/>
  <c r="M41"/>
  <c r="L41"/>
  <c r="L40" s="1"/>
  <c r="K41"/>
  <c r="J41"/>
  <c r="I41"/>
  <c r="H41"/>
  <c r="H40" s="1"/>
  <c r="G41"/>
  <c r="F41"/>
  <c r="E41"/>
  <c r="E40" s="1"/>
  <c r="W40"/>
  <c r="V40"/>
  <c r="S40"/>
  <c r="R40"/>
  <c r="N40"/>
  <c r="M40"/>
  <c r="K40"/>
  <c r="J40"/>
  <c r="I40"/>
  <c r="G40"/>
  <c r="F40"/>
  <c r="Y39"/>
  <c r="Y38"/>
  <c r="W36"/>
  <c r="V36"/>
  <c r="U36"/>
  <c r="U35" s="1"/>
  <c r="U32" s="1"/>
  <c r="P36"/>
  <c r="O36"/>
  <c r="N36"/>
  <c r="L36"/>
  <c r="L35" s="1"/>
  <c r="K36"/>
  <c r="K35" s="1"/>
  <c r="H36"/>
  <c r="F36"/>
  <c r="X35"/>
  <c r="W35"/>
  <c r="V35"/>
  <c r="T35"/>
  <c r="S35"/>
  <c r="R35"/>
  <c r="Q35"/>
  <c r="P35"/>
  <c r="O35"/>
  <c r="N35"/>
  <c r="M35"/>
  <c r="J35"/>
  <c r="J32" s="1"/>
  <c r="I35"/>
  <c r="H35"/>
  <c r="G35"/>
  <c r="F35"/>
  <c r="E35"/>
  <c r="W34"/>
  <c r="W74" s="1"/>
  <c r="P34"/>
  <c r="P74" s="1"/>
  <c r="O34"/>
  <c r="O74" s="1"/>
  <c r="N34"/>
  <c r="N74" s="1"/>
  <c r="M34"/>
  <c r="M74" s="1"/>
  <c r="L34"/>
  <c r="L74" s="1"/>
  <c r="K34"/>
  <c r="K74" s="1"/>
  <c r="H34"/>
  <c r="Y34" s="1"/>
  <c r="F34"/>
  <c r="F74" s="1"/>
  <c r="X33"/>
  <c r="W33"/>
  <c r="W32" s="1"/>
  <c r="V33"/>
  <c r="U33"/>
  <c r="T33"/>
  <c r="S33"/>
  <c r="S32" s="1"/>
  <c r="R33"/>
  <c r="R32" s="1"/>
  <c r="Q33"/>
  <c r="P33"/>
  <c r="M33"/>
  <c r="L33"/>
  <c r="L32" s="1"/>
  <c r="J33"/>
  <c r="I33"/>
  <c r="I32" s="1"/>
  <c r="H33"/>
  <c r="H32" s="1"/>
  <c r="G33"/>
  <c r="G32" s="1"/>
  <c r="F33"/>
  <c r="E33"/>
  <c r="V32"/>
  <c r="Q32"/>
  <c r="M32"/>
  <c r="F32"/>
  <c r="E32"/>
  <c r="Y31"/>
  <c r="W30"/>
  <c r="W50" s="1"/>
  <c r="W49" s="1"/>
  <c r="V30"/>
  <c r="V50" s="1"/>
  <c r="V49" s="1"/>
  <c r="U30"/>
  <c r="U29" s="1"/>
  <c r="U28" s="1"/>
  <c r="P30"/>
  <c r="P50" s="1"/>
  <c r="P49" s="1"/>
  <c r="O30"/>
  <c r="O50" s="1"/>
  <c r="O49" s="1"/>
  <c r="N30"/>
  <c r="N50" s="1"/>
  <c r="N49" s="1"/>
  <c r="M30"/>
  <c r="M29" s="1"/>
  <c r="M28" s="1"/>
  <c r="L30"/>
  <c r="L50" s="1"/>
  <c r="L49" s="1"/>
  <c r="K30"/>
  <c r="K50" s="1"/>
  <c r="K49" s="1"/>
  <c r="H30"/>
  <c r="H50" s="1"/>
  <c r="H49" s="1"/>
  <c r="F30"/>
  <c r="F50" s="1"/>
  <c r="F49" s="1"/>
  <c r="X29"/>
  <c r="W29"/>
  <c r="T29"/>
  <c r="S29"/>
  <c r="R29"/>
  <c r="R28" s="1"/>
  <c r="Q29"/>
  <c r="P29"/>
  <c r="P28" s="1"/>
  <c r="O29"/>
  <c r="L29"/>
  <c r="K29"/>
  <c r="K28" s="1"/>
  <c r="J29"/>
  <c r="J28" s="1"/>
  <c r="I29"/>
  <c r="G29"/>
  <c r="G28" s="1"/>
  <c r="F29"/>
  <c r="F28" s="1"/>
  <c r="E29"/>
  <c r="E28" s="1"/>
  <c r="X28"/>
  <c r="W28"/>
  <c r="T28"/>
  <c r="S28"/>
  <c r="Q28"/>
  <c r="O28"/>
  <c r="L28"/>
  <c r="I28"/>
  <c r="X27"/>
  <c r="X26" s="1"/>
  <c r="W27"/>
  <c r="U27"/>
  <c r="T27"/>
  <c r="T26" s="1"/>
  <c r="S27"/>
  <c r="S26" s="1"/>
  <c r="R27"/>
  <c r="Q27"/>
  <c r="P27"/>
  <c r="P26" s="1"/>
  <c r="O27"/>
  <c r="O26" s="1"/>
  <c r="M27"/>
  <c r="M26" s="1"/>
  <c r="L27"/>
  <c r="L26" s="1"/>
  <c r="K27"/>
  <c r="J27"/>
  <c r="I27"/>
  <c r="I26" s="1"/>
  <c r="H27"/>
  <c r="H26" s="1"/>
  <c r="G27"/>
  <c r="G26" s="1"/>
  <c r="E27"/>
  <c r="E26" s="1"/>
  <c r="W26"/>
  <c r="U26"/>
  <c r="R26"/>
  <c r="Q26"/>
  <c r="K26"/>
  <c r="J26"/>
  <c r="X25"/>
  <c r="W25"/>
  <c r="V25"/>
  <c r="T25"/>
  <c r="S25"/>
  <c r="R25"/>
  <c r="Q25"/>
  <c r="P25"/>
  <c r="O25"/>
  <c r="N25"/>
  <c r="L25"/>
  <c r="K25"/>
  <c r="J25"/>
  <c r="I25"/>
  <c r="G25"/>
  <c r="F25"/>
  <c r="E25"/>
  <c r="X24"/>
  <c r="X23" s="1"/>
  <c r="X21" s="1"/>
  <c r="W24"/>
  <c r="W23" s="1"/>
  <c r="W21" s="1"/>
  <c r="T24"/>
  <c r="S24"/>
  <c r="S23" s="1"/>
  <c r="R24"/>
  <c r="Q24"/>
  <c r="P24"/>
  <c r="O24"/>
  <c r="O23" s="1"/>
  <c r="L24"/>
  <c r="L23" s="1"/>
  <c r="K24"/>
  <c r="K23" s="1"/>
  <c r="K21" s="1"/>
  <c r="J24"/>
  <c r="I24"/>
  <c r="H24"/>
  <c r="G24"/>
  <c r="G23" s="1"/>
  <c r="G21" s="1"/>
  <c r="E24"/>
  <c r="T23"/>
  <c r="Q23"/>
  <c r="P23"/>
  <c r="I23"/>
  <c r="E23"/>
  <c r="X22"/>
  <c r="W22"/>
  <c r="V22"/>
  <c r="U22"/>
  <c r="T22"/>
  <c r="S22"/>
  <c r="R22"/>
  <c r="Q22"/>
  <c r="Q21" s="1"/>
  <c r="P22"/>
  <c r="O22"/>
  <c r="N22"/>
  <c r="M22"/>
  <c r="L22"/>
  <c r="K22"/>
  <c r="J22"/>
  <c r="I22"/>
  <c r="I21" s="1"/>
  <c r="H22"/>
  <c r="G22"/>
  <c r="F22"/>
  <c r="E22"/>
  <c r="E21" s="1"/>
  <c r="M20"/>
  <c r="L20"/>
  <c r="K20"/>
  <c r="J20"/>
  <c r="I20"/>
  <c r="H20"/>
  <c r="G20"/>
  <c r="F20"/>
  <c r="Y20" s="1"/>
  <c r="X19"/>
  <c r="X16" s="1"/>
  <c r="W19"/>
  <c r="V19"/>
  <c r="V16" s="1"/>
  <c r="U19"/>
  <c r="T19"/>
  <c r="T16" s="1"/>
  <c r="S19"/>
  <c r="R19"/>
  <c r="Q19"/>
  <c r="Q16" s="1"/>
  <c r="P19"/>
  <c r="P16" s="1"/>
  <c r="O19"/>
  <c r="N19"/>
  <c r="N16" s="1"/>
  <c r="M19"/>
  <c r="M16" s="1"/>
  <c r="L19"/>
  <c r="L16" s="1"/>
  <c r="K19"/>
  <c r="J19"/>
  <c r="I19"/>
  <c r="I16" s="1"/>
  <c r="H19"/>
  <c r="H16" s="1"/>
  <c r="G19"/>
  <c r="F19"/>
  <c r="F16" s="1"/>
  <c r="E19"/>
  <c r="E16" s="1"/>
  <c r="U18"/>
  <c r="H18"/>
  <c r="G18"/>
  <c r="Y17"/>
  <c r="W16"/>
  <c r="S16"/>
  <c r="R16"/>
  <c r="O16"/>
  <c r="K16"/>
  <c r="J16"/>
  <c r="G16"/>
  <c r="X15"/>
  <c r="W15"/>
  <c r="V15"/>
  <c r="U15"/>
  <c r="T15"/>
  <c r="S15"/>
  <c r="R15"/>
  <c r="Q15"/>
  <c r="P15"/>
  <c r="O15"/>
  <c r="N15"/>
  <c r="M15"/>
  <c r="L15"/>
  <c r="K15"/>
  <c r="J15"/>
  <c r="I15"/>
  <c r="H15"/>
  <c r="G15"/>
  <c r="F15"/>
  <c r="E15"/>
  <c r="X14"/>
  <c r="X13" s="1"/>
  <c r="W14"/>
  <c r="V14"/>
  <c r="V13" s="1"/>
  <c r="U14"/>
  <c r="T14"/>
  <c r="T13" s="1"/>
  <c r="S14"/>
  <c r="R14"/>
  <c r="Q14"/>
  <c r="Q13" s="1"/>
  <c r="P14"/>
  <c r="P13" s="1"/>
  <c r="O14"/>
  <c r="N14"/>
  <c r="N13" s="1"/>
  <c r="M14"/>
  <c r="M13" s="1"/>
  <c r="L14"/>
  <c r="L13" s="1"/>
  <c r="K14"/>
  <c r="J14"/>
  <c r="J13" s="1"/>
  <c r="I14"/>
  <c r="I13" s="1"/>
  <c r="H14"/>
  <c r="H13" s="1"/>
  <c r="G14"/>
  <c r="F14"/>
  <c r="E14"/>
  <c r="E13" s="1"/>
  <c r="U13"/>
  <c r="R13"/>
  <c r="F13"/>
  <c r="X12"/>
  <c r="W12"/>
  <c r="W11" s="1"/>
  <c r="V12"/>
  <c r="V11" s="1"/>
  <c r="U12"/>
  <c r="U11" s="1"/>
  <c r="T12"/>
  <c r="T11" s="1"/>
  <c r="T9" s="1"/>
  <c r="S12"/>
  <c r="S11" s="1"/>
  <c r="S9" s="1"/>
  <c r="R12"/>
  <c r="R11" s="1"/>
  <c r="R9" s="1"/>
  <c r="Q12"/>
  <c r="P12"/>
  <c r="O12"/>
  <c r="O11" s="1"/>
  <c r="N12"/>
  <c r="N11" s="1"/>
  <c r="M12"/>
  <c r="M11" s="1"/>
  <c r="M9" s="1"/>
  <c r="L12"/>
  <c r="L11" s="1"/>
  <c r="K12"/>
  <c r="K11" s="1"/>
  <c r="J12"/>
  <c r="J11" s="1"/>
  <c r="J9" s="1"/>
  <c r="I12"/>
  <c r="H12"/>
  <c r="G12"/>
  <c r="G11" s="1"/>
  <c r="G9" s="1"/>
  <c r="F12"/>
  <c r="F11" s="1"/>
  <c r="E12"/>
  <c r="Y12" s="1"/>
  <c r="X11"/>
  <c r="X9" s="1"/>
  <c r="Q11"/>
  <c r="Q9" s="1"/>
  <c r="P11"/>
  <c r="I11"/>
  <c r="I9" s="1"/>
  <c r="H11"/>
  <c r="W10"/>
  <c r="W9" s="1"/>
  <c r="V10"/>
  <c r="U10"/>
  <c r="U9" s="1"/>
  <c r="P10"/>
  <c r="O10"/>
  <c r="O9" s="1"/>
  <c r="N10"/>
  <c r="M10"/>
  <c r="L10"/>
  <c r="K10"/>
  <c r="K9" s="1"/>
  <c r="H10"/>
  <c r="F10"/>
  <c r="W8"/>
  <c r="W6" s="1"/>
  <c r="V8"/>
  <c r="V6" s="1"/>
  <c r="U8"/>
  <c r="P8"/>
  <c r="O8"/>
  <c r="N8"/>
  <c r="N6" s="1"/>
  <c r="M8"/>
  <c r="L8"/>
  <c r="K8"/>
  <c r="K6" s="1"/>
  <c r="H8"/>
  <c r="H6" s="1"/>
  <c r="F8"/>
  <c r="W7"/>
  <c r="V7"/>
  <c r="U7"/>
  <c r="U6" s="1"/>
  <c r="P7"/>
  <c r="P6" s="1"/>
  <c r="O7"/>
  <c r="N7"/>
  <c r="M7"/>
  <c r="M6" s="1"/>
  <c r="L7"/>
  <c r="L6" s="1"/>
  <c r="K7"/>
  <c r="H7"/>
  <c r="F7"/>
  <c r="Y7" s="1"/>
  <c r="X6"/>
  <c r="T6"/>
  <c r="S6"/>
  <c r="R6"/>
  <c r="Q6"/>
  <c r="O6"/>
  <c r="J6"/>
  <c r="I6"/>
  <c r="G6"/>
  <c r="E6"/>
  <c r="Y40" l="1"/>
  <c r="F6"/>
  <c r="Q5"/>
  <c r="K5"/>
  <c r="W5"/>
  <c r="F9"/>
  <c r="N9"/>
  <c r="V9"/>
  <c r="Y18"/>
  <c r="O21"/>
  <c r="O5" s="1"/>
  <c r="O73" s="1"/>
  <c r="S21"/>
  <c r="J23"/>
  <c r="J21" s="1"/>
  <c r="J5" s="1"/>
  <c r="P32"/>
  <c r="T32"/>
  <c r="X32"/>
  <c r="J37"/>
  <c r="G37"/>
  <c r="R46"/>
  <c r="R37" s="1"/>
  <c r="I5"/>
  <c r="G13"/>
  <c r="K13"/>
  <c r="Y13" s="1"/>
  <c r="O13"/>
  <c r="S13"/>
  <c r="W13"/>
  <c r="Y16"/>
  <c r="U16"/>
  <c r="T21"/>
  <c r="T5" s="1"/>
  <c r="L21"/>
  <c r="R23"/>
  <c r="R21" s="1"/>
  <c r="R5" s="1"/>
  <c r="Y41"/>
  <c r="Y42"/>
  <c r="E53"/>
  <c r="Y57"/>
  <c r="Y74"/>
  <c r="Y8"/>
  <c r="H9"/>
  <c r="Y35"/>
  <c r="L9"/>
  <c r="P9"/>
  <c r="E11"/>
  <c r="E9" s="1"/>
  <c r="Y9" s="1"/>
  <c r="Y15"/>
  <c r="P21"/>
  <c r="N29"/>
  <c r="N28" s="1"/>
  <c r="K33"/>
  <c r="K32" s="1"/>
  <c r="Y45"/>
  <c r="I46"/>
  <c r="I37" s="1"/>
  <c r="M46"/>
  <c r="Q46"/>
  <c r="Q37" s="1"/>
  <c r="Q4" s="1"/>
  <c r="U46"/>
  <c r="U37" s="1"/>
  <c r="Y65"/>
  <c r="L5"/>
  <c r="P5"/>
  <c r="X5"/>
  <c r="H37"/>
  <c r="L37"/>
  <c r="P37"/>
  <c r="T37"/>
  <c r="X37"/>
  <c r="O37"/>
  <c r="Y44"/>
  <c r="Y47"/>
  <c r="E46"/>
  <c r="G5"/>
  <c r="S5"/>
  <c r="F37"/>
  <c r="V37"/>
  <c r="S37"/>
  <c r="Q73"/>
  <c r="K73"/>
  <c r="W73"/>
  <c r="F21"/>
  <c r="F5" s="1"/>
  <c r="N21"/>
  <c r="W37"/>
  <c r="W4" s="1"/>
  <c r="I73"/>
  <c r="I4"/>
  <c r="N37"/>
  <c r="K37"/>
  <c r="Y53"/>
  <c r="M24"/>
  <c r="U24"/>
  <c r="H25"/>
  <c r="F27"/>
  <c r="F26" s="1"/>
  <c r="Y26" s="1"/>
  <c r="N27"/>
  <c r="N26" s="1"/>
  <c r="V27"/>
  <c r="V26" s="1"/>
  <c r="H29"/>
  <c r="H28" s="1"/>
  <c r="Y28" s="1"/>
  <c r="M50"/>
  <c r="M49" s="1"/>
  <c r="Y49" s="1"/>
  <c r="U50"/>
  <c r="U49" s="1"/>
  <c r="Y10"/>
  <c r="Y14"/>
  <c r="Y19"/>
  <c r="H74"/>
  <c r="Y6"/>
  <c r="Y22"/>
  <c r="V29"/>
  <c r="V28" s="1"/>
  <c r="O33"/>
  <c r="O32" s="1"/>
  <c r="Y36"/>
  <c r="Y60"/>
  <c r="F24"/>
  <c r="F23" s="1"/>
  <c r="N24"/>
  <c r="N23" s="1"/>
  <c r="V24"/>
  <c r="V23" s="1"/>
  <c r="V21" s="1"/>
  <c r="V5" s="1"/>
  <c r="M25"/>
  <c r="U25"/>
  <c r="Y30"/>
  <c r="N33"/>
  <c r="N32" s="1"/>
  <c r="Y32" s="1"/>
  <c r="T73" l="1"/>
  <c r="T4"/>
  <c r="J73"/>
  <c r="J4"/>
  <c r="K4"/>
  <c r="E5"/>
  <c r="E73" s="1"/>
  <c r="Y11"/>
  <c r="Y25"/>
  <c r="O4"/>
  <c r="N5"/>
  <c r="M37"/>
  <c r="F4"/>
  <c r="F73"/>
  <c r="V4"/>
  <c r="V73"/>
  <c r="N4"/>
  <c r="N73"/>
  <c r="E37"/>
  <c r="Y46"/>
  <c r="X73"/>
  <c r="X4"/>
  <c r="H23"/>
  <c r="H21" s="1"/>
  <c r="Y29"/>
  <c r="U23"/>
  <c r="U21" s="1"/>
  <c r="U5" s="1"/>
  <c r="Y50"/>
  <c r="Y24"/>
  <c r="R4"/>
  <c r="R73"/>
  <c r="P73"/>
  <c r="P4"/>
  <c r="G73"/>
  <c r="G4"/>
  <c r="L73"/>
  <c r="L4"/>
  <c r="S73"/>
  <c r="S4"/>
  <c r="Y27"/>
  <c r="M23"/>
  <c r="M21" s="1"/>
  <c r="M5" s="1"/>
  <c r="Y33"/>
  <c r="U73" l="1"/>
  <c r="U4"/>
  <c r="M73"/>
  <c r="M4"/>
  <c r="H5"/>
  <c r="Y21"/>
  <c r="Y37"/>
  <c r="E4"/>
  <c r="Y23"/>
  <c r="H73" l="1"/>
  <c r="H4"/>
  <c r="Y4" s="1"/>
  <c r="Y5"/>
  <c r="B4" i="43"/>
  <c r="C3"/>
  <c r="Y73" i="61" l="1"/>
  <c r="C4" i="43"/>
</calcChain>
</file>

<file path=xl/comments1.xml><?xml version="1.0" encoding="utf-8"?>
<comments xmlns="http://schemas.openxmlformats.org/spreadsheetml/2006/main">
  <authors>
    <author>钱兢</author>
  </authors>
  <commentList>
    <comment ref="A5" authorId="0">
      <text>
        <r>
          <rPr>
            <b/>
            <sz val="9"/>
            <color indexed="81"/>
            <rFont val="宋体"/>
            <family val="3"/>
            <charset val="134"/>
          </rPr>
          <t xml:space="preserve">共2门，人车分离，1门5保，1门1保，另隔壁为七宝青少年活动中心，与明强小学相通，该中心1门5保。
</t>
        </r>
      </text>
    </comment>
    <comment ref="A6" authorId="0">
      <text>
        <r>
          <rPr>
            <b/>
            <sz val="9"/>
            <color indexed="81"/>
            <rFont val="宋体"/>
            <family val="3"/>
            <charset val="134"/>
          </rPr>
          <t>其中一门为</t>
        </r>
        <r>
          <rPr>
            <b/>
            <sz val="9"/>
            <color indexed="81"/>
            <rFont val="Tahoma"/>
            <family val="2"/>
          </rPr>
          <t>7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  <comment ref="A18" authorId="0">
      <text>
        <r>
          <rPr>
            <b/>
            <sz val="9"/>
            <color indexed="81"/>
            <rFont val="宋体"/>
            <family val="3"/>
            <charset val="134"/>
          </rPr>
          <t>其中总园增开一门多派</t>
        </r>
        <r>
          <rPr>
            <b/>
            <sz val="9"/>
            <color indexed="81"/>
            <rFont val="Tahoma"/>
            <family val="2"/>
          </rPr>
          <t>2</t>
        </r>
        <r>
          <rPr>
            <b/>
            <sz val="9"/>
            <color indexed="81"/>
            <rFont val="宋体"/>
            <family val="3"/>
            <charset val="134"/>
          </rPr>
          <t>人，人车分离</t>
        </r>
      </text>
    </comment>
  </commentList>
</comments>
</file>

<file path=xl/sharedStrings.xml><?xml version="1.0" encoding="utf-8"?>
<sst xmlns="http://schemas.openxmlformats.org/spreadsheetml/2006/main" count="775" uniqueCount="419">
  <si>
    <t>工资福利支出</t>
  </si>
  <si>
    <t>商品服务支出</t>
  </si>
  <si>
    <t>七宝</t>
  </si>
  <si>
    <t>序号</t>
  </si>
  <si>
    <t>项目名称</t>
  </si>
  <si>
    <t>功能分类</t>
  </si>
  <si>
    <t>口径</t>
  </si>
  <si>
    <t>合计</t>
  </si>
  <si>
    <t>1</t>
  </si>
  <si>
    <t>基本支出总预算数</t>
  </si>
  <si>
    <t>公式计算</t>
  </si>
  <si>
    <t>2</t>
  </si>
  <si>
    <t>3</t>
  </si>
  <si>
    <t>　　基本工资</t>
  </si>
  <si>
    <t>4</t>
  </si>
  <si>
    <t>　　　　1、岗位工资</t>
  </si>
  <si>
    <t>主款项</t>
  </si>
  <si>
    <t>根据人事口径按实编制</t>
  </si>
  <si>
    <t>5</t>
  </si>
  <si>
    <t>　　　　2、薪级工资</t>
  </si>
  <si>
    <t>6</t>
  </si>
  <si>
    <t>　　津贴补贴</t>
  </si>
  <si>
    <t>7</t>
  </si>
  <si>
    <t>　　　　1、各类津贴★▲</t>
  </si>
  <si>
    <t>8</t>
  </si>
  <si>
    <t>　　　　2、各类补贴</t>
  </si>
  <si>
    <t>9</t>
  </si>
  <si>
    <t>10</t>
  </si>
  <si>
    <t>　　其他社会保障缴费</t>
  </si>
  <si>
    <t>注：社保缴费基数应该相同</t>
  </si>
  <si>
    <t>11</t>
  </si>
  <si>
    <t>公式计算（请检查）</t>
  </si>
  <si>
    <t>12</t>
  </si>
  <si>
    <t>13</t>
  </si>
  <si>
    <t>　　绩效工资</t>
  </si>
  <si>
    <t>14</t>
  </si>
  <si>
    <t>　　　　1、绩效工资</t>
  </si>
  <si>
    <t>15</t>
  </si>
  <si>
    <t>　　　　2、校长职级制</t>
  </si>
  <si>
    <t>根据校长职级制按实编制</t>
  </si>
  <si>
    <t>16</t>
  </si>
  <si>
    <t>17</t>
  </si>
  <si>
    <t>18</t>
  </si>
  <si>
    <t xml:space="preserve">   城镇职工基本医疗保险缴费</t>
  </si>
  <si>
    <t>19</t>
  </si>
  <si>
    <t>事业单位医疗</t>
  </si>
  <si>
    <t>20</t>
  </si>
  <si>
    <t>21</t>
  </si>
  <si>
    <t>22</t>
  </si>
  <si>
    <t>23</t>
  </si>
  <si>
    <t>　　事业单位基本养老保险缴费</t>
  </si>
  <si>
    <t>24</t>
  </si>
  <si>
    <t>养老保险</t>
  </si>
  <si>
    <t>25</t>
  </si>
  <si>
    <t>　　职业年金缴纳</t>
  </si>
  <si>
    <t>26</t>
  </si>
  <si>
    <t>　　　　1、职业年金8%</t>
  </si>
  <si>
    <t>职业年金</t>
  </si>
  <si>
    <t>27</t>
  </si>
  <si>
    <t>公积金</t>
  </si>
  <si>
    <t>28</t>
  </si>
  <si>
    <t>29</t>
  </si>
  <si>
    <t>对个人和家庭补助</t>
  </si>
  <si>
    <t>30</t>
  </si>
  <si>
    <t>离退休</t>
  </si>
  <si>
    <t>31</t>
  </si>
  <si>
    <t>32</t>
  </si>
  <si>
    <t>　　奖励金</t>
  </si>
  <si>
    <t>33</t>
  </si>
  <si>
    <t>　　　　1、独生子女奖励费▲</t>
  </si>
  <si>
    <t>34</t>
  </si>
  <si>
    <t>35</t>
  </si>
  <si>
    <t>36</t>
  </si>
  <si>
    <t>商品和服务支出和其他资本性支出</t>
  </si>
  <si>
    <t>37</t>
  </si>
  <si>
    <t>　　(一)公用定额</t>
  </si>
  <si>
    <t>学生人数*定额</t>
  </si>
  <si>
    <t>38</t>
  </si>
  <si>
    <t>39</t>
  </si>
  <si>
    <t>　　(二)培训费</t>
  </si>
  <si>
    <t>40</t>
  </si>
  <si>
    <t>　　　　1、进修、培训 400元/年教师</t>
  </si>
  <si>
    <t>教职工人数*400元（公式计算）</t>
  </si>
  <si>
    <t>41</t>
  </si>
  <si>
    <t>　　(三)维修(护)费</t>
  </si>
  <si>
    <t>42</t>
  </si>
  <si>
    <t>　　　　1、房屋维修费 15元/年平方米</t>
  </si>
  <si>
    <t>房屋面积*15元（公式计算）</t>
  </si>
  <si>
    <t>43</t>
  </si>
  <si>
    <t>　　(四)物业管理费</t>
  </si>
  <si>
    <t>44</t>
  </si>
  <si>
    <t>　　　　1、绿化维护费 8元/年平方米</t>
  </si>
  <si>
    <t>绿化面积*8元（公式计算）</t>
  </si>
  <si>
    <t>45</t>
  </si>
  <si>
    <t>46</t>
  </si>
  <si>
    <t>教职工人数*4320元（公式计算）</t>
  </si>
  <si>
    <t>47</t>
  </si>
  <si>
    <t>48</t>
  </si>
  <si>
    <t>49</t>
  </si>
  <si>
    <t>　　　　1、工会经费2%</t>
  </si>
  <si>
    <t>50</t>
  </si>
  <si>
    <t>51</t>
  </si>
  <si>
    <t>　　　　1、教育系统，校/辆</t>
  </si>
  <si>
    <t>机关局有编制的车辆数*32000元/年（分园及分校预算在其他交通费中编制）</t>
  </si>
  <si>
    <t>52</t>
  </si>
  <si>
    <t>53</t>
  </si>
  <si>
    <t>54</t>
  </si>
  <si>
    <t>55</t>
  </si>
  <si>
    <t>没有，填0</t>
  </si>
  <si>
    <t>56</t>
  </si>
  <si>
    <t>57</t>
  </si>
  <si>
    <t>58</t>
  </si>
  <si>
    <t>学校基本情况：</t>
  </si>
  <si>
    <t>59</t>
  </si>
  <si>
    <t>1、教职工(人数)</t>
  </si>
  <si>
    <t>60</t>
  </si>
  <si>
    <t xml:space="preserve">       初中</t>
  </si>
  <si>
    <t>61</t>
  </si>
  <si>
    <t xml:space="preserve">       小学</t>
  </si>
  <si>
    <t>62</t>
  </si>
  <si>
    <t xml:space="preserve">       幼儿园</t>
  </si>
  <si>
    <t>63</t>
  </si>
  <si>
    <t xml:space="preserve">       其他</t>
  </si>
  <si>
    <t>64</t>
  </si>
  <si>
    <t>2、学生(人数)</t>
  </si>
  <si>
    <t>65</t>
  </si>
  <si>
    <t>66</t>
  </si>
  <si>
    <t>67</t>
  </si>
  <si>
    <t>68</t>
  </si>
  <si>
    <t>69</t>
  </si>
  <si>
    <t>上海市航华中学</t>
  </si>
  <si>
    <t>上海市闵行区七宝第二中学</t>
  </si>
  <si>
    <t>上海市七宝实验中学</t>
  </si>
  <si>
    <t>上海市闵行区七宝第三中学</t>
  </si>
  <si>
    <t>闵行区航华第二小学</t>
  </si>
  <si>
    <t>闵行区七宝镇明强小学</t>
  </si>
  <si>
    <t>闵行区黎明小学</t>
  </si>
  <si>
    <t>上海市七宝实验小学</t>
  </si>
  <si>
    <t>镇属</t>
    <phoneticPr fontId="1" type="noConversion"/>
  </si>
  <si>
    <t>七宝 汇总</t>
  </si>
  <si>
    <t>闵行区七宝明强第二小学</t>
  </si>
  <si>
    <t>上海市闵行区七宝文来学校</t>
  </si>
  <si>
    <t>合计</t>
    <phoneticPr fontId="1" type="noConversion"/>
  </si>
  <si>
    <t>人数</t>
    <phoneticPr fontId="1" type="noConversion"/>
  </si>
  <si>
    <t>金额（3元/人）</t>
    <phoneticPr fontId="1" type="noConversion"/>
  </si>
  <si>
    <t>　　(九)其他商品服务支出</t>
    <phoneticPr fontId="2" type="noConversion"/>
  </si>
  <si>
    <t>　　　　1、子女幼托费</t>
    <phoneticPr fontId="2" type="noConversion"/>
  </si>
  <si>
    <t>　　(十)其他交通费用</t>
    <phoneticPr fontId="2" type="noConversion"/>
  </si>
  <si>
    <t>　　　　1、教育系统</t>
    <phoneticPr fontId="2" type="noConversion"/>
  </si>
  <si>
    <t>　　(八)离退休公用经费</t>
    <phoneticPr fontId="2" type="noConversion"/>
  </si>
  <si>
    <t>　　　  1、活动费(活动费+活动费(托管))</t>
    <phoneticPr fontId="2" type="noConversion"/>
  </si>
  <si>
    <t>七宝二中</t>
    <phoneticPr fontId="2" type="noConversion"/>
  </si>
  <si>
    <t>七宝实验中学</t>
    <phoneticPr fontId="2" type="noConversion"/>
  </si>
  <si>
    <t>航华中学</t>
    <phoneticPr fontId="2" type="noConversion"/>
  </si>
  <si>
    <t>七宝三中</t>
    <phoneticPr fontId="2" type="noConversion"/>
  </si>
  <si>
    <t>明强小学</t>
    <phoneticPr fontId="2" type="noConversion"/>
  </si>
  <si>
    <t>黎明小学</t>
    <phoneticPr fontId="2" type="noConversion"/>
  </si>
  <si>
    <t>七宝实小</t>
    <phoneticPr fontId="2" type="noConversion"/>
  </si>
  <si>
    <t>航华二小</t>
    <phoneticPr fontId="2" type="noConversion"/>
  </si>
  <si>
    <t>明强二小</t>
    <phoneticPr fontId="2" type="noConversion"/>
  </si>
  <si>
    <t>中心幼</t>
    <phoneticPr fontId="2" type="noConversion"/>
  </si>
  <si>
    <t>星辰</t>
    <phoneticPr fontId="2" type="noConversion"/>
  </si>
  <si>
    <t>春欣</t>
    <phoneticPr fontId="2" type="noConversion"/>
  </si>
  <si>
    <t>七实幼</t>
    <phoneticPr fontId="2" type="noConversion"/>
  </si>
  <si>
    <t>航华二幼</t>
    <phoneticPr fontId="2" type="noConversion"/>
  </si>
  <si>
    <t>七宝社区</t>
    <phoneticPr fontId="2" type="noConversion"/>
  </si>
  <si>
    <t>皇都</t>
    <phoneticPr fontId="2" type="noConversion"/>
  </si>
  <si>
    <t>文来</t>
    <phoneticPr fontId="2" type="noConversion"/>
  </si>
  <si>
    <t>明强幼</t>
    <phoneticPr fontId="2" type="noConversion"/>
  </si>
  <si>
    <t>七宝幼</t>
    <phoneticPr fontId="2" type="noConversion"/>
  </si>
  <si>
    <t>宝盛</t>
    <phoneticPr fontId="2" type="noConversion"/>
  </si>
  <si>
    <t>　　　　　　(1)上下班交通费补贴</t>
    <phoneticPr fontId="2" type="noConversion"/>
  </si>
  <si>
    <t>　　　　1、工伤保险费0.5%(0.16%-1.52%)</t>
    <phoneticPr fontId="2" type="noConversion"/>
  </si>
  <si>
    <t>　　　　2、失业保险0.5%</t>
    <phoneticPr fontId="2" type="noConversion"/>
  </si>
  <si>
    <t>根据人保科数字编制</t>
    <phoneticPr fontId="2" type="noConversion"/>
  </si>
  <si>
    <t>　　　　3、工作餐补贴</t>
    <phoneticPr fontId="2" type="noConversion"/>
  </si>
  <si>
    <t>　　　　4、课后服务(在编人员）</t>
    <phoneticPr fontId="2" type="noConversion"/>
  </si>
  <si>
    <r>
      <t xml:space="preserve">        1、医疗保险费</t>
    </r>
    <r>
      <rPr>
        <sz val="9"/>
        <color indexed="8"/>
        <rFont val="宋体"/>
        <family val="3"/>
        <charset val="134"/>
      </rPr>
      <t>9%</t>
    </r>
    <phoneticPr fontId="2" type="noConversion"/>
  </si>
  <si>
    <r>
      <t xml:space="preserve">        2、其他医疗保险费4</t>
    </r>
    <r>
      <rPr>
        <sz val="9"/>
        <color indexed="8"/>
        <rFont val="宋体"/>
        <family val="3"/>
        <charset val="134"/>
      </rPr>
      <t>%</t>
    </r>
    <phoneticPr fontId="2" type="noConversion"/>
  </si>
  <si>
    <r>
      <t xml:space="preserve">     (1)其他保险2%(统筹)：</t>
    </r>
    <r>
      <rPr>
        <sz val="9"/>
        <color indexed="10"/>
        <rFont val="宋体"/>
        <family val="3"/>
        <charset val="134"/>
      </rPr>
      <t>住院及大病补助</t>
    </r>
    <phoneticPr fontId="2" type="noConversion"/>
  </si>
  <si>
    <r>
      <t xml:space="preserve">     (2)其他保险2%(单位)：</t>
    </r>
    <r>
      <rPr>
        <sz val="9"/>
        <color indexed="10"/>
        <rFont val="宋体"/>
        <family val="3"/>
        <charset val="134"/>
      </rPr>
      <t>购买保险</t>
    </r>
    <phoneticPr fontId="2" type="noConversion"/>
  </si>
  <si>
    <t>　　　　1、基本养老保险16%</t>
    <phoneticPr fontId="2" type="noConversion"/>
  </si>
  <si>
    <r>
      <t xml:space="preserve"> </t>
    </r>
    <r>
      <rPr>
        <sz val="9"/>
        <color indexed="8"/>
        <rFont val="宋体"/>
        <family val="3"/>
        <charset val="134"/>
      </rPr>
      <t xml:space="preserve">   </t>
    </r>
    <r>
      <rPr>
        <sz val="9"/>
        <color indexed="8"/>
        <rFont val="宋体"/>
        <family val="3"/>
        <charset val="134"/>
      </rPr>
      <t>公积金</t>
    </r>
    <r>
      <rPr>
        <sz val="9"/>
        <color indexed="8"/>
        <rFont val="宋体"/>
        <family val="3"/>
        <charset val="134"/>
      </rPr>
      <t>7%</t>
    </r>
    <phoneticPr fontId="2" type="noConversion"/>
  </si>
  <si>
    <t>根据人事口径按实编制</t>
    <phoneticPr fontId="2" type="noConversion"/>
  </si>
  <si>
    <t xml:space="preserve">    其他工资福利</t>
    <phoneticPr fontId="2" type="noConversion"/>
  </si>
  <si>
    <t>年初预算为0</t>
    <phoneticPr fontId="2" type="noConversion"/>
  </si>
  <si>
    <t xml:space="preserve">    退休费</t>
    <phoneticPr fontId="2" type="noConversion"/>
  </si>
  <si>
    <t>根据退休人员情况按实编制</t>
    <phoneticPr fontId="2" type="noConversion"/>
  </si>
  <si>
    <t xml:space="preserve">        1、退休人员生活补贴</t>
    <phoneticPr fontId="2" type="noConversion"/>
  </si>
  <si>
    <t xml:space="preserve">       其中：培训费</t>
    <phoneticPr fontId="2" type="noConversion"/>
  </si>
  <si>
    <t>主款项</t>
    <phoneticPr fontId="2" type="noConversion"/>
  </si>
  <si>
    <t>生均定额5%</t>
    <phoneticPr fontId="2" type="noConversion"/>
  </si>
  <si>
    <t>　　(五)福利费</t>
    <phoneticPr fontId="2" type="noConversion"/>
  </si>
  <si>
    <t>　　　　1、在职福利费</t>
    <phoneticPr fontId="2" type="noConversion"/>
  </si>
  <si>
    <t>　　　　2、离退休福利费</t>
    <phoneticPr fontId="2" type="noConversion"/>
  </si>
  <si>
    <t>离退休人数*4320元（公式计算）</t>
    <phoneticPr fontId="2" type="noConversion"/>
  </si>
  <si>
    <t>　　(六)工会经费</t>
    <phoneticPr fontId="2" type="noConversion"/>
  </si>
  <si>
    <t>　　(七)公务用车运行维护费★</t>
    <phoneticPr fontId="2" type="noConversion"/>
  </si>
  <si>
    <t>离退休人数*400元/年（公式计算）</t>
    <phoneticPr fontId="2" type="noConversion"/>
  </si>
  <si>
    <t xml:space="preserve">
机关局无编制车辆的学校按32000元编制预算
机关局有编制的车辆，每分校增加10000元，每个分园增加5000元编制预算</t>
    <phoneticPr fontId="2" type="noConversion"/>
  </si>
  <si>
    <t>填写2024年秋季在编教职工人数</t>
    <phoneticPr fontId="2" type="noConversion"/>
  </si>
  <si>
    <r>
      <t>填写202</t>
    </r>
    <r>
      <rPr>
        <sz val="9"/>
        <color indexed="8"/>
        <rFont val="宋体"/>
        <family val="3"/>
        <charset val="134"/>
      </rPr>
      <t>4年秋季学期学生人数，以招办人数为准</t>
    </r>
    <phoneticPr fontId="2" type="noConversion"/>
  </si>
  <si>
    <t>3、事业退休人员人数</t>
    <phoneticPr fontId="2" type="noConversion"/>
  </si>
  <si>
    <t>4、教育单位房屋（面积）</t>
    <phoneticPr fontId="2" type="noConversion"/>
  </si>
  <si>
    <t>5、教育单位绿化（面积）</t>
    <phoneticPr fontId="2" type="noConversion"/>
  </si>
  <si>
    <t>幼儿园</t>
    <phoneticPr fontId="1" type="noConversion"/>
  </si>
  <si>
    <t>其他</t>
    <phoneticPr fontId="1" type="noConversion"/>
  </si>
  <si>
    <t>九年制</t>
    <phoneticPr fontId="1" type="noConversion"/>
  </si>
  <si>
    <t>小学</t>
    <phoneticPr fontId="1" type="noConversion"/>
  </si>
  <si>
    <t>初中</t>
    <phoneticPr fontId="1" type="noConversion"/>
  </si>
  <si>
    <t>学校名称</t>
    <phoneticPr fontId="2" type="noConversion"/>
  </si>
  <si>
    <t>办学类型</t>
    <phoneticPr fontId="2" type="noConversion"/>
  </si>
  <si>
    <t>所属街镇</t>
    <phoneticPr fontId="2" type="noConversion"/>
  </si>
  <si>
    <t>校区门数</t>
    <phoneticPr fontId="2" type="noConversion"/>
  </si>
  <si>
    <t>在岗人数</t>
    <phoneticPr fontId="2" type="noConversion"/>
  </si>
  <si>
    <t>值班单价</t>
    <phoneticPr fontId="2" type="noConversion"/>
  </si>
  <si>
    <t>值班金额</t>
    <phoneticPr fontId="2" type="noConversion"/>
  </si>
  <si>
    <t>所属大队</t>
    <phoneticPr fontId="2" type="noConversion"/>
  </si>
  <si>
    <t>备注</t>
    <phoneticPr fontId="2" type="noConversion"/>
  </si>
  <si>
    <t>幼儿园</t>
    <phoneticPr fontId="2" type="noConversion"/>
  </si>
  <si>
    <t>七宝镇</t>
    <phoneticPr fontId="2" type="noConversion"/>
  </si>
  <si>
    <t>二</t>
    <phoneticPr fontId="2" type="noConversion"/>
  </si>
  <si>
    <t>七宝中心幼儿园（叠彩）</t>
    <phoneticPr fontId="2" type="noConversion"/>
  </si>
  <si>
    <t>七宝中心幼儿园（佳宝）</t>
    <phoneticPr fontId="2" type="noConversion"/>
  </si>
  <si>
    <t>七宝中心幼儿园（莱茵）</t>
    <phoneticPr fontId="2" type="noConversion"/>
  </si>
  <si>
    <t>七宝中心幼儿园（万泰）</t>
    <phoneticPr fontId="2" type="noConversion"/>
  </si>
  <si>
    <t>七宝幼儿园</t>
    <phoneticPr fontId="2" type="noConversion"/>
  </si>
  <si>
    <r>
      <rPr>
        <sz val="10"/>
        <rFont val="宋体"/>
        <family val="3"/>
        <charset val="134"/>
      </rPr>
      <t>星辰幼儿园金太阳分园</t>
    </r>
    <phoneticPr fontId="2" type="noConversion"/>
  </si>
  <si>
    <t>三</t>
    <phoneticPr fontId="2" type="noConversion"/>
  </si>
  <si>
    <r>
      <rPr>
        <sz val="10"/>
        <rFont val="宋体"/>
        <family val="3"/>
        <charset val="134"/>
      </rPr>
      <t>星辰幼儿园</t>
    </r>
    <phoneticPr fontId="2" type="noConversion"/>
  </si>
  <si>
    <r>
      <rPr>
        <sz val="10"/>
        <rFont val="宋体"/>
        <family val="3"/>
        <charset val="134"/>
      </rPr>
      <t>春欣幼儿园</t>
    </r>
    <phoneticPr fontId="2" type="noConversion"/>
  </si>
  <si>
    <t>春欣幼儿园分园（城花新苑）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</si>
  <si>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年新开办</t>
    </r>
    <r>
      <rPr>
        <sz val="10"/>
        <color indexed="8"/>
        <rFont val="Arial"/>
        <family val="2"/>
      </rPr>
      <t>,5+2</t>
    </r>
    <r>
      <rPr>
        <sz val="10"/>
        <color indexed="8"/>
        <rFont val="宋体"/>
        <family val="3"/>
        <charset val="134"/>
      </rPr>
      <t>，人车分离</t>
    </r>
    <phoneticPr fontId="2" type="noConversion"/>
  </si>
  <si>
    <r>
      <rPr>
        <sz val="10"/>
        <rFont val="宋体"/>
        <family val="3"/>
        <charset val="134"/>
      </rPr>
      <t>航华二幼</t>
    </r>
    <phoneticPr fontId="2" type="noConversion"/>
  </si>
  <si>
    <t>航华二幼（分园）</t>
    <phoneticPr fontId="2" type="noConversion"/>
  </si>
  <si>
    <r>
      <rPr>
        <sz val="10"/>
        <rFont val="宋体"/>
        <family val="3"/>
        <charset val="134"/>
      </rPr>
      <t>七宝实验幼儿园</t>
    </r>
    <phoneticPr fontId="2" type="noConversion"/>
  </si>
  <si>
    <t>上海市闵行区七宝皇都幼儿园</t>
    <phoneticPr fontId="2" type="noConversion"/>
  </si>
  <si>
    <t>2020年7月新增5人</t>
    <phoneticPr fontId="2" type="noConversion"/>
  </si>
  <si>
    <t>上海市闵行区七宝明强幼儿园</t>
    <phoneticPr fontId="2" type="noConversion"/>
  </si>
  <si>
    <t>2021年9月新开办</t>
    <phoneticPr fontId="2" type="noConversion"/>
  </si>
  <si>
    <t>上海市闵行区启英宝盛幼儿园</t>
    <phoneticPr fontId="2" type="noConversion"/>
  </si>
  <si>
    <t>2022年9月新开办</t>
    <phoneticPr fontId="2" type="noConversion"/>
  </si>
  <si>
    <t>一</t>
    <phoneticPr fontId="2" type="noConversion"/>
  </si>
  <si>
    <t>九年一贯制</t>
    <phoneticPr fontId="2" type="noConversion"/>
  </si>
  <si>
    <t>小学</t>
    <phoneticPr fontId="2" type="noConversion"/>
  </si>
  <si>
    <t>初中</t>
    <phoneticPr fontId="2" type="noConversion"/>
  </si>
  <si>
    <r>
      <rPr>
        <sz val="10"/>
        <rFont val="宋体"/>
        <family val="3"/>
        <charset val="134"/>
      </rPr>
      <t>七宝二中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</si>
  <si>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</si>
  <si>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七宝实验中学</t>
    </r>
    <phoneticPr fontId="2" type="noConversion"/>
  </si>
  <si>
    <r>
      <rPr>
        <sz val="10"/>
        <rFont val="宋体"/>
        <family val="3"/>
        <charset val="134"/>
      </rPr>
      <t>明强小学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</si>
  <si>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6</t>
    </r>
    <r>
      <rPr>
        <sz val="10"/>
        <color indexed="8"/>
        <rFont val="宋体"/>
        <family val="3"/>
        <charset val="134"/>
      </rPr>
      <t>人、后门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</si>
  <si>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rPr>
        <sz val="10"/>
        <rFont val="宋体"/>
        <family val="3"/>
        <charset val="134"/>
      </rPr>
      <t>明强小学（西校）</t>
    </r>
    <phoneticPr fontId="2" type="noConversion"/>
  </si>
  <si>
    <r>
      <rPr>
        <sz val="10"/>
        <color indexed="8"/>
        <rFont val="宋体"/>
        <family val="3"/>
        <charset val="134"/>
      </rPr>
      <t>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</si>
  <si>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明强小学（宝南路教学点）</t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</si>
  <si>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月起借用交大农学院作为临时教学点</t>
    </r>
    <phoneticPr fontId="2" type="noConversion"/>
  </si>
  <si>
    <r>
      <rPr>
        <sz val="10"/>
        <rFont val="宋体"/>
        <family val="3"/>
        <charset val="134"/>
      </rPr>
      <t>黎明小学</t>
    </r>
    <phoneticPr fontId="2" type="noConversion"/>
  </si>
  <si>
    <r>
      <rPr>
        <sz val="10"/>
        <rFont val="宋体"/>
        <family val="3"/>
        <charset val="134"/>
      </rPr>
      <t>七宝实验小学</t>
    </r>
    <phoneticPr fontId="2" type="noConversion"/>
  </si>
  <si>
    <r>
      <rPr>
        <sz val="10"/>
        <rFont val="宋体"/>
        <family val="3"/>
        <charset val="134"/>
      </rPr>
      <t>航华中学</t>
    </r>
    <phoneticPr fontId="2" type="noConversion"/>
  </si>
  <si>
    <r>
      <rPr>
        <sz val="10"/>
        <rFont val="宋体"/>
        <family val="3"/>
        <charset val="134"/>
      </rPr>
      <t>航华二中</t>
    </r>
    <phoneticPr fontId="2" type="noConversion"/>
  </si>
  <si>
    <r>
      <rPr>
        <sz val="10"/>
        <rFont val="宋体"/>
        <family val="3"/>
        <charset val="134"/>
      </rPr>
      <t>航华二小</t>
    </r>
    <phoneticPr fontId="2" type="noConversion"/>
  </si>
  <si>
    <r>
      <rPr>
        <sz val="10"/>
        <rFont val="宋体"/>
        <family val="3"/>
        <charset val="134"/>
      </rPr>
      <t>明强第二小学</t>
    </r>
    <phoneticPr fontId="2" type="noConversion"/>
  </si>
  <si>
    <r>
      <t>2021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月新增人车分离</t>
    </r>
    <r>
      <rPr>
        <sz val="10"/>
        <color indexed="8"/>
        <rFont val="Arial"/>
        <family val="2"/>
      </rPr>
      <t>2</t>
    </r>
    <r>
      <rPr>
        <sz val="10"/>
        <color indexed="8"/>
        <rFont val="宋体"/>
        <family val="3"/>
        <charset val="134"/>
      </rPr>
      <t>人</t>
    </r>
    <r>
      <rPr>
        <sz val="10"/>
        <color indexed="8"/>
        <rFont val="Arial"/>
        <family val="2"/>
      </rPr>
      <t>,2023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月起新增人行门出口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</si>
  <si>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t>七宝三中（农学院教学点）</t>
    <phoneticPr fontId="2" type="noConversion"/>
  </si>
  <si>
    <t>2023年7月起借用交大农学院校区新开教学点</t>
    <phoneticPr fontId="2" type="noConversion"/>
  </si>
  <si>
    <t>上海市七宝实验小学（大上海校区）</t>
    <phoneticPr fontId="2" type="noConversion"/>
  </si>
  <si>
    <t>人车分离增派一名保安</t>
    <phoneticPr fontId="2" type="noConversion"/>
  </si>
  <si>
    <t>镇属</t>
  </si>
  <si>
    <t>学校</t>
  </si>
  <si>
    <t>园部</t>
    <phoneticPr fontId="1" type="noConversion"/>
  </si>
  <si>
    <t>教育教辅后勤应配用工人数(2024人保提供）</t>
    <phoneticPr fontId="1" type="noConversion"/>
  </si>
  <si>
    <t>教育教辅后勤应配用工人数(正常额度+临时额度）</t>
  </si>
  <si>
    <t>现有辅助用工人数（2024年人保科提供）</t>
    <phoneticPr fontId="1" type="noConversion"/>
  </si>
  <si>
    <t>财政资金应配备人数</t>
  </si>
  <si>
    <t>专技岗位
应配人数</t>
  </si>
  <si>
    <t>管理岗位
应配人数</t>
  </si>
  <si>
    <t>技术岗位
应配人数</t>
  </si>
  <si>
    <t>勤杂岗位
应配人数</t>
  </si>
  <si>
    <t>工资
（1-12月）</t>
  </si>
  <si>
    <t>福利费
（1月-12月）</t>
  </si>
  <si>
    <t>伙食费
（1-12月）</t>
  </si>
  <si>
    <t>工会经费
（1-12月）</t>
  </si>
  <si>
    <t>考核
（1-12月）</t>
  </si>
  <si>
    <t>社保公积金</t>
    <phoneticPr fontId="1" type="noConversion"/>
  </si>
  <si>
    <t>学前</t>
    <phoneticPr fontId="1" type="noConversion"/>
  </si>
  <si>
    <t>闵行区春欣幼儿园</t>
  </si>
  <si>
    <t>闵行区七宝实验幼儿园</t>
  </si>
  <si>
    <t>闵行区星辰幼儿园</t>
  </si>
  <si>
    <t>闵行区七宝中心幼儿园</t>
  </si>
  <si>
    <t>闵行区航华二幼</t>
  </si>
  <si>
    <t>闵行区航华二小</t>
  </si>
  <si>
    <t>闵行区七宝第三中学</t>
  </si>
  <si>
    <t>闵行区七宝第二中学</t>
  </si>
  <si>
    <t>七宝皇都幼儿园</t>
  </si>
  <si>
    <t>七宝幼儿园</t>
  </si>
  <si>
    <t>七宝明强幼儿园</t>
  </si>
  <si>
    <t>七宝文来学校</t>
  </si>
  <si>
    <t>七宝合计</t>
  </si>
  <si>
    <t>管理费
（2025年全年）</t>
    <phoneticPr fontId="1" type="noConversion"/>
  </si>
  <si>
    <t>2024年残疾人就业保障预算调整表</t>
    <phoneticPr fontId="1" type="noConversion"/>
  </si>
  <si>
    <t>镇属</t>
    <phoneticPr fontId="1" type="noConversion"/>
  </si>
  <si>
    <t>单位</t>
    <phoneticPr fontId="1" type="noConversion"/>
  </si>
  <si>
    <t>全年需求</t>
    <phoneticPr fontId="1" type="noConversion"/>
  </si>
  <si>
    <t>一次分配</t>
    <phoneticPr fontId="1" type="noConversion"/>
  </si>
  <si>
    <t>七宝</t>
    <phoneticPr fontId="1" type="noConversion"/>
  </si>
  <si>
    <t>上海市闵行区七宝明强第二小学</t>
  </si>
  <si>
    <t>闵行区七宝中心幼儿园</t>
    <phoneticPr fontId="2" type="noConversion"/>
  </si>
  <si>
    <t>上海市闵行区星辰幼儿园</t>
    <phoneticPr fontId="2" type="noConversion"/>
  </si>
  <si>
    <t>上海市闵行区春欣幼儿园</t>
    <phoneticPr fontId="2" type="noConversion"/>
  </si>
  <si>
    <t>上海市闵行区七宝实验幼儿园</t>
    <phoneticPr fontId="2" type="noConversion"/>
  </si>
  <si>
    <t>闵行区航华第二幼儿园</t>
    <phoneticPr fontId="2" type="noConversion"/>
  </si>
  <si>
    <t>上海市闵行区七宝皇都幼儿园</t>
    <phoneticPr fontId="2" type="noConversion"/>
  </si>
  <si>
    <t>上海市闵行区七宝明强幼儿园</t>
    <phoneticPr fontId="2" type="noConversion"/>
  </si>
  <si>
    <t>上海市闵行区七宝幼儿园</t>
    <phoneticPr fontId="2" type="noConversion"/>
  </si>
  <si>
    <t>上海市闵行区启英宝盛幼儿园</t>
    <phoneticPr fontId="2" type="noConversion"/>
  </si>
  <si>
    <t>上海市闵行区七宝镇社区学校</t>
  </si>
  <si>
    <t>2025年基本支出预算表（七宝）</t>
    <phoneticPr fontId="2" type="noConversion"/>
  </si>
  <si>
    <t>2025年社区教育年初预算</t>
    <phoneticPr fontId="1" type="noConversion"/>
  </si>
  <si>
    <r>
      <rPr>
        <sz val="10"/>
        <rFont val="宋体"/>
        <family val="3"/>
        <charset val="134"/>
      </rPr>
      <t>七宝三中</t>
    </r>
    <phoneticPr fontId="2" type="noConversion"/>
  </si>
  <si>
    <r>
      <t>2023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10</t>
    </r>
    <r>
      <rPr>
        <sz val="10"/>
        <color indexed="8"/>
        <rFont val="宋体"/>
        <family val="3"/>
        <charset val="134"/>
      </rPr>
      <t>月起新开北门增加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</t>
    </r>
    <phoneticPr fontId="2" type="noConversion"/>
  </si>
  <si>
    <r>
      <t>2018</t>
    </r>
    <r>
      <rPr>
        <sz val="10"/>
        <color indexed="8"/>
        <rFont val="宋体"/>
        <family val="3"/>
        <charset val="134"/>
      </rPr>
      <t>年</t>
    </r>
    <r>
      <rPr>
        <sz val="10"/>
        <color indexed="8"/>
        <rFont val="Arial"/>
        <family val="2"/>
      </rPr>
      <t>7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日派驻，</t>
    </r>
    <r>
      <rPr>
        <sz val="10"/>
        <color indexed="8"/>
        <rFont val="Arial"/>
        <family val="2"/>
      </rPr>
      <t>9</t>
    </r>
    <r>
      <rPr>
        <sz val="10"/>
        <color indexed="8"/>
        <rFont val="宋体"/>
        <family val="3"/>
        <charset val="134"/>
      </rPr>
      <t>月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日增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人（正门</t>
    </r>
    <r>
      <rPr>
        <sz val="10"/>
        <color indexed="8"/>
        <rFont val="Arial"/>
        <family val="2"/>
      </rPr>
      <t>5</t>
    </r>
    <r>
      <rPr>
        <sz val="10"/>
        <color indexed="8"/>
        <rFont val="宋体"/>
        <family val="3"/>
        <charset val="134"/>
      </rPr>
      <t>人、边门</t>
    </r>
    <r>
      <rPr>
        <sz val="10"/>
        <color indexed="8"/>
        <rFont val="Arial"/>
        <family val="2"/>
      </rPr>
      <t>1</t>
    </r>
    <r>
      <rPr>
        <sz val="10"/>
        <color indexed="8"/>
        <rFont val="宋体"/>
        <family val="3"/>
        <charset val="134"/>
      </rPr>
      <t>人）</t>
    </r>
    <phoneticPr fontId="2" type="noConversion"/>
  </si>
  <si>
    <t>幼儿园</t>
    <phoneticPr fontId="2" type="noConversion"/>
  </si>
  <si>
    <r>
      <rPr>
        <sz val="10"/>
        <rFont val="宋体"/>
        <family val="3"/>
        <charset val="134"/>
      </rPr>
      <t>七宝中心幼儿园</t>
    </r>
    <phoneticPr fontId="2" type="noConversion"/>
  </si>
  <si>
    <t>七宝镇</t>
    <phoneticPr fontId="2" type="noConversion"/>
  </si>
  <si>
    <t>七宝镇 汇总</t>
  </si>
  <si>
    <t>2025年镇级保安经费预算表</t>
    <phoneticPr fontId="1" type="noConversion"/>
  </si>
  <si>
    <t>学段</t>
    <phoneticPr fontId="1" type="noConversion"/>
  </si>
  <si>
    <t>一贯制</t>
    <phoneticPr fontId="1" type="noConversion"/>
  </si>
  <si>
    <t>小学</t>
    <phoneticPr fontId="1" type="noConversion"/>
  </si>
  <si>
    <t>幼儿园</t>
    <phoneticPr fontId="1" type="noConversion"/>
  </si>
  <si>
    <t>初中</t>
    <phoneticPr fontId="1" type="noConversion"/>
  </si>
  <si>
    <t>初中</t>
    <phoneticPr fontId="1" type="noConversion"/>
  </si>
  <si>
    <t>小学</t>
    <phoneticPr fontId="1" type="noConversion"/>
  </si>
  <si>
    <t>成人</t>
    <phoneticPr fontId="1" type="noConversion"/>
  </si>
  <si>
    <t>2025年镇管单位补充公用经费预算表(年初预算）</t>
    <phoneticPr fontId="1" type="noConversion"/>
  </si>
  <si>
    <t>因故额外增加临时额度（2024人保提供）</t>
    <phoneticPr fontId="1" type="noConversion"/>
  </si>
  <si>
    <t>2025年金额（年初预算：按中位数测算，学校实际执行按人事部门规定标准执行，严禁超标准发放）</t>
    <phoneticPr fontId="1" type="noConversion"/>
  </si>
  <si>
    <t>课后延时</t>
    <phoneticPr fontId="1" type="noConversion"/>
  </si>
  <si>
    <t>奖金</t>
    <phoneticPr fontId="1" type="noConversion"/>
  </si>
  <si>
    <t>掌勺津贴</t>
    <phoneticPr fontId="1" type="noConversion"/>
  </si>
  <si>
    <t>小计</t>
    <phoneticPr fontId="1" type="noConversion"/>
  </si>
  <si>
    <t>一贯制</t>
    <phoneticPr fontId="1" type="noConversion"/>
  </si>
  <si>
    <t>七宝启英宝盛幼儿园</t>
    <phoneticPr fontId="1" type="noConversion"/>
  </si>
  <si>
    <r>
      <t>2024年</t>
    </r>
    <r>
      <rPr>
        <sz val="16"/>
        <rFont val="宋体"/>
        <family val="3"/>
        <charset val="134"/>
        <scheme val="minor"/>
      </rPr>
      <t>在编人员绩效（含课后延时）清算</t>
    </r>
    <phoneticPr fontId="1" type="noConversion"/>
  </si>
  <si>
    <t>单 位</t>
  </si>
  <si>
    <t>属性2</t>
  </si>
  <si>
    <t>学段</t>
  </si>
  <si>
    <t>2024年核定金额</t>
    <phoneticPr fontId="1" type="noConversion"/>
  </si>
  <si>
    <t>2024年分配金额</t>
    <phoneticPr fontId="1" type="noConversion"/>
  </si>
  <si>
    <t>2025年清算金额</t>
    <phoneticPr fontId="1" type="noConversion"/>
  </si>
  <si>
    <t>合计（常规）</t>
    <phoneticPr fontId="1" type="noConversion"/>
  </si>
  <si>
    <t>其中：校长绩效工资项目</t>
    <phoneticPr fontId="1" type="noConversion"/>
  </si>
  <si>
    <t>总绩效</t>
  </si>
  <si>
    <t>课后延时</t>
  </si>
  <si>
    <t>义务</t>
  </si>
  <si>
    <t>九年一贯</t>
  </si>
  <si>
    <t>非义务</t>
  </si>
  <si>
    <t>社校</t>
  </si>
  <si>
    <t>幼儿园</t>
  </si>
  <si>
    <t>小学</t>
  </si>
  <si>
    <t>初中</t>
  </si>
  <si>
    <t>闵行区航华第二幼儿园</t>
  </si>
  <si>
    <t>上海市闵行区星辰幼儿园</t>
  </si>
  <si>
    <t>上海市闵行区春欣幼儿园</t>
  </si>
  <si>
    <t>上海市闵行区七宝实验幼儿园</t>
  </si>
  <si>
    <t>上海市闵行区七宝皇都幼儿园</t>
  </si>
  <si>
    <t>上海市闵行区七宝明强幼儿园</t>
  </si>
  <si>
    <t>上海市闵行区七宝幼儿园</t>
  </si>
  <si>
    <t>上海市闵行区启英宝盛幼儿园</t>
  </si>
  <si>
    <t>七宝小计</t>
    <phoneticPr fontId="1" type="noConversion"/>
  </si>
  <si>
    <t>课后延时（1-12月）</t>
    <phoneticPr fontId="1" type="noConversion"/>
  </si>
  <si>
    <t>2024年镇管学校制度外用工清算核定表（补充公用经费清算不含储备老师）</t>
    <phoneticPr fontId="43" type="noConversion"/>
  </si>
  <si>
    <t>镇属</t>
    <phoneticPr fontId="43" type="noConversion"/>
  </si>
  <si>
    <t>学校名称</t>
  </si>
  <si>
    <t>课后延时</t>
    <phoneticPr fontId="1" type="noConversion"/>
  </si>
  <si>
    <t>2024年已下达课后延时金额</t>
    <phoneticPr fontId="1" type="noConversion"/>
  </si>
  <si>
    <t>清算课后延时金额</t>
    <phoneticPr fontId="1" type="noConversion"/>
  </si>
  <si>
    <t>七宝</t>
    <phoneticPr fontId="43" type="noConversion"/>
  </si>
  <si>
    <t>闵行区职业年金补记人员汇总表（事业单位人员）</t>
    <phoneticPr fontId="2" type="noConversion"/>
  </si>
  <si>
    <t>事业单位名称</t>
  </si>
  <si>
    <t>镇属</t>
    <phoneticPr fontId="2" type="noConversion"/>
  </si>
  <si>
    <t>姓名</t>
  </si>
  <si>
    <t>身份证号码</t>
  </si>
  <si>
    <t>社保转出年月</t>
  </si>
  <si>
    <t>是否已完成年金补记缴费</t>
  </si>
  <si>
    <t>补记期限</t>
  </si>
  <si>
    <t>补记总月数
（*年*个月）</t>
  </si>
  <si>
    <t>补记金额</t>
  </si>
  <si>
    <t>否</t>
  </si>
  <si>
    <t>七宝</t>
    <phoneticPr fontId="2" type="noConversion"/>
  </si>
  <si>
    <t>金琴琳</t>
  </si>
  <si>
    <t>31022119730507042X</t>
  </si>
  <si>
    <t>2003年2月-2014年9月</t>
  </si>
  <si>
    <t>11年6个月</t>
  </si>
  <si>
    <t>张耘</t>
  </si>
  <si>
    <t>310102197211210028</t>
  </si>
  <si>
    <t>1991年7月-2014年9月</t>
  </si>
  <si>
    <t>23年3个月</t>
  </si>
  <si>
    <t>七宝小计</t>
    <phoneticPr fontId="1" type="noConversion"/>
  </si>
  <si>
    <t>2025年教育统筹经费第一次分配明细表</t>
  </si>
  <si>
    <t>单位：元</t>
  </si>
  <si>
    <t>项目</t>
  </si>
  <si>
    <t>核定金额</t>
  </si>
  <si>
    <t>减：2024年预排教育事业专项资金</t>
  </si>
  <si>
    <t>一次分配</t>
  </si>
  <si>
    <t>其中：教育局</t>
  </si>
  <si>
    <t>其中：乡镇/工业区</t>
  </si>
  <si>
    <t>对个人和家庭的补助支出</t>
  </si>
  <si>
    <t>残疾就业保障</t>
  </si>
  <si>
    <t>社区教育经费</t>
  </si>
  <si>
    <t>保安经费</t>
  </si>
  <si>
    <t>社区教育志愿者联盟</t>
  </si>
  <si>
    <t>补充公用经费</t>
  </si>
  <si>
    <t>七宝镇：</t>
    <phoneticPr fontId="1" type="noConversion"/>
  </si>
  <si>
    <t>2024年绩效增量</t>
    <phoneticPr fontId="1" type="noConversion"/>
  </si>
  <si>
    <r>
      <rPr>
        <sz val="11"/>
        <rFont val="宋体"/>
        <family val="3"/>
        <charset val="134"/>
      </rPr>
      <t>学校名称</t>
    </r>
    <phoneticPr fontId="2" type="noConversion"/>
  </si>
  <si>
    <t>总量</t>
  </si>
  <si>
    <t>其中校长职级</t>
  </si>
  <si>
    <t>上海市闵行区七宝皇都幼儿园</t>
    <phoneticPr fontId="1" type="noConversion"/>
  </si>
  <si>
    <t>七宝</t>
    <phoneticPr fontId="1" type="noConversion"/>
  </si>
</sst>
</file>

<file path=xl/styles.xml><?xml version="1.0" encoding="utf-8"?>
<styleSheet xmlns="http://schemas.openxmlformats.org/spreadsheetml/2006/main">
  <numFmts count="8">
    <numFmt numFmtId="43" formatCode="_ * #,##0.00_ ;_ * \-#,##0.00_ ;_ * &quot;-&quot;??_ ;_ @_ "/>
    <numFmt numFmtId="176" formatCode="0.00_ "/>
    <numFmt numFmtId="177" formatCode="0.00_ ;\-0.00;;"/>
    <numFmt numFmtId="178" formatCode="0.00_);[Red]\(0.00\)"/>
    <numFmt numFmtId="179" formatCode="0_ "/>
    <numFmt numFmtId="180" formatCode="[$-F800]dddd\,\ mmmm\ dd\,\ yyyy"/>
    <numFmt numFmtId="181" formatCode="_ \¥* #,##0.00_ ;_ \¥* \-#,##0.00_ ;_ \¥* &quot;-&quot;??_ ;_ @_ "/>
    <numFmt numFmtId="182" formatCode="yyyy&quot;年&quot;m&quot;月&quot;;@"/>
  </numFmts>
  <fonts count="8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0"/>
      <name val="宋体"/>
      <family val="3"/>
      <charset val="134"/>
    </font>
    <font>
      <sz val="12"/>
      <name val="Times New Roman"/>
      <family val="1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6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1"/>
      <color indexed="56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62"/>
      <name val="宋体"/>
      <family val="3"/>
      <charset val="134"/>
    </font>
    <font>
      <b/>
      <sz val="15"/>
      <color indexed="56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20"/>
      <name val="宋体"/>
      <family val="3"/>
      <charset val="134"/>
    </font>
    <font>
      <b/>
      <sz val="11"/>
      <color indexed="52"/>
      <name val="宋体"/>
      <family val="3"/>
      <charset val="134"/>
    </font>
    <font>
      <sz val="11"/>
      <color indexed="52"/>
      <name val="宋体"/>
      <family val="3"/>
      <charset val="134"/>
    </font>
    <font>
      <sz val="12"/>
      <color indexed="17"/>
      <name val="宋体"/>
      <family val="3"/>
      <charset val="134"/>
    </font>
    <font>
      <sz val="12"/>
      <color indexed="14"/>
      <name val="宋体"/>
      <family val="3"/>
      <charset val="134"/>
    </font>
    <font>
      <sz val="12"/>
      <color indexed="8"/>
      <name val="宋体"/>
      <family val="3"/>
      <charset val="134"/>
    </font>
    <font>
      <sz val="10"/>
      <name val="Arial"/>
      <family val="2"/>
    </font>
    <font>
      <sz val="11"/>
      <color indexed="14"/>
      <name val="宋体"/>
      <family val="3"/>
      <charset val="134"/>
    </font>
    <font>
      <u/>
      <sz val="14.4"/>
      <color indexed="12"/>
      <name val="宋体"/>
      <family val="3"/>
      <charset val="134"/>
    </font>
    <font>
      <sz val="11"/>
      <color indexed="8"/>
      <name val="等线"/>
      <charset val="134"/>
    </font>
    <font>
      <sz val="11"/>
      <color theme="1"/>
      <name val="等线"/>
      <charset val="134"/>
    </font>
    <font>
      <sz val="11"/>
      <color rgb="FF006100"/>
      <name val="宋体"/>
      <family val="3"/>
      <charset val="134"/>
      <scheme val="minor"/>
    </font>
    <font>
      <b/>
      <sz val="9"/>
      <color indexed="8"/>
      <name val="宋体"/>
      <family val="3"/>
      <charset val="134"/>
    </font>
    <font>
      <sz val="9"/>
      <color indexed="8"/>
      <name val="宋体"/>
      <family val="3"/>
      <charset val="134"/>
    </font>
    <font>
      <sz val="9"/>
      <color indexed="12"/>
      <name val="宋体"/>
      <family val="3"/>
      <charset val="134"/>
    </font>
    <font>
      <sz val="16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  <scheme val="minor"/>
    </font>
    <font>
      <b/>
      <sz val="9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1"/>
      <color indexed="8"/>
      <name val="Arial"/>
      <family val="2"/>
    </font>
    <font>
      <sz val="11"/>
      <color theme="1"/>
      <name val="宋体"/>
      <family val="2"/>
      <charset val="134"/>
      <scheme val="minor"/>
    </font>
    <font>
      <sz val="9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sz val="9"/>
      <color indexed="10"/>
      <name val="宋体"/>
      <family val="3"/>
      <charset val="134"/>
    </font>
    <font>
      <b/>
      <sz val="9"/>
      <color rgb="FFFF0000"/>
      <name val="宋体"/>
      <family val="3"/>
      <charset val="134"/>
    </font>
    <font>
      <b/>
      <sz val="14"/>
      <color indexed="8"/>
      <name val="微软雅黑"/>
      <family val="2"/>
      <charset val="134"/>
    </font>
    <font>
      <b/>
      <sz val="10"/>
      <color indexed="8"/>
      <name val="微软雅黑"/>
      <family val="2"/>
      <charset val="134"/>
    </font>
    <font>
      <b/>
      <sz val="10"/>
      <name val="微软雅黑"/>
      <family val="2"/>
      <charset val="134"/>
    </font>
    <font>
      <sz val="10"/>
      <color indexed="8"/>
      <name val="Arial"/>
      <family val="2"/>
    </font>
    <font>
      <b/>
      <sz val="10"/>
      <color indexed="8"/>
      <name val="宋体"/>
      <family val="3"/>
      <charset val="134"/>
    </font>
    <font>
      <b/>
      <sz val="9"/>
      <color indexed="81"/>
      <name val="宋体"/>
      <family val="3"/>
      <charset val="134"/>
    </font>
    <font>
      <b/>
      <sz val="9"/>
      <color indexed="81"/>
      <name val="Tahoma"/>
      <family val="2"/>
    </font>
    <font>
      <sz val="14"/>
      <name val="宋体"/>
      <family val="2"/>
      <charset val="134"/>
    </font>
    <font>
      <sz val="9"/>
      <color rgb="FFFF0000"/>
      <name val="宋体"/>
      <family val="2"/>
      <charset val="134"/>
    </font>
    <font>
      <sz val="9"/>
      <color rgb="FFFF0000"/>
      <name val="宋体"/>
      <family val="3"/>
      <charset val="134"/>
      <scheme val="minor"/>
    </font>
    <font>
      <b/>
      <sz val="16"/>
      <color indexed="8"/>
      <name val="宋体"/>
      <family val="3"/>
      <charset val="134"/>
    </font>
    <font>
      <b/>
      <sz val="16"/>
      <name val="宋体"/>
      <family val="3"/>
      <charset val="134"/>
    </font>
    <font>
      <sz val="16"/>
      <name val="宋体"/>
      <family val="3"/>
      <charset val="134"/>
    </font>
    <font>
      <sz val="9"/>
      <color rgb="FFFF0000"/>
      <name val="宋体"/>
      <family val="3"/>
      <charset val="134"/>
    </font>
    <font>
      <sz val="16"/>
      <name val="宋体"/>
      <family val="2"/>
      <charset val="134"/>
      <scheme val="minor"/>
    </font>
    <font>
      <sz val="16"/>
      <name val="宋体"/>
      <family val="3"/>
      <charset val="134"/>
      <scheme val="minor"/>
    </font>
    <font>
      <sz val="9"/>
      <name val="黑体"/>
      <family val="3"/>
      <charset val="134"/>
    </font>
    <font>
      <sz val="14"/>
      <color indexed="8"/>
      <name val="宋体"/>
      <family val="3"/>
      <charset val="134"/>
      <scheme val="minor"/>
    </font>
    <font>
      <sz val="14"/>
      <color theme="1"/>
      <name val="宋体"/>
      <family val="3"/>
      <charset val="134"/>
      <scheme val="minor"/>
    </font>
    <font>
      <sz val="9"/>
      <color theme="1"/>
      <name val="宋体"/>
      <family val="3"/>
      <charset val="134"/>
    </font>
    <font>
      <b/>
      <sz val="9"/>
      <color theme="1"/>
      <name val="宋体"/>
      <family val="2"/>
      <charset val="134"/>
      <scheme val="minor"/>
    </font>
    <font>
      <b/>
      <sz val="14"/>
      <color theme="1"/>
      <name val="宋体"/>
      <family val="3"/>
      <charset val="134"/>
    </font>
    <font>
      <b/>
      <sz val="12"/>
      <name val="仿宋"/>
      <family val="3"/>
      <charset val="134"/>
    </font>
    <font>
      <sz val="12"/>
      <color theme="1"/>
      <name val="仿宋"/>
      <family val="3"/>
      <charset val="134"/>
    </font>
    <font>
      <sz val="11"/>
      <name val="仿宋"/>
      <family val="3"/>
      <charset val="134"/>
    </font>
    <font>
      <sz val="12"/>
      <color indexed="64"/>
      <name val="仿宋"/>
      <family val="3"/>
      <charset val="134"/>
    </font>
    <font>
      <sz val="12"/>
      <name val="仿宋"/>
      <family val="3"/>
      <charset val="134"/>
    </font>
    <font>
      <sz val="12"/>
      <color theme="1"/>
      <name val="宋体"/>
      <family val="3"/>
      <charset val="134"/>
    </font>
    <font>
      <b/>
      <sz val="16"/>
      <name val="宋体"/>
      <family val="3"/>
      <charset val="134"/>
      <scheme val="major"/>
    </font>
    <font>
      <sz val="14"/>
      <name val="仿宋"/>
      <family val="3"/>
      <charset val="134"/>
    </font>
    <font>
      <sz val="14"/>
      <color theme="1"/>
      <name val="仿宋"/>
      <family val="3"/>
      <charset val="134"/>
    </font>
    <font>
      <sz val="14"/>
      <color theme="1"/>
      <name val="宋体"/>
      <family val="2"/>
      <charset val="134"/>
      <scheme val="minor"/>
    </font>
    <font>
      <sz val="11"/>
      <name val="Times New Roman"/>
      <family val="1"/>
    </font>
    <font>
      <sz val="11"/>
      <name val="宋体"/>
      <family val="3"/>
      <charset val="134"/>
    </font>
  </fonts>
  <fills count="31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09">
    <xf numFmtId="0" fontId="0" fillId="0" borderId="0">
      <alignment vertical="center"/>
    </xf>
    <xf numFmtId="0" fontId="4" fillId="0" borderId="0"/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>
      <alignment vertical="center"/>
    </xf>
    <xf numFmtId="0" fontId="5" fillId="3" borderId="0">
      <alignment vertical="center"/>
    </xf>
    <xf numFmtId="0" fontId="5" fillId="3" borderId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>
      <alignment vertical="center"/>
    </xf>
    <xf numFmtId="0" fontId="5" fillId="4" borderId="0">
      <alignment vertical="center"/>
    </xf>
    <xf numFmtId="0" fontId="5" fillId="4" borderId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>
      <alignment vertical="center"/>
    </xf>
    <xf numFmtId="0" fontId="5" fillId="5" borderId="0">
      <alignment vertical="center"/>
    </xf>
    <xf numFmtId="0" fontId="5" fillId="5" borderId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>
      <alignment vertical="center"/>
    </xf>
    <xf numFmtId="0" fontId="5" fillId="7" borderId="0">
      <alignment vertical="center"/>
    </xf>
    <xf numFmtId="0" fontId="5" fillId="7" borderId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>
      <alignment vertical="center"/>
    </xf>
    <xf numFmtId="0" fontId="5" fillId="8" borderId="0">
      <alignment vertical="center"/>
    </xf>
    <xf numFmtId="0" fontId="5" fillId="8" borderId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>
      <alignment vertical="center"/>
    </xf>
    <xf numFmtId="0" fontId="5" fillId="10" borderId="0">
      <alignment vertical="center"/>
    </xf>
    <xf numFmtId="0" fontId="5" fillId="10" borderId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>
      <alignment vertical="center"/>
    </xf>
    <xf numFmtId="0" fontId="5" fillId="11" borderId="0">
      <alignment vertical="center"/>
    </xf>
    <xf numFmtId="0" fontId="5" fillId="11" borderId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>
      <alignment vertical="center"/>
    </xf>
    <xf numFmtId="0" fontId="5" fillId="6" borderId="0">
      <alignment vertical="center"/>
    </xf>
    <xf numFmtId="0" fontId="5" fillId="6" borderId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>
      <alignment vertical="center"/>
    </xf>
    <xf numFmtId="0" fontId="5" fillId="9" borderId="0">
      <alignment vertical="center"/>
    </xf>
    <xf numFmtId="0" fontId="5" fillId="9" borderId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>
      <alignment vertical="center"/>
    </xf>
    <xf numFmtId="0" fontId="5" fillId="12" borderId="0">
      <alignment vertical="center"/>
    </xf>
    <xf numFmtId="0" fontId="5" fillId="12" borderId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23" fillId="0" borderId="2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9" fillId="4" borderId="0" applyNumberFormat="0" applyBorder="0" applyAlignment="0" applyProtection="0"/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32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7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1" fillId="0" borderId="0"/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5" fillId="0" borderId="0">
      <alignment vertical="center"/>
    </xf>
    <xf numFmtId="0" fontId="10" fillId="0" borderId="0"/>
    <xf numFmtId="0" fontId="10" fillId="0" borderId="0"/>
    <xf numFmtId="0" fontId="3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3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12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3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12" fillId="0" borderId="0"/>
    <xf numFmtId="0" fontId="5" fillId="0" borderId="0"/>
    <xf numFmtId="0" fontId="5" fillId="0" borderId="0"/>
    <xf numFmtId="0" fontId="12" fillId="0" borderId="0"/>
    <xf numFmtId="0" fontId="5" fillId="0" borderId="0"/>
    <xf numFmtId="0" fontId="5" fillId="0" borderId="0"/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3" fillId="0" borderId="0" applyNumberFormat="0" applyFill="0" applyBorder="0" applyAlignment="0" applyProtection="0">
      <alignment vertical="top"/>
      <protection locked="0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36" fillId="27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28" fillId="5" borderId="0" applyNumberFormat="0" applyBorder="0" applyAlignment="0" applyProtection="0"/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19" fillId="5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26" fillId="18" borderId="6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7" fillId="19" borderId="7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4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30" fillId="0" borderId="0"/>
    <xf numFmtId="43" fontId="30" fillId="0" borderId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12" fillId="0" borderId="0" applyFont="0" applyFill="0" applyBorder="0" applyAlignment="0" applyProtection="0">
      <alignment vertical="center"/>
    </xf>
    <xf numFmtId="43" fontId="12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43" fontId="34" fillId="0" borderId="0" applyFont="0" applyFill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3" borderId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5" borderId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5" borderId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4" fillId="18" borderId="9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22" fillId="8" borderId="6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1" fillId="0" borderId="0"/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>
      <alignment vertical="center"/>
    </xf>
    <xf numFmtId="0" fontId="5" fillId="26" borderId="10">
      <alignment vertical="center"/>
    </xf>
    <xf numFmtId="0" fontId="5" fillId="26" borderId="1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12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0" fontId="5" fillId="26" borderId="10" applyNumberFormat="0" applyFont="0" applyAlignment="0" applyProtection="0">
      <alignment vertical="center"/>
    </xf>
    <xf numFmtId="176" fontId="3" fillId="0" borderId="0">
      <alignment vertical="center"/>
    </xf>
    <xf numFmtId="0" fontId="45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3" fillId="0" borderId="0">
      <alignment vertical="center"/>
    </xf>
    <xf numFmtId="176" fontId="45" fillId="0" borderId="0">
      <alignment vertical="center"/>
    </xf>
    <xf numFmtId="0" fontId="4" fillId="0" borderId="0"/>
    <xf numFmtId="178" fontId="7" fillId="0" borderId="0" applyFont="0" applyFill="0" applyBorder="0" applyAlignment="0" applyProtection="0">
      <alignment vertical="center"/>
    </xf>
    <xf numFmtId="0" fontId="3" fillId="0" borderId="0">
      <alignment vertical="center"/>
    </xf>
  </cellStyleXfs>
  <cellXfs count="170">
    <xf numFmtId="0" fontId="0" fillId="0" borderId="0" xfId="0">
      <alignment vertical="center"/>
    </xf>
    <xf numFmtId="0" fontId="2" fillId="28" borderId="0" xfId="0" applyFont="1" applyFill="1" applyAlignment="1" applyProtection="1">
      <protection locked="0"/>
    </xf>
    <xf numFmtId="0" fontId="39" fillId="28" borderId="0" xfId="0" applyFont="1" applyFill="1" applyAlignment="1" applyProtection="1">
      <protection locked="0"/>
    </xf>
    <xf numFmtId="49" fontId="38" fillId="28" borderId="12" xfId="0" applyNumberFormat="1" applyFont="1" applyFill="1" applyBorder="1" applyAlignment="1" applyProtection="1">
      <alignment vertical="center"/>
      <protection locked="0"/>
    </xf>
    <xf numFmtId="0" fontId="2" fillId="28" borderId="12" xfId="0" applyFont="1" applyFill="1" applyBorder="1" applyAlignment="1" applyProtection="1">
      <alignment wrapText="1"/>
      <protection locked="0"/>
    </xf>
    <xf numFmtId="177" fontId="2" fillId="28" borderId="12" xfId="0" applyNumberFormat="1" applyFont="1" applyFill="1" applyBorder="1" applyAlignment="1" applyProtection="1">
      <protection locked="0"/>
    </xf>
    <xf numFmtId="49" fontId="38" fillId="28" borderId="1" xfId="0" applyNumberFormat="1" applyFont="1" applyFill="1" applyBorder="1" applyAlignment="1" applyProtection="1">
      <alignment vertical="center"/>
      <protection locked="0"/>
    </xf>
    <xf numFmtId="0" fontId="2" fillId="28" borderId="1" xfId="0" applyFont="1" applyFill="1" applyBorder="1" applyAlignment="1" applyProtection="1">
      <alignment wrapText="1"/>
      <protection locked="0"/>
    </xf>
    <xf numFmtId="177" fontId="2" fillId="28" borderId="1" xfId="0" applyNumberFormat="1" applyFont="1" applyFill="1" applyBorder="1" applyAlignment="1" applyProtection="1">
      <protection locked="0"/>
    </xf>
    <xf numFmtId="0" fontId="2" fillId="28" borderId="0" xfId="0" applyFont="1" applyFill="1" applyAlignment="1" applyProtection="1">
      <alignment horizontal="center"/>
      <protection locked="0"/>
    </xf>
    <xf numFmtId="0" fontId="2" fillId="28" borderId="0" xfId="0" applyFont="1" applyFill="1" applyAlignment="1" applyProtection="1">
      <alignment wrapText="1"/>
      <protection locked="0"/>
    </xf>
    <xf numFmtId="0" fontId="44" fillId="28" borderId="0" xfId="0" applyFont="1" applyFill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48" fillId="0" borderId="14" xfId="0" applyFont="1" applyBorder="1" applyAlignment="1">
      <alignment horizontal="center" vertical="center"/>
    </xf>
    <xf numFmtId="0" fontId="4" fillId="0" borderId="14" xfId="2006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0" fontId="4" fillId="0" borderId="14" xfId="2006" applyFont="1" applyFill="1" applyBorder="1" applyAlignment="1">
      <alignment horizontal="center" vertical="center"/>
    </xf>
    <xf numFmtId="179" fontId="0" fillId="0" borderId="14" xfId="0" applyNumberFormat="1" applyBorder="1" applyAlignment="1">
      <alignment horizontal="center" vertical="center"/>
    </xf>
    <xf numFmtId="0" fontId="37" fillId="28" borderId="14" xfId="0" applyNumberFormat="1" applyFont="1" applyFill="1" applyBorder="1" applyAlignment="1" applyProtection="1">
      <alignment horizontal="center" vertical="center" wrapText="1"/>
      <protection locked="0"/>
    </xf>
    <xf numFmtId="0" fontId="38" fillId="28" borderId="14" xfId="0" applyNumberFormat="1" applyFont="1" applyFill="1" applyBorder="1" applyAlignment="1" applyProtection="1">
      <alignment horizontal="center"/>
      <protection locked="0"/>
    </xf>
    <xf numFmtId="49" fontId="38" fillId="28" borderId="14" xfId="0" applyNumberFormat="1" applyFont="1" applyFill="1" applyBorder="1" applyAlignment="1" applyProtection="1">
      <protection locked="0"/>
    </xf>
    <xf numFmtId="49" fontId="38" fillId="28" borderId="14" xfId="0" applyNumberFormat="1" applyFont="1" applyFill="1" applyBorder="1" applyAlignment="1" applyProtection="1">
      <alignment wrapText="1"/>
      <protection locked="0"/>
    </xf>
    <xf numFmtId="177" fontId="39" fillId="28" borderId="14" xfId="0" applyNumberFormat="1" applyFont="1" applyFill="1" applyBorder="1" applyAlignment="1" applyProtection="1"/>
    <xf numFmtId="49" fontId="39" fillId="28" borderId="14" xfId="0" applyNumberFormat="1" applyFont="1" applyFill="1" applyBorder="1" applyAlignment="1" applyProtection="1">
      <alignment wrapText="1"/>
      <protection locked="0"/>
    </xf>
    <xf numFmtId="177" fontId="39" fillId="28" borderId="14" xfId="0" applyNumberFormat="1" applyFont="1" applyFill="1" applyBorder="1" applyAlignment="1" applyProtection="1">
      <protection locked="0"/>
    </xf>
    <xf numFmtId="49" fontId="39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protection locked="0"/>
    </xf>
    <xf numFmtId="49" fontId="2" fillId="28" borderId="14" xfId="0" applyNumberFormat="1" applyFont="1" applyFill="1" applyBorder="1" applyAlignment="1" applyProtection="1">
      <alignment wrapText="1"/>
      <protection locked="0"/>
    </xf>
    <xf numFmtId="177" fontId="2" fillId="28" borderId="14" xfId="0" applyNumberFormat="1" applyFont="1" applyFill="1" applyBorder="1" applyAlignment="1" applyProtection="1">
      <protection locked="0"/>
    </xf>
    <xf numFmtId="177" fontId="2" fillId="28" borderId="14" xfId="0" applyNumberFormat="1" applyFont="1" applyFill="1" applyBorder="1" applyAlignment="1" applyProtection="1"/>
    <xf numFmtId="0" fontId="2" fillId="28" borderId="14" xfId="0" applyFont="1" applyFill="1" applyBorder="1" applyAlignment="1" applyProtection="1">
      <alignment wrapText="1"/>
      <protection locked="0"/>
    </xf>
    <xf numFmtId="0" fontId="39" fillId="28" borderId="14" xfId="0" applyFont="1" applyFill="1" applyBorder="1" applyAlignment="1" applyProtection="1">
      <alignment wrapText="1"/>
      <protection locked="0"/>
    </xf>
    <xf numFmtId="178" fontId="2" fillId="28" borderId="14" xfId="0" applyNumberFormat="1" applyFont="1" applyFill="1" applyBorder="1" applyAlignment="1" applyProtection="1">
      <protection locked="0"/>
    </xf>
    <xf numFmtId="49" fontId="38" fillId="28" borderId="14" xfId="0" applyNumberFormat="1" applyFont="1" applyFill="1" applyBorder="1" applyAlignment="1" applyProtection="1">
      <alignment horizontal="left"/>
      <protection locked="0"/>
    </xf>
    <xf numFmtId="0" fontId="50" fillId="28" borderId="14" xfId="0" applyNumberFormat="1" applyFont="1" applyFill="1" applyBorder="1" applyAlignment="1" applyProtection="1">
      <alignment horizontal="center" vertical="center" wrapText="1"/>
      <protection locked="0"/>
    </xf>
    <xf numFmtId="0" fontId="41" fillId="0" borderId="14" xfId="0" applyNumberFormat="1" applyFont="1" applyBorder="1" applyAlignment="1">
      <alignment horizontal="center" vertical="center"/>
    </xf>
    <xf numFmtId="0" fontId="54" fillId="28" borderId="0" xfId="0" applyFont="1" applyFill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54" fillId="2" borderId="14" xfId="0" applyFont="1" applyFill="1" applyBorder="1" applyAlignment="1">
      <alignment horizontal="left" vertical="center" wrapText="1"/>
    </xf>
    <xf numFmtId="180" fontId="41" fillId="2" borderId="0" xfId="0" applyNumberFormat="1" applyFont="1" applyFill="1">
      <alignment vertical="center"/>
    </xf>
    <xf numFmtId="180" fontId="2" fillId="29" borderId="14" xfId="0" applyNumberFormat="1" applyFont="1" applyFill="1" applyBorder="1" applyAlignment="1">
      <alignment horizontal="center" vertical="center" wrapText="1"/>
    </xf>
    <xf numFmtId="180" fontId="43" fillId="2" borderId="14" xfId="0" applyNumberFormat="1" applyFont="1" applyFill="1" applyBorder="1" applyAlignment="1">
      <alignment horizontal="center" vertical="center"/>
    </xf>
    <xf numFmtId="180" fontId="2" fillId="2" borderId="14" xfId="0" applyNumberFormat="1" applyFont="1" applyFill="1" applyBorder="1" applyAlignment="1">
      <alignment horizontal="center" vertical="center"/>
    </xf>
    <xf numFmtId="176" fontId="2" fillId="2" borderId="14" xfId="0" applyNumberFormat="1" applyFont="1" applyFill="1" applyBorder="1" applyAlignment="1">
      <alignment horizontal="center" vertical="center"/>
    </xf>
    <xf numFmtId="176" fontId="43" fillId="2" borderId="14" xfId="0" applyNumberFormat="1" applyFont="1" applyFill="1" applyBorder="1" applyAlignment="1">
      <alignment horizontal="center" vertical="center"/>
    </xf>
    <xf numFmtId="180" fontId="43" fillId="2" borderId="0" xfId="0" applyNumberFormat="1" applyFont="1" applyFill="1">
      <alignment vertical="center"/>
    </xf>
    <xf numFmtId="176" fontId="43" fillId="29" borderId="14" xfId="0" applyNumberFormat="1" applyFont="1" applyFill="1" applyBorder="1" applyAlignment="1">
      <alignment horizontal="center" vertical="center"/>
    </xf>
    <xf numFmtId="180" fontId="41" fillId="29" borderId="0" xfId="0" applyNumberFormat="1" applyFont="1" applyFill="1">
      <alignment vertical="center"/>
    </xf>
    <xf numFmtId="176" fontId="2" fillId="2" borderId="14" xfId="0" applyNumberFormat="1" applyFont="1" applyFill="1" applyBorder="1" applyAlignment="1">
      <alignment horizontal="center" vertical="center" wrapText="1"/>
    </xf>
    <xf numFmtId="176" fontId="41" fillId="2" borderId="0" xfId="0" applyNumberFormat="1" applyFont="1" applyFill="1">
      <alignment vertical="center"/>
    </xf>
    <xf numFmtId="0" fontId="2" fillId="2" borderId="14" xfId="0" applyFont="1" applyFill="1" applyBorder="1" applyAlignment="1">
      <alignment horizontal="center" vertical="center" wrapText="1"/>
    </xf>
    <xf numFmtId="180" fontId="59" fillId="29" borderId="14" xfId="0" applyNumberFormat="1" applyFont="1" applyFill="1" applyBorder="1" applyAlignment="1">
      <alignment horizontal="center" vertical="center" wrapText="1"/>
    </xf>
    <xf numFmtId="176" fontId="60" fillId="2" borderId="14" xfId="0" applyNumberFormat="1" applyFont="1" applyFill="1" applyBorder="1" applyAlignment="1">
      <alignment horizontal="center" vertical="center"/>
    </xf>
    <xf numFmtId="180" fontId="60" fillId="2" borderId="0" xfId="0" applyNumberFormat="1" applyFont="1" applyFill="1">
      <alignment vertical="center"/>
    </xf>
    <xf numFmtId="0" fontId="40" fillId="0" borderId="0" xfId="0" applyNumberFormat="1" applyFont="1">
      <alignment vertical="center"/>
    </xf>
    <xf numFmtId="0" fontId="41" fillId="30" borderId="14" xfId="0" applyNumberFormat="1" applyFont="1" applyFill="1" applyBorder="1" applyAlignment="1">
      <alignment horizontal="center" vertical="center"/>
    </xf>
    <xf numFmtId="0" fontId="41" fillId="0" borderId="0" xfId="0" applyNumberFormat="1" applyFont="1">
      <alignment vertical="center"/>
    </xf>
    <xf numFmtId="176" fontId="41" fillId="0" borderId="14" xfId="0" applyNumberFormat="1" applyFont="1" applyBorder="1" applyAlignment="1">
      <alignment horizontal="center" vertical="center"/>
    </xf>
    <xf numFmtId="0" fontId="42" fillId="30" borderId="14" xfId="0" applyNumberFormat="1" applyFont="1" applyFill="1" applyBorder="1" applyAlignment="1">
      <alignment horizontal="center" vertical="center"/>
    </xf>
    <xf numFmtId="0" fontId="38" fillId="30" borderId="14" xfId="0" applyNumberFormat="1" applyFont="1" applyFill="1" applyBorder="1" applyAlignment="1" applyProtection="1">
      <alignment horizontal="center" vertical="center" wrapText="1"/>
      <protection locked="0"/>
    </xf>
    <xf numFmtId="176" fontId="41" fillId="30" borderId="14" xfId="0" applyNumberFormat="1" applyFont="1" applyFill="1" applyBorder="1" applyAlignment="1">
      <alignment horizontal="center" vertical="center"/>
    </xf>
    <xf numFmtId="0" fontId="2" fillId="2" borderId="14" xfId="0" applyNumberFormat="1" applyFont="1" applyFill="1" applyBorder="1" applyAlignment="1">
      <alignment horizontal="left" vertical="center"/>
    </xf>
    <xf numFmtId="0" fontId="43" fillId="2" borderId="14" xfId="1225" applyNumberFormat="1" applyFont="1" applyFill="1" applyBorder="1" applyAlignment="1">
      <alignment horizontal="left" vertical="center"/>
    </xf>
    <xf numFmtId="0" fontId="3" fillId="0" borderId="0" xfId="0" applyNumberFormat="1" applyFont="1">
      <alignment vertical="center"/>
    </xf>
    <xf numFmtId="0" fontId="63" fillId="28" borderId="0" xfId="0" applyFont="1" applyFill="1" applyAlignment="1" applyProtection="1">
      <protection locked="0"/>
    </xf>
    <xf numFmtId="0" fontId="41" fillId="2" borderId="14" xfId="0" applyNumberFormat="1" applyFont="1" applyFill="1" applyBorder="1" applyAlignment="1">
      <alignment horizontal="center" vertical="center"/>
    </xf>
    <xf numFmtId="0" fontId="43" fillId="2" borderId="14" xfId="0" applyNumberFormat="1" applyFont="1" applyFill="1" applyBorder="1" applyAlignment="1">
      <alignment horizontal="center" vertical="center"/>
    </xf>
    <xf numFmtId="176" fontId="41" fillId="2" borderId="14" xfId="0" applyNumberFormat="1" applyFont="1" applyFill="1" applyBorder="1" applyAlignment="1">
      <alignment horizontal="center" vertical="center"/>
    </xf>
    <xf numFmtId="0" fontId="41" fillId="2" borderId="0" xfId="0" applyNumberFormat="1" applyFont="1" applyFill="1" applyAlignment="1">
      <alignment horizontal="center" vertical="center"/>
    </xf>
    <xf numFmtId="180" fontId="41" fillId="2" borderId="0" xfId="0" applyNumberFormat="1" applyFont="1" applyFill="1" applyAlignment="1">
      <alignment horizontal="center" vertical="center"/>
    </xf>
    <xf numFmtId="0" fontId="44" fillId="28" borderId="0" xfId="0" applyFont="1" applyFill="1" applyAlignment="1">
      <alignment vertical="center" wrapText="1"/>
    </xf>
    <xf numFmtId="0" fontId="44" fillId="28" borderId="0" xfId="0" applyFont="1" applyFill="1" applyAlignment="1">
      <alignment horizontal="center" vertical="center" wrapText="1"/>
    </xf>
    <xf numFmtId="0" fontId="44" fillId="28" borderId="0" xfId="0" applyFont="1" applyFill="1" applyAlignment="1">
      <alignment horizontal="left" vertical="center" wrapText="1"/>
    </xf>
    <xf numFmtId="178" fontId="44" fillId="28" borderId="0" xfId="1720" applyNumberFormat="1" applyFont="1" applyFill="1" applyAlignment="1">
      <alignment horizontal="center" vertical="center"/>
    </xf>
    <xf numFmtId="178" fontId="44" fillId="28" borderId="0" xfId="0" applyNumberFormat="1" applyFont="1" applyFill="1" applyAlignment="1">
      <alignment horizontal="center" vertical="center"/>
    </xf>
    <xf numFmtId="0" fontId="53" fillId="2" borderId="14" xfId="0" applyFont="1" applyFill="1" applyBorder="1" applyAlignment="1">
      <alignment horizontal="center" vertical="center" wrapText="1"/>
    </xf>
    <xf numFmtId="0" fontId="52" fillId="2" borderId="14" xfId="0" applyFont="1" applyFill="1" applyBorder="1" applyAlignment="1">
      <alignment horizontal="center" vertical="center" wrapText="1"/>
    </xf>
    <xf numFmtId="178" fontId="53" fillId="2" borderId="14" xfId="1720" applyNumberFormat="1" applyFont="1" applyFill="1" applyBorder="1" applyAlignment="1">
      <alignment horizontal="center" vertical="center" wrapText="1"/>
    </xf>
    <xf numFmtId="178" fontId="53" fillId="2" borderId="14" xfId="0" applyNumberFormat="1" applyFont="1" applyFill="1" applyBorder="1" applyAlignment="1">
      <alignment horizontal="center" vertical="center" wrapText="1"/>
    </xf>
    <xf numFmtId="0" fontId="52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center" vertical="center"/>
    </xf>
    <xf numFmtId="0" fontId="31" fillId="2" borderId="14" xfId="0" applyFont="1" applyFill="1" applyBorder="1" applyAlignment="1">
      <alignment horizontal="center" vertical="center"/>
    </xf>
    <xf numFmtId="43" fontId="31" fillId="2" borderId="14" xfId="1720" applyNumberFormat="1" applyFont="1" applyFill="1" applyBorder="1" applyAlignment="1">
      <alignment horizontal="center" vertical="center"/>
    </xf>
    <xf numFmtId="0" fontId="54" fillId="2" borderId="14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vertical="center" wrapText="1"/>
    </xf>
    <xf numFmtId="0" fontId="31" fillId="2" borderId="14" xfId="0" applyFont="1" applyFill="1" applyBorder="1" applyAlignment="1">
      <alignment horizontal="center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55" fillId="2" borderId="14" xfId="0" applyFont="1" applyFill="1" applyBorder="1" applyAlignment="1">
      <alignment horizontal="center" vertical="center"/>
    </xf>
    <xf numFmtId="57" fontId="54" fillId="2" borderId="14" xfId="0" applyNumberFormat="1" applyFont="1" applyFill="1" applyBorder="1" applyAlignment="1">
      <alignment horizontal="left" vertical="center" wrapText="1"/>
    </xf>
    <xf numFmtId="0" fontId="54" fillId="2" borderId="14" xfId="0" applyFont="1" applyFill="1" applyBorder="1" applyAlignment="1">
      <alignment horizontal="center" vertical="center" wrapText="1"/>
    </xf>
    <xf numFmtId="180" fontId="2" fillId="29" borderId="14" xfId="0" applyNumberFormat="1" applyFont="1" applyFill="1" applyBorder="1" applyAlignment="1">
      <alignment horizontal="center" vertical="center"/>
    </xf>
    <xf numFmtId="180" fontId="43" fillId="29" borderId="14" xfId="0" applyNumberFormat="1" applyFont="1" applyFill="1" applyBorder="1" applyAlignment="1">
      <alignment horizontal="center" vertical="center"/>
    </xf>
    <xf numFmtId="177" fontId="64" fillId="28" borderId="14" xfId="0" applyNumberFormat="1" applyFont="1" applyFill="1" applyBorder="1" applyAlignment="1" applyProtection="1">
      <protection locked="0"/>
    </xf>
    <xf numFmtId="0" fontId="0" fillId="2" borderId="0" xfId="0" applyFill="1">
      <alignment vertical="center"/>
    </xf>
    <xf numFmtId="0" fontId="2" fillId="2" borderId="14" xfId="0" applyFont="1" applyFill="1" applyBorder="1" applyAlignment="1">
      <alignment horizontal="center" vertical="center"/>
    </xf>
    <xf numFmtId="0" fontId="67" fillId="2" borderId="14" xfId="0" applyFont="1" applyFill="1" applyBorder="1" applyAlignment="1">
      <alignment horizontal="center" vertical="center" wrapText="1"/>
    </xf>
    <xf numFmtId="0" fontId="46" fillId="2" borderId="14" xfId="0" applyFont="1" applyFill="1" applyBorder="1" applyAlignment="1">
      <alignment horizontal="center" vertical="center"/>
    </xf>
    <xf numFmtId="176" fontId="41" fillId="2" borderId="14" xfId="0" applyNumberFormat="1" applyFont="1" applyFill="1" applyBorder="1">
      <alignment vertical="center"/>
    </xf>
    <xf numFmtId="0" fontId="41" fillId="2" borderId="0" xfId="0" applyFont="1" applyFill="1">
      <alignment vertical="center"/>
    </xf>
    <xf numFmtId="0" fontId="41" fillId="2" borderId="14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2" fillId="2" borderId="14" xfId="0" applyNumberFormat="1" applyFont="1" applyFill="1" applyBorder="1" applyAlignment="1">
      <alignment horizontal="center" vertical="center" wrapText="1"/>
    </xf>
    <xf numFmtId="0" fontId="0" fillId="2" borderId="0" xfId="0" applyFont="1" applyFill="1">
      <alignment vertical="center"/>
    </xf>
    <xf numFmtId="0" fontId="46" fillId="0" borderId="14" xfId="0" applyFont="1" applyBorder="1">
      <alignment vertical="center"/>
    </xf>
    <xf numFmtId="0" fontId="70" fillId="0" borderId="14" xfId="0" applyNumberFormat="1" applyFont="1" applyFill="1" applyBorder="1">
      <alignment vertical="center"/>
    </xf>
    <xf numFmtId="176" fontId="70" fillId="0" borderId="14" xfId="0" applyNumberFormat="1" applyFont="1" applyFill="1" applyBorder="1">
      <alignment vertical="center"/>
    </xf>
    <xf numFmtId="176" fontId="46" fillId="0" borderId="14" xfId="0" applyNumberFormat="1" applyFont="1" applyBorder="1">
      <alignment vertical="center"/>
    </xf>
    <xf numFmtId="0" fontId="71" fillId="0" borderId="14" xfId="0" applyFont="1" applyBorder="1">
      <alignment vertical="center"/>
    </xf>
    <xf numFmtId="176" fontId="70" fillId="2" borderId="14" xfId="0" applyNumberFormat="1" applyFont="1" applyFill="1" applyBorder="1">
      <alignment vertical="center"/>
    </xf>
    <xf numFmtId="176" fontId="46" fillId="2" borderId="14" xfId="0" applyNumberFormat="1" applyFont="1" applyFill="1" applyBorder="1">
      <alignment vertical="center"/>
    </xf>
    <xf numFmtId="0" fontId="0" fillId="0" borderId="0" xfId="0" applyAlignment="1">
      <alignment vertical="center"/>
    </xf>
    <xf numFmtId="181" fontId="73" fillId="0" borderId="14" xfId="0" applyNumberFormat="1" applyFont="1" applyFill="1" applyBorder="1" applyAlignment="1">
      <alignment horizontal="center" vertical="center" wrapText="1"/>
    </xf>
    <xf numFmtId="49" fontId="73" fillId="0" borderId="14" xfId="0" applyNumberFormat="1" applyFont="1" applyFill="1" applyBorder="1" applyAlignment="1">
      <alignment horizontal="center" vertical="center" wrapText="1"/>
    </xf>
    <xf numFmtId="182" fontId="73" fillId="0" borderId="14" xfId="0" applyNumberFormat="1" applyFont="1" applyFill="1" applyBorder="1" applyAlignment="1">
      <alignment horizontal="center" vertical="center" wrapText="1"/>
    </xf>
    <xf numFmtId="0" fontId="74" fillId="0" borderId="0" xfId="0" applyFont="1" applyAlignment="1">
      <alignment vertical="center"/>
    </xf>
    <xf numFmtId="0" fontId="75" fillId="0" borderId="14" xfId="0" applyFont="1" applyFill="1" applyBorder="1" applyAlignment="1" applyProtection="1">
      <alignment horizontal="center" vertical="center"/>
    </xf>
    <xf numFmtId="0" fontId="75" fillId="0" borderId="14" xfId="0" applyFont="1" applyFill="1" applyBorder="1" applyAlignment="1" applyProtection="1">
      <alignment horizontal="center" vertical="center" wrapText="1"/>
    </xf>
    <xf numFmtId="49" fontId="75" fillId="0" borderId="14" xfId="0" applyNumberFormat="1" applyFont="1" applyFill="1" applyBorder="1" applyAlignment="1" applyProtection="1">
      <alignment horizontal="center" vertical="center" wrapText="1"/>
    </xf>
    <xf numFmtId="182" fontId="75" fillId="0" borderId="14" xfId="0" applyNumberFormat="1" applyFont="1" applyFill="1" applyBorder="1" applyAlignment="1" applyProtection="1">
      <alignment horizontal="center" vertical="center"/>
    </xf>
    <xf numFmtId="176" fontId="76" fillId="0" borderId="14" xfId="0" applyNumberFormat="1" applyFont="1" applyFill="1" applyBorder="1" applyAlignment="1">
      <alignment horizontal="center" vertical="center"/>
    </xf>
    <xf numFmtId="0" fontId="78" fillId="0" borderId="0" xfId="0" applyFont="1" applyAlignment="1">
      <alignment horizontal="center" vertical="center"/>
    </xf>
    <xf numFmtId="0" fontId="0" fillId="0" borderId="0" xfId="0" applyNumberFormat="1">
      <alignment vertical="center"/>
    </xf>
    <xf numFmtId="0" fontId="77" fillId="0" borderId="14" xfId="0" applyNumberFormat="1" applyFont="1" applyBorder="1" applyAlignment="1">
      <alignment horizontal="center" vertical="center"/>
    </xf>
    <xf numFmtId="0" fontId="77" fillId="0" borderId="14" xfId="0" applyNumberFormat="1" applyFont="1" applyBorder="1" applyAlignment="1">
      <alignment horizontal="center" vertical="center" wrapText="1"/>
    </xf>
    <xf numFmtId="0" fontId="77" fillId="0" borderId="0" xfId="0" applyNumberFormat="1" applyFont="1" applyBorder="1" applyAlignment="1">
      <alignment horizontal="center" vertical="center"/>
    </xf>
    <xf numFmtId="0" fontId="77" fillId="0" borderId="1" xfId="0" applyNumberFormat="1" applyFont="1" applyBorder="1" applyAlignment="1">
      <alignment horizontal="center" vertical="center"/>
    </xf>
    <xf numFmtId="43" fontId="77" fillId="0" borderId="1" xfId="0" applyNumberFormat="1" applyFont="1" applyBorder="1" applyAlignment="1">
      <alignment horizontal="center" vertical="center"/>
    </xf>
    <xf numFmtId="43" fontId="77" fillId="0" borderId="14" xfId="0" applyNumberFormat="1" applyFont="1" applyBorder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0" fontId="83" fillId="0" borderId="14" xfId="0" applyFont="1" applyFill="1" applyBorder="1" applyAlignment="1">
      <alignment horizontal="center" vertical="center" wrapText="1"/>
    </xf>
    <xf numFmtId="0" fontId="84" fillId="0" borderId="14" xfId="0" applyFont="1" applyFill="1" applyBorder="1" applyAlignment="1">
      <alignment horizontal="center" vertical="center" wrapText="1"/>
    </xf>
    <xf numFmtId="0" fontId="0" fillId="0" borderId="14" xfId="0" applyFont="1" applyBorder="1" applyAlignment="1">
      <alignment horizontal="center" vertical="center"/>
    </xf>
    <xf numFmtId="0" fontId="0" fillId="0" borderId="14" xfId="0" applyNumberFormat="1" applyFont="1" applyBorder="1" applyAlignment="1">
      <alignment horizontal="center" vertical="center"/>
    </xf>
    <xf numFmtId="0" fontId="79" fillId="0" borderId="0" xfId="0" applyNumberFormat="1" applyFont="1" applyBorder="1" applyAlignment="1">
      <alignment horizontal="center" vertical="center"/>
    </xf>
    <xf numFmtId="180" fontId="0" fillId="0" borderId="0" xfId="0" applyNumberFormat="1" applyAlignment="1">
      <alignment vertical="center"/>
    </xf>
    <xf numFmtId="0" fontId="0" fillId="0" borderId="0" xfId="0" applyAlignment="1">
      <alignment vertical="center"/>
    </xf>
    <xf numFmtId="0" fontId="80" fillId="0" borderId="0" xfId="0" applyNumberFormat="1" applyFont="1" applyBorder="1" applyAlignment="1">
      <alignment vertical="center"/>
    </xf>
    <xf numFmtId="180" fontId="0" fillId="0" borderId="0" xfId="0" applyNumberFormat="1" applyBorder="1" applyAlignment="1">
      <alignment vertical="center"/>
    </xf>
    <xf numFmtId="0" fontId="81" fillId="0" borderId="0" xfId="0" applyNumberFormat="1" applyFont="1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61" fillId="28" borderId="0" xfId="0" applyNumberFormat="1" applyFont="1" applyFill="1" applyBorder="1" applyAlignment="1" applyProtection="1">
      <alignment horizontal="center" vertical="center"/>
      <protection locked="0"/>
    </xf>
    <xf numFmtId="0" fontId="62" fillId="28" borderId="0" xfId="0" applyNumberFormat="1" applyFont="1" applyFill="1" applyBorder="1" applyAlignment="1" applyProtection="1">
      <alignment horizontal="center" vertical="center"/>
      <protection locked="0"/>
    </xf>
    <xf numFmtId="0" fontId="37" fillId="28" borderId="11" xfId="0" applyNumberFormat="1" applyFont="1" applyFill="1" applyBorder="1" applyAlignment="1" applyProtection="1">
      <alignment horizontal="center" vertical="center"/>
      <protection locked="0"/>
    </xf>
    <xf numFmtId="0" fontId="37" fillId="28" borderId="1" xfId="0" applyNumberFormat="1" applyFont="1" applyFill="1" applyBorder="1" applyAlignment="1" applyProtection="1">
      <alignment horizontal="center" vertical="center"/>
      <protection locked="0"/>
    </xf>
    <xf numFmtId="0" fontId="65" fillId="2" borderId="13" xfId="0" applyFont="1" applyFill="1" applyBorder="1" applyAlignment="1">
      <alignment horizontal="center" vertical="center"/>
    </xf>
    <xf numFmtId="0" fontId="66" fillId="2" borderId="1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67" fillId="2" borderId="11" xfId="0" applyFont="1" applyFill="1" applyBorder="1" applyAlignment="1">
      <alignment horizontal="center" vertical="center" wrapText="1"/>
    </xf>
    <xf numFmtId="0" fontId="67" fillId="2" borderId="11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0" fillId="2" borderId="14" xfId="0" applyFill="1" applyBorder="1" applyAlignment="1">
      <alignment horizontal="center" vertical="center"/>
    </xf>
    <xf numFmtId="0" fontId="82" fillId="0" borderId="13" xfId="0" applyFont="1" applyBorder="1" applyAlignment="1">
      <alignment horizontal="center" vertical="center"/>
    </xf>
    <xf numFmtId="0" fontId="69" fillId="0" borderId="13" xfId="0" applyFont="1" applyBorder="1" applyAlignment="1">
      <alignment horizontal="center" vertical="center"/>
    </xf>
    <xf numFmtId="0" fontId="72" fillId="0" borderId="13" xfId="0" applyFont="1" applyBorder="1" applyAlignment="1" applyProtection="1">
      <alignment horizontal="center" vertical="center"/>
    </xf>
    <xf numFmtId="0" fontId="40" fillId="0" borderId="13" xfId="0" applyNumberFormat="1" applyFont="1" applyBorder="1" applyAlignment="1">
      <alignment horizontal="center" vertical="center"/>
    </xf>
    <xf numFmtId="0" fontId="40" fillId="0" borderId="13" xfId="0" applyNumberFormat="1" applyFont="1" applyBorder="1">
      <alignment vertical="center"/>
    </xf>
    <xf numFmtId="0" fontId="47" fillId="0" borderId="0" xfId="0" applyFont="1" applyAlignment="1">
      <alignment horizontal="center" vertical="center"/>
    </xf>
    <xf numFmtId="0" fontId="51" fillId="28" borderId="13" xfId="0" applyFont="1" applyFill="1" applyBorder="1" applyAlignment="1">
      <alignment horizontal="center" vertical="center"/>
    </xf>
    <xf numFmtId="0" fontId="41" fillId="29" borderId="11" xfId="0" applyNumberFormat="1" applyFont="1" applyFill="1" applyBorder="1" applyAlignment="1">
      <alignment horizontal="center" vertical="center"/>
    </xf>
    <xf numFmtId="0" fontId="41" fillId="29" borderId="1" xfId="0" applyNumberFormat="1" applyFont="1" applyFill="1" applyBorder="1" applyAlignment="1">
      <alignment horizontal="center" vertical="center"/>
    </xf>
    <xf numFmtId="180" fontId="58" fillId="2" borderId="13" xfId="0" applyNumberFormat="1" applyFont="1" applyFill="1" applyBorder="1" applyAlignment="1">
      <alignment horizontal="center" vertical="center"/>
    </xf>
    <xf numFmtId="180" fontId="0" fillId="0" borderId="13" xfId="0" applyNumberFormat="1" applyBorder="1" applyAlignment="1">
      <alignment horizontal="center" vertical="center"/>
    </xf>
    <xf numFmtId="0" fontId="0" fillId="0" borderId="13" xfId="0" applyBorder="1" applyAlignment="1">
      <alignment vertical="center"/>
    </xf>
    <xf numFmtId="180" fontId="2" fillId="29" borderId="14" xfId="0" applyNumberFormat="1" applyFont="1" applyFill="1" applyBorder="1" applyAlignment="1">
      <alignment horizontal="center" vertical="center"/>
    </xf>
    <xf numFmtId="180" fontId="43" fillId="29" borderId="14" xfId="0" applyNumberFormat="1" applyFont="1" applyFill="1" applyBorder="1" applyAlignment="1">
      <alignment horizontal="center" vertical="center"/>
    </xf>
    <xf numFmtId="0" fontId="68" fillId="0" borderId="13" xfId="0" applyFont="1" applyBorder="1" applyAlignment="1">
      <alignment horizontal="center" vertical="center"/>
    </xf>
    <xf numFmtId="0" fontId="69" fillId="0" borderId="13" xfId="0" applyFont="1" applyBorder="1" applyAlignment="1">
      <alignment vertical="center"/>
    </xf>
  </cellXfs>
  <cellStyles count="2009">
    <cellStyle name="20% - 强调文字颜色 1 2" xfId="2"/>
    <cellStyle name="20% - 强调文字颜色 1 2 2" xfId="3"/>
    <cellStyle name="20% - 强调文字颜色 1 2 2 2" xfId="4"/>
    <cellStyle name="20% - 强调文字颜色 1 2 2 2 2" xfId="5"/>
    <cellStyle name="20% - 强调文字颜色 1 2 2 3" xfId="6"/>
    <cellStyle name="20% - 强调文字颜色 1 2 3" xfId="7"/>
    <cellStyle name="20% - 强调文字颜色 1 2 3 2" xfId="8"/>
    <cellStyle name="20% - 强调文字颜色 1 2 4" xfId="9"/>
    <cellStyle name="20% - 强调文字颜色 1 3" xfId="10"/>
    <cellStyle name="20% - 强调文字颜色 1 3 2" xfId="11"/>
    <cellStyle name="20% - 强调文字颜色 1 3 2 2" xfId="12"/>
    <cellStyle name="20% - 强调文字颜色 1 3 2 2 2" xfId="13"/>
    <cellStyle name="20% - 强调文字颜色 1 3 2 3" xfId="14"/>
    <cellStyle name="20% - 强调文字颜色 1 3 3" xfId="15"/>
    <cellStyle name="20% - 强调文字颜色 1 3 3 2" xfId="16"/>
    <cellStyle name="20% - 强调文字颜色 1 3 4" xfId="17"/>
    <cellStyle name="20% - 强调文字颜色 1 4" xfId="18"/>
    <cellStyle name="20% - 强调文字颜色 1 4 2" xfId="19"/>
    <cellStyle name="20% - 强调文字颜色 1 4 2 2" xfId="20"/>
    <cellStyle name="20% - 强调文字颜色 1 4 2 2 2" xfId="21"/>
    <cellStyle name="20% - 强调文字颜色 1 4 2 3" xfId="22"/>
    <cellStyle name="20% - 强调文字颜色 1 4 3" xfId="23"/>
    <cellStyle name="20% - 强调文字颜色 1 4 3 2" xfId="24"/>
    <cellStyle name="20% - 强调文字颜色 1 4 4" xfId="25"/>
    <cellStyle name="20% - 强调文字颜色 1 5" xfId="26"/>
    <cellStyle name="20% - 强调文字颜色 1 5 2" xfId="27"/>
    <cellStyle name="20% - 强调文字颜色 1 5 2 2" xfId="28"/>
    <cellStyle name="20% - 强调文字颜色 1 5 3" xfId="29"/>
    <cellStyle name="20% - 强调文字颜色 1 6" xfId="30"/>
    <cellStyle name="20% - 强调文字颜色 1 6 2" xfId="31"/>
    <cellStyle name="20% - 强调文字颜色 1 6 2 2" xfId="32"/>
    <cellStyle name="20% - 强调文字颜色 1 6 3" xfId="33"/>
    <cellStyle name="20% - 强调文字颜色 1 7" xfId="34"/>
    <cellStyle name="20% - 强调文字颜色 1 7 2" xfId="35"/>
    <cellStyle name="20% - 强调文字颜色 1 7 2 2" xfId="36"/>
    <cellStyle name="20% - 强调文字颜色 1 7 3" xfId="37"/>
    <cellStyle name="20% - 强调文字颜色 2 2" xfId="38"/>
    <cellStyle name="20% - 强调文字颜色 2 2 2" xfId="39"/>
    <cellStyle name="20% - 强调文字颜色 2 2 2 2" xfId="40"/>
    <cellStyle name="20% - 强调文字颜色 2 2 2 2 2" xfId="41"/>
    <cellStyle name="20% - 强调文字颜色 2 2 2 3" xfId="42"/>
    <cellStyle name="20% - 强调文字颜色 2 2 3" xfId="43"/>
    <cellStyle name="20% - 强调文字颜色 2 2 3 2" xfId="44"/>
    <cellStyle name="20% - 强调文字颜色 2 2 4" xfId="45"/>
    <cellStyle name="20% - 强调文字颜色 2 3" xfId="46"/>
    <cellStyle name="20% - 强调文字颜色 2 3 2" xfId="47"/>
    <cellStyle name="20% - 强调文字颜色 2 3 2 2" xfId="48"/>
    <cellStyle name="20% - 强调文字颜色 2 3 2 2 2" xfId="49"/>
    <cellStyle name="20% - 强调文字颜色 2 3 2 3" xfId="50"/>
    <cellStyle name="20% - 强调文字颜色 2 3 3" xfId="51"/>
    <cellStyle name="20% - 强调文字颜色 2 3 3 2" xfId="52"/>
    <cellStyle name="20% - 强调文字颜色 2 3 4" xfId="53"/>
    <cellStyle name="20% - 强调文字颜色 2 4" xfId="54"/>
    <cellStyle name="20% - 强调文字颜色 2 4 2" xfId="55"/>
    <cellStyle name="20% - 强调文字颜色 2 4 2 2" xfId="56"/>
    <cellStyle name="20% - 强调文字颜色 2 4 2 2 2" xfId="57"/>
    <cellStyle name="20% - 强调文字颜色 2 4 2 3" xfId="58"/>
    <cellStyle name="20% - 强调文字颜色 2 4 3" xfId="59"/>
    <cellStyle name="20% - 强调文字颜色 2 4 3 2" xfId="60"/>
    <cellStyle name="20% - 强调文字颜色 2 4 4" xfId="61"/>
    <cellStyle name="20% - 强调文字颜色 2 5" xfId="62"/>
    <cellStyle name="20% - 强调文字颜色 2 5 2" xfId="63"/>
    <cellStyle name="20% - 强调文字颜色 2 5 2 2" xfId="64"/>
    <cellStyle name="20% - 强调文字颜色 2 5 3" xfId="65"/>
    <cellStyle name="20% - 强调文字颜色 2 6" xfId="66"/>
    <cellStyle name="20% - 强调文字颜色 2 6 2" xfId="67"/>
    <cellStyle name="20% - 强调文字颜色 2 6 2 2" xfId="68"/>
    <cellStyle name="20% - 强调文字颜色 2 6 3" xfId="69"/>
    <cellStyle name="20% - 强调文字颜色 2 7" xfId="70"/>
    <cellStyle name="20% - 强调文字颜色 2 7 2" xfId="71"/>
    <cellStyle name="20% - 强调文字颜色 2 7 2 2" xfId="72"/>
    <cellStyle name="20% - 强调文字颜色 2 7 3" xfId="73"/>
    <cellStyle name="20% - 强调文字颜色 3 2" xfId="74"/>
    <cellStyle name="20% - 强调文字颜色 3 2 2" xfId="75"/>
    <cellStyle name="20% - 强调文字颜色 3 2 2 2" xfId="76"/>
    <cellStyle name="20% - 强调文字颜色 3 2 2 2 2" xfId="77"/>
    <cellStyle name="20% - 强调文字颜色 3 2 2 3" xfId="78"/>
    <cellStyle name="20% - 强调文字颜色 3 2 3" xfId="79"/>
    <cellStyle name="20% - 强调文字颜色 3 2 3 2" xfId="80"/>
    <cellStyle name="20% - 强调文字颜色 3 2 4" xfId="81"/>
    <cellStyle name="20% - 强调文字颜色 3 3" xfId="82"/>
    <cellStyle name="20% - 强调文字颜色 3 3 2" xfId="83"/>
    <cellStyle name="20% - 强调文字颜色 3 3 2 2" xfId="84"/>
    <cellStyle name="20% - 强调文字颜色 3 3 2 2 2" xfId="85"/>
    <cellStyle name="20% - 强调文字颜色 3 3 2 3" xfId="86"/>
    <cellStyle name="20% - 强调文字颜色 3 3 3" xfId="87"/>
    <cellStyle name="20% - 强调文字颜色 3 3 3 2" xfId="88"/>
    <cellStyle name="20% - 强调文字颜色 3 3 4" xfId="89"/>
    <cellStyle name="20% - 强调文字颜色 3 4" xfId="90"/>
    <cellStyle name="20% - 强调文字颜色 3 4 2" xfId="91"/>
    <cellStyle name="20% - 强调文字颜色 3 4 2 2" xfId="92"/>
    <cellStyle name="20% - 强调文字颜色 3 4 2 2 2" xfId="93"/>
    <cellStyle name="20% - 强调文字颜色 3 4 2 3" xfId="94"/>
    <cellStyle name="20% - 强调文字颜色 3 4 3" xfId="95"/>
    <cellStyle name="20% - 强调文字颜色 3 4 3 2" xfId="96"/>
    <cellStyle name="20% - 强调文字颜色 3 4 4" xfId="97"/>
    <cellStyle name="20% - 强调文字颜色 3 5" xfId="98"/>
    <cellStyle name="20% - 强调文字颜色 3 5 2" xfId="99"/>
    <cellStyle name="20% - 强调文字颜色 3 5 2 2" xfId="100"/>
    <cellStyle name="20% - 强调文字颜色 3 5 3" xfId="101"/>
    <cellStyle name="20% - 强调文字颜色 3 6" xfId="102"/>
    <cellStyle name="20% - 强调文字颜色 3 6 2" xfId="103"/>
    <cellStyle name="20% - 强调文字颜色 3 6 2 2" xfId="104"/>
    <cellStyle name="20% - 强调文字颜色 3 6 3" xfId="105"/>
    <cellStyle name="20% - 强调文字颜色 3 7" xfId="106"/>
    <cellStyle name="20% - 强调文字颜色 3 7 2" xfId="107"/>
    <cellStyle name="20% - 强调文字颜色 3 7 2 2" xfId="108"/>
    <cellStyle name="20% - 强调文字颜色 3 7 3" xfId="109"/>
    <cellStyle name="20% - 强调文字颜色 4 2" xfId="110"/>
    <cellStyle name="20% - 强调文字颜色 4 2 2" xfId="111"/>
    <cellStyle name="20% - 强调文字颜色 4 2 2 2" xfId="112"/>
    <cellStyle name="20% - 强调文字颜色 4 2 2 2 2" xfId="113"/>
    <cellStyle name="20% - 强调文字颜色 4 2 2 3" xfId="114"/>
    <cellStyle name="20% - 强调文字颜色 4 2 3" xfId="115"/>
    <cellStyle name="20% - 强调文字颜色 4 2 3 2" xfId="116"/>
    <cellStyle name="20% - 强调文字颜色 4 2 4" xfId="117"/>
    <cellStyle name="20% - 强调文字颜色 4 3" xfId="118"/>
    <cellStyle name="20% - 强调文字颜色 4 3 2" xfId="119"/>
    <cellStyle name="20% - 强调文字颜色 4 3 2 2" xfId="120"/>
    <cellStyle name="20% - 强调文字颜色 4 3 2 2 2" xfId="121"/>
    <cellStyle name="20% - 强调文字颜色 4 3 2 3" xfId="122"/>
    <cellStyle name="20% - 强调文字颜色 4 3 3" xfId="123"/>
    <cellStyle name="20% - 强调文字颜色 4 3 3 2" xfId="124"/>
    <cellStyle name="20% - 强调文字颜色 4 3 4" xfId="125"/>
    <cellStyle name="20% - 强调文字颜色 4 4" xfId="126"/>
    <cellStyle name="20% - 强调文字颜色 4 4 2" xfId="127"/>
    <cellStyle name="20% - 强调文字颜色 4 4 2 2" xfId="128"/>
    <cellStyle name="20% - 强调文字颜色 4 4 2 2 2" xfId="129"/>
    <cellStyle name="20% - 强调文字颜色 4 4 2 3" xfId="130"/>
    <cellStyle name="20% - 强调文字颜色 4 4 3" xfId="131"/>
    <cellStyle name="20% - 强调文字颜色 4 4 3 2" xfId="132"/>
    <cellStyle name="20% - 强调文字颜色 4 4 4" xfId="133"/>
    <cellStyle name="20% - 强调文字颜色 4 5" xfId="134"/>
    <cellStyle name="20% - 强调文字颜色 4 5 2" xfId="135"/>
    <cellStyle name="20% - 强调文字颜色 4 5 2 2" xfId="136"/>
    <cellStyle name="20% - 强调文字颜色 4 5 3" xfId="137"/>
    <cellStyle name="20% - 强调文字颜色 4 6" xfId="138"/>
    <cellStyle name="20% - 强调文字颜色 4 6 2" xfId="139"/>
    <cellStyle name="20% - 强调文字颜色 4 6 2 2" xfId="140"/>
    <cellStyle name="20% - 强调文字颜色 4 6 3" xfId="141"/>
    <cellStyle name="20% - 强调文字颜色 4 7" xfId="142"/>
    <cellStyle name="20% - 强调文字颜色 4 7 2" xfId="143"/>
    <cellStyle name="20% - 强调文字颜色 4 7 2 2" xfId="144"/>
    <cellStyle name="20% - 强调文字颜色 4 7 3" xfId="145"/>
    <cellStyle name="20% - 强调文字颜色 5 2" xfId="146"/>
    <cellStyle name="20% - 强调文字颜色 5 2 2" xfId="147"/>
    <cellStyle name="20% - 强调文字颜色 5 2 2 2" xfId="148"/>
    <cellStyle name="20% - 强调文字颜色 5 2 2 2 2" xfId="149"/>
    <cellStyle name="20% - 强调文字颜色 5 2 2 3" xfId="150"/>
    <cellStyle name="20% - 强调文字颜色 5 2 3" xfId="151"/>
    <cellStyle name="20% - 强调文字颜色 5 2 3 2" xfId="152"/>
    <cellStyle name="20% - 强调文字颜色 5 2 4" xfId="153"/>
    <cellStyle name="20% - 强调文字颜色 5 3" xfId="154"/>
    <cellStyle name="20% - 强调文字颜色 5 3 2" xfId="155"/>
    <cellStyle name="20% - 强调文字颜色 5 3 2 2" xfId="156"/>
    <cellStyle name="20% - 强调文字颜色 5 3 2 2 2" xfId="157"/>
    <cellStyle name="20% - 强调文字颜色 5 3 2 3" xfId="158"/>
    <cellStyle name="20% - 强调文字颜色 5 3 3" xfId="159"/>
    <cellStyle name="20% - 强调文字颜色 5 3 3 2" xfId="160"/>
    <cellStyle name="20% - 强调文字颜色 5 3 4" xfId="161"/>
    <cellStyle name="20% - 强调文字颜色 5 4" xfId="162"/>
    <cellStyle name="20% - 强调文字颜色 5 4 2" xfId="163"/>
    <cellStyle name="20% - 强调文字颜色 5 4 2 2" xfId="164"/>
    <cellStyle name="20% - 强调文字颜色 5 4 2 2 2" xfId="165"/>
    <cellStyle name="20% - 强调文字颜色 5 4 2 3" xfId="166"/>
    <cellStyle name="20% - 强调文字颜色 5 4 3" xfId="167"/>
    <cellStyle name="20% - 强调文字颜色 5 4 3 2" xfId="168"/>
    <cellStyle name="20% - 强调文字颜色 5 4 4" xfId="169"/>
    <cellStyle name="20% - 强调文字颜色 5 5" xfId="170"/>
    <cellStyle name="20% - 强调文字颜色 5 5 2" xfId="171"/>
    <cellStyle name="20% - 强调文字颜色 5 5 2 2" xfId="172"/>
    <cellStyle name="20% - 强调文字颜色 5 5 3" xfId="173"/>
    <cellStyle name="20% - 强调文字颜色 5 6" xfId="174"/>
    <cellStyle name="20% - 强调文字颜色 5 6 2" xfId="175"/>
    <cellStyle name="20% - 强调文字颜色 5 6 2 2" xfId="176"/>
    <cellStyle name="20% - 强调文字颜色 5 6 3" xfId="177"/>
    <cellStyle name="20% - 强调文字颜色 5 7" xfId="178"/>
    <cellStyle name="20% - 强调文字颜色 5 7 2" xfId="179"/>
    <cellStyle name="20% - 强调文字颜色 5 7 2 2" xfId="180"/>
    <cellStyle name="20% - 强调文字颜色 5 7 3" xfId="181"/>
    <cellStyle name="20% - 强调文字颜色 6 2" xfId="182"/>
    <cellStyle name="20% - 强调文字颜色 6 2 2" xfId="183"/>
    <cellStyle name="20% - 强调文字颜色 6 2 2 2" xfId="184"/>
    <cellStyle name="20% - 强调文字颜色 6 2 2 2 2" xfId="185"/>
    <cellStyle name="20% - 强调文字颜色 6 2 2 3" xfId="186"/>
    <cellStyle name="20% - 强调文字颜色 6 2 3" xfId="187"/>
    <cellStyle name="20% - 强调文字颜色 6 2 3 2" xfId="188"/>
    <cellStyle name="20% - 强调文字颜色 6 2 4" xfId="189"/>
    <cellStyle name="20% - 强调文字颜色 6 3" xfId="190"/>
    <cellStyle name="20% - 强调文字颜色 6 3 2" xfId="191"/>
    <cellStyle name="20% - 强调文字颜色 6 3 2 2" xfId="192"/>
    <cellStyle name="20% - 强调文字颜色 6 3 2 2 2" xfId="193"/>
    <cellStyle name="20% - 强调文字颜色 6 3 2 3" xfId="194"/>
    <cellStyle name="20% - 强调文字颜色 6 3 3" xfId="195"/>
    <cellStyle name="20% - 强调文字颜色 6 3 3 2" xfId="196"/>
    <cellStyle name="20% - 强调文字颜色 6 3 4" xfId="197"/>
    <cellStyle name="20% - 强调文字颜色 6 4" xfId="198"/>
    <cellStyle name="20% - 强调文字颜色 6 4 2" xfId="199"/>
    <cellStyle name="20% - 强调文字颜色 6 4 2 2" xfId="200"/>
    <cellStyle name="20% - 强调文字颜色 6 4 2 2 2" xfId="201"/>
    <cellStyle name="20% - 强调文字颜色 6 4 2 3" xfId="202"/>
    <cellStyle name="20% - 强调文字颜色 6 4 3" xfId="203"/>
    <cellStyle name="20% - 强调文字颜色 6 4 3 2" xfId="204"/>
    <cellStyle name="20% - 强调文字颜色 6 4 4" xfId="205"/>
    <cellStyle name="20% - 强调文字颜色 6 5" xfId="206"/>
    <cellStyle name="20% - 强调文字颜色 6 5 2" xfId="207"/>
    <cellStyle name="20% - 强调文字颜色 6 5 2 2" xfId="208"/>
    <cellStyle name="20% - 强调文字颜色 6 5 3" xfId="209"/>
    <cellStyle name="20% - 强调文字颜色 6 6" xfId="210"/>
    <cellStyle name="20% - 强调文字颜色 6 6 2" xfId="211"/>
    <cellStyle name="20% - 强调文字颜色 6 6 2 2" xfId="212"/>
    <cellStyle name="20% - 强调文字颜色 6 6 3" xfId="213"/>
    <cellStyle name="20% - 强调文字颜色 6 7" xfId="214"/>
    <cellStyle name="20% - 强调文字颜色 6 7 2" xfId="215"/>
    <cellStyle name="20% - 强调文字颜色 6 7 2 2" xfId="216"/>
    <cellStyle name="20% - 强调文字颜色 6 7 3" xfId="217"/>
    <cellStyle name="20% - 着色 1 2" xfId="218"/>
    <cellStyle name="20% - 着色 1 2 2" xfId="219"/>
    <cellStyle name="20% - 着色 1 2 2 2" xfId="220"/>
    <cellStyle name="20% - 着色 1 2 2 2 2" xfId="221"/>
    <cellStyle name="20% - 着色 1 2 2 3" xfId="222"/>
    <cellStyle name="20% - 着色 1 2 3" xfId="223"/>
    <cellStyle name="20% - 着色 1 2 3 2" xfId="224"/>
    <cellStyle name="20% - 着色 1 2 4" xfId="225"/>
    <cellStyle name="20% - 着色 1 3" xfId="226"/>
    <cellStyle name="20% - 着色 1 3 2" xfId="227"/>
    <cellStyle name="20% - 着色 1 3 2 2" xfId="228"/>
    <cellStyle name="20% - 着色 1 3 3" xfId="229"/>
    <cellStyle name="20% - 着色 1 4" xfId="230"/>
    <cellStyle name="20% - 着色 1 4 2" xfId="231"/>
    <cellStyle name="20% - 着色 1 4 2 2" xfId="232"/>
    <cellStyle name="20% - 着色 1 4 3" xfId="233"/>
    <cellStyle name="20% - 着色 1 5" xfId="234"/>
    <cellStyle name="20% - 着色 1 5 2" xfId="235"/>
    <cellStyle name="20% - 着色 1 6" xfId="236"/>
    <cellStyle name="20% - 着色 2 2" xfId="237"/>
    <cellStyle name="20% - 着色 2 2 2" xfId="238"/>
    <cellStyle name="20% - 着色 2 2 2 2" xfId="239"/>
    <cellStyle name="20% - 着色 2 2 2 2 2" xfId="240"/>
    <cellStyle name="20% - 着色 2 2 2 3" xfId="241"/>
    <cellStyle name="20% - 着色 2 2 3" xfId="242"/>
    <cellStyle name="20% - 着色 2 2 3 2" xfId="243"/>
    <cellStyle name="20% - 着色 2 2 4" xfId="244"/>
    <cellStyle name="20% - 着色 2 3" xfId="245"/>
    <cellStyle name="20% - 着色 2 3 2" xfId="246"/>
    <cellStyle name="20% - 着色 2 3 2 2" xfId="247"/>
    <cellStyle name="20% - 着色 2 3 3" xfId="248"/>
    <cellStyle name="20% - 着色 2 4" xfId="249"/>
    <cellStyle name="20% - 着色 2 4 2" xfId="250"/>
    <cellStyle name="20% - 着色 2 4 2 2" xfId="251"/>
    <cellStyle name="20% - 着色 2 4 3" xfId="252"/>
    <cellStyle name="20% - 着色 2 5" xfId="253"/>
    <cellStyle name="20% - 着色 2 5 2" xfId="254"/>
    <cellStyle name="20% - 着色 2 6" xfId="255"/>
    <cellStyle name="20% - 着色 3 2" xfId="256"/>
    <cellStyle name="20% - 着色 3 2 2" xfId="257"/>
    <cellStyle name="20% - 着色 3 2 2 2" xfId="258"/>
    <cellStyle name="20% - 着色 3 2 2 2 2" xfId="259"/>
    <cellStyle name="20% - 着色 3 2 2 3" xfId="260"/>
    <cellStyle name="20% - 着色 3 2 3" xfId="261"/>
    <cellStyle name="20% - 着色 3 2 3 2" xfId="262"/>
    <cellStyle name="20% - 着色 3 2 4" xfId="263"/>
    <cellStyle name="20% - 着色 3 3" xfId="264"/>
    <cellStyle name="20% - 着色 3 3 2" xfId="265"/>
    <cellStyle name="20% - 着色 3 3 2 2" xfId="266"/>
    <cellStyle name="20% - 着色 3 3 3" xfId="267"/>
    <cellStyle name="20% - 着色 3 4" xfId="268"/>
    <cellStyle name="20% - 着色 3 4 2" xfId="269"/>
    <cellStyle name="20% - 着色 3 4 2 2" xfId="270"/>
    <cellStyle name="20% - 着色 3 4 3" xfId="271"/>
    <cellStyle name="20% - 着色 3 5" xfId="272"/>
    <cellStyle name="20% - 着色 3 5 2" xfId="273"/>
    <cellStyle name="20% - 着色 3 6" xfId="274"/>
    <cellStyle name="20% - 着色 4 2" xfId="275"/>
    <cellStyle name="20% - 着色 4 2 2" xfId="276"/>
    <cellStyle name="20% - 着色 4 2 2 2" xfId="277"/>
    <cellStyle name="20% - 着色 4 2 2 2 2" xfId="278"/>
    <cellStyle name="20% - 着色 4 2 2 3" xfId="279"/>
    <cellStyle name="20% - 着色 4 2 3" xfId="280"/>
    <cellStyle name="20% - 着色 4 2 3 2" xfId="281"/>
    <cellStyle name="20% - 着色 4 2 4" xfId="282"/>
    <cellStyle name="20% - 着色 4 3" xfId="283"/>
    <cellStyle name="20% - 着色 4 3 2" xfId="284"/>
    <cellStyle name="20% - 着色 4 3 2 2" xfId="285"/>
    <cellStyle name="20% - 着色 4 3 3" xfId="286"/>
    <cellStyle name="20% - 着色 4 4" xfId="287"/>
    <cellStyle name="20% - 着色 4 4 2" xfId="288"/>
    <cellStyle name="20% - 着色 4 4 2 2" xfId="289"/>
    <cellStyle name="20% - 着色 4 4 3" xfId="290"/>
    <cellStyle name="20% - 着色 4 5" xfId="291"/>
    <cellStyle name="20% - 着色 4 5 2" xfId="292"/>
    <cellStyle name="20% - 着色 4 6" xfId="293"/>
    <cellStyle name="20% - 着色 5 2" xfId="294"/>
    <cellStyle name="20% - 着色 5 2 2" xfId="295"/>
    <cellStyle name="20% - 着色 5 2 2 2" xfId="296"/>
    <cellStyle name="20% - 着色 5 2 2 2 2" xfId="297"/>
    <cellStyle name="20% - 着色 5 2 2 3" xfId="298"/>
    <cellStyle name="20% - 着色 5 2 3" xfId="299"/>
    <cellStyle name="20% - 着色 5 2 3 2" xfId="300"/>
    <cellStyle name="20% - 着色 5 2 4" xfId="301"/>
    <cellStyle name="20% - 着色 5 3" xfId="302"/>
    <cellStyle name="20% - 着色 5 3 2" xfId="303"/>
    <cellStyle name="20% - 着色 5 3 2 2" xfId="304"/>
    <cellStyle name="20% - 着色 5 3 3" xfId="305"/>
    <cellStyle name="20% - 着色 5 4" xfId="306"/>
    <cellStyle name="20% - 着色 5 4 2" xfId="307"/>
    <cellStyle name="20% - 着色 5 4 2 2" xfId="308"/>
    <cellStyle name="20% - 着色 5 4 3" xfId="309"/>
    <cellStyle name="20% - 着色 5 5" xfId="310"/>
    <cellStyle name="20% - 着色 5 5 2" xfId="311"/>
    <cellStyle name="20% - 着色 5 6" xfId="312"/>
    <cellStyle name="20% - 着色 6 2" xfId="313"/>
    <cellStyle name="20% - 着色 6 2 2" xfId="314"/>
    <cellStyle name="20% - 着色 6 2 2 2" xfId="315"/>
    <cellStyle name="20% - 着色 6 2 2 2 2" xfId="316"/>
    <cellStyle name="20% - 着色 6 2 2 3" xfId="317"/>
    <cellStyle name="20% - 着色 6 2 3" xfId="318"/>
    <cellStyle name="20% - 着色 6 2 3 2" xfId="319"/>
    <cellStyle name="20% - 着色 6 2 4" xfId="320"/>
    <cellStyle name="20% - 着色 6 3" xfId="321"/>
    <cellStyle name="20% - 着色 6 3 2" xfId="322"/>
    <cellStyle name="20% - 着色 6 3 2 2" xfId="323"/>
    <cellStyle name="20% - 着色 6 3 3" xfId="324"/>
    <cellStyle name="20% - 着色 6 4" xfId="325"/>
    <cellStyle name="20% - 着色 6 4 2" xfId="326"/>
    <cellStyle name="20% - 着色 6 4 2 2" xfId="327"/>
    <cellStyle name="20% - 着色 6 4 3" xfId="328"/>
    <cellStyle name="20% - 着色 6 5" xfId="329"/>
    <cellStyle name="20% - 着色 6 5 2" xfId="330"/>
    <cellStyle name="20% - 着色 6 6" xfId="331"/>
    <cellStyle name="40% - 强调文字颜色 1 2" xfId="332"/>
    <cellStyle name="40% - 强调文字颜色 1 2 2" xfId="333"/>
    <cellStyle name="40% - 强调文字颜色 1 2 2 2" xfId="334"/>
    <cellStyle name="40% - 强调文字颜色 1 2 2 2 2" xfId="335"/>
    <cellStyle name="40% - 强调文字颜色 1 2 2 3" xfId="336"/>
    <cellStyle name="40% - 强调文字颜色 1 2 3" xfId="337"/>
    <cellStyle name="40% - 强调文字颜色 1 2 3 2" xfId="338"/>
    <cellStyle name="40% - 强调文字颜色 1 2 4" xfId="339"/>
    <cellStyle name="40% - 强调文字颜色 1 3" xfId="340"/>
    <cellStyle name="40% - 强调文字颜色 1 3 2" xfId="341"/>
    <cellStyle name="40% - 强调文字颜色 1 3 2 2" xfId="342"/>
    <cellStyle name="40% - 强调文字颜色 1 3 2 2 2" xfId="343"/>
    <cellStyle name="40% - 强调文字颜色 1 3 2 3" xfId="344"/>
    <cellStyle name="40% - 强调文字颜色 1 3 3" xfId="345"/>
    <cellStyle name="40% - 强调文字颜色 1 3 3 2" xfId="346"/>
    <cellStyle name="40% - 强调文字颜色 1 3 4" xfId="347"/>
    <cellStyle name="40% - 强调文字颜色 1 4" xfId="348"/>
    <cellStyle name="40% - 强调文字颜色 1 4 2" xfId="349"/>
    <cellStyle name="40% - 强调文字颜色 1 4 2 2" xfId="350"/>
    <cellStyle name="40% - 强调文字颜色 1 4 2 2 2" xfId="351"/>
    <cellStyle name="40% - 强调文字颜色 1 4 2 3" xfId="352"/>
    <cellStyle name="40% - 强调文字颜色 1 4 3" xfId="353"/>
    <cellStyle name="40% - 强调文字颜色 1 4 3 2" xfId="354"/>
    <cellStyle name="40% - 强调文字颜色 1 4 4" xfId="355"/>
    <cellStyle name="40% - 强调文字颜色 1 5" xfId="356"/>
    <cellStyle name="40% - 强调文字颜色 1 5 2" xfId="357"/>
    <cellStyle name="40% - 强调文字颜色 1 5 2 2" xfId="358"/>
    <cellStyle name="40% - 强调文字颜色 1 5 3" xfId="359"/>
    <cellStyle name="40% - 强调文字颜色 1 6" xfId="360"/>
    <cellStyle name="40% - 强调文字颜色 1 6 2" xfId="361"/>
    <cellStyle name="40% - 强调文字颜色 1 6 2 2" xfId="362"/>
    <cellStyle name="40% - 强调文字颜色 1 6 3" xfId="363"/>
    <cellStyle name="40% - 强调文字颜色 1 7" xfId="364"/>
    <cellStyle name="40% - 强调文字颜色 1 7 2" xfId="365"/>
    <cellStyle name="40% - 强调文字颜色 1 7 2 2" xfId="366"/>
    <cellStyle name="40% - 强调文字颜色 1 7 3" xfId="367"/>
    <cellStyle name="40% - 强调文字颜色 2 2" xfId="368"/>
    <cellStyle name="40% - 强调文字颜色 2 2 2" xfId="369"/>
    <cellStyle name="40% - 强调文字颜色 2 2 2 2" xfId="370"/>
    <cellStyle name="40% - 强调文字颜色 2 2 2 2 2" xfId="371"/>
    <cellStyle name="40% - 强调文字颜色 2 2 2 3" xfId="372"/>
    <cellStyle name="40% - 强调文字颜色 2 2 3" xfId="373"/>
    <cellStyle name="40% - 强调文字颜色 2 2 3 2" xfId="374"/>
    <cellStyle name="40% - 强调文字颜色 2 2 4" xfId="375"/>
    <cellStyle name="40% - 强调文字颜色 2 3" xfId="376"/>
    <cellStyle name="40% - 强调文字颜色 2 3 2" xfId="377"/>
    <cellStyle name="40% - 强调文字颜色 2 3 2 2" xfId="378"/>
    <cellStyle name="40% - 强调文字颜色 2 3 2 2 2" xfId="379"/>
    <cellStyle name="40% - 强调文字颜色 2 3 2 3" xfId="380"/>
    <cellStyle name="40% - 强调文字颜色 2 3 3" xfId="381"/>
    <cellStyle name="40% - 强调文字颜色 2 3 3 2" xfId="382"/>
    <cellStyle name="40% - 强调文字颜色 2 3 4" xfId="383"/>
    <cellStyle name="40% - 强调文字颜色 2 4" xfId="384"/>
    <cellStyle name="40% - 强调文字颜色 2 4 2" xfId="385"/>
    <cellStyle name="40% - 强调文字颜色 2 4 2 2" xfId="386"/>
    <cellStyle name="40% - 强调文字颜色 2 4 2 2 2" xfId="387"/>
    <cellStyle name="40% - 强调文字颜色 2 4 2 3" xfId="388"/>
    <cellStyle name="40% - 强调文字颜色 2 4 3" xfId="389"/>
    <cellStyle name="40% - 强调文字颜色 2 4 3 2" xfId="390"/>
    <cellStyle name="40% - 强调文字颜色 2 4 4" xfId="391"/>
    <cellStyle name="40% - 强调文字颜色 2 5" xfId="392"/>
    <cellStyle name="40% - 强调文字颜色 2 5 2" xfId="393"/>
    <cellStyle name="40% - 强调文字颜色 2 5 2 2" xfId="394"/>
    <cellStyle name="40% - 强调文字颜色 2 5 3" xfId="395"/>
    <cellStyle name="40% - 强调文字颜色 2 6" xfId="396"/>
    <cellStyle name="40% - 强调文字颜色 2 6 2" xfId="397"/>
    <cellStyle name="40% - 强调文字颜色 2 6 2 2" xfId="398"/>
    <cellStyle name="40% - 强调文字颜色 2 6 3" xfId="399"/>
    <cellStyle name="40% - 强调文字颜色 2 7" xfId="400"/>
    <cellStyle name="40% - 强调文字颜色 2 7 2" xfId="401"/>
    <cellStyle name="40% - 强调文字颜色 2 7 2 2" xfId="402"/>
    <cellStyle name="40% - 强调文字颜色 2 7 3" xfId="403"/>
    <cellStyle name="40% - 强调文字颜色 3 2" xfId="404"/>
    <cellStyle name="40% - 强调文字颜色 3 2 2" xfId="405"/>
    <cellStyle name="40% - 强调文字颜色 3 2 2 2" xfId="406"/>
    <cellStyle name="40% - 强调文字颜色 3 2 2 2 2" xfId="407"/>
    <cellStyle name="40% - 强调文字颜色 3 2 2 3" xfId="408"/>
    <cellStyle name="40% - 强调文字颜色 3 2 3" xfId="409"/>
    <cellStyle name="40% - 强调文字颜色 3 2 3 2" xfId="410"/>
    <cellStyle name="40% - 强调文字颜色 3 2 4" xfId="411"/>
    <cellStyle name="40% - 强调文字颜色 3 3" xfId="412"/>
    <cellStyle name="40% - 强调文字颜色 3 3 2" xfId="413"/>
    <cellStyle name="40% - 强调文字颜色 3 3 2 2" xfId="414"/>
    <cellStyle name="40% - 强调文字颜色 3 3 2 2 2" xfId="415"/>
    <cellStyle name="40% - 强调文字颜色 3 3 2 3" xfId="416"/>
    <cellStyle name="40% - 强调文字颜色 3 3 3" xfId="417"/>
    <cellStyle name="40% - 强调文字颜色 3 3 3 2" xfId="418"/>
    <cellStyle name="40% - 强调文字颜色 3 3 4" xfId="419"/>
    <cellStyle name="40% - 强调文字颜色 3 4" xfId="420"/>
    <cellStyle name="40% - 强调文字颜色 3 4 2" xfId="421"/>
    <cellStyle name="40% - 强调文字颜色 3 4 2 2" xfId="422"/>
    <cellStyle name="40% - 强调文字颜色 3 4 2 2 2" xfId="423"/>
    <cellStyle name="40% - 强调文字颜色 3 4 2 3" xfId="424"/>
    <cellStyle name="40% - 强调文字颜色 3 4 3" xfId="425"/>
    <cellStyle name="40% - 强调文字颜色 3 4 3 2" xfId="426"/>
    <cellStyle name="40% - 强调文字颜色 3 4 4" xfId="427"/>
    <cellStyle name="40% - 强调文字颜色 3 5" xfId="428"/>
    <cellStyle name="40% - 强调文字颜色 3 5 2" xfId="429"/>
    <cellStyle name="40% - 强调文字颜色 3 5 2 2" xfId="430"/>
    <cellStyle name="40% - 强调文字颜色 3 5 3" xfId="431"/>
    <cellStyle name="40% - 强调文字颜色 3 6" xfId="432"/>
    <cellStyle name="40% - 强调文字颜色 3 6 2" xfId="433"/>
    <cellStyle name="40% - 强调文字颜色 3 6 2 2" xfId="434"/>
    <cellStyle name="40% - 强调文字颜色 3 6 3" xfId="435"/>
    <cellStyle name="40% - 强调文字颜色 3 7" xfId="436"/>
    <cellStyle name="40% - 强调文字颜色 3 7 2" xfId="437"/>
    <cellStyle name="40% - 强调文字颜色 3 7 2 2" xfId="438"/>
    <cellStyle name="40% - 强调文字颜色 3 7 3" xfId="439"/>
    <cellStyle name="40% - 强调文字颜色 4 2" xfId="440"/>
    <cellStyle name="40% - 强调文字颜色 4 2 2" xfId="441"/>
    <cellStyle name="40% - 强调文字颜色 4 2 2 2" xfId="442"/>
    <cellStyle name="40% - 强调文字颜色 4 2 2 2 2" xfId="443"/>
    <cellStyle name="40% - 强调文字颜色 4 2 2 3" xfId="444"/>
    <cellStyle name="40% - 强调文字颜色 4 2 3" xfId="445"/>
    <cellStyle name="40% - 强调文字颜色 4 2 3 2" xfId="446"/>
    <cellStyle name="40% - 强调文字颜色 4 2 4" xfId="447"/>
    <cellStyle name="40% - 强调文字颜色 4 3" xfId="448"/>
    <cellStyle name="40% - 强调文字颜色 4 3 2" xfId="449"/>
    <cellStyle name="40% - 强调文字颜色 4 3 2 2" xfId="450"/>
    <cellStyle name="40% - 强调文字颜色 4 3 2 2 2" xfId="451"/>
    <cellStyle name="40% - 强调文字颜色 4 3 2 3" xfId="452"/>
    <cellStyle name="40% - 强调文字颜色 4 3 3" xfId="453"/>
    <cellStyle name="40% - 强调文字颜色 4 3 3 2" xfId="454"/>
    <cellStyle name="40% - 强调文字颜色 4 3 4" xfId="455"/>
    <cellStyle name="40% - 强调文字颜色 4 4" xfId="456"/>
    <cellStyle name="40% - 强调文字颜色 4 4 2" xfId="457"/>
    <cellStyle name="40% - 强调文字颜色 4 4 2 2" xfId="458"/>
    <cellStyle name="40% - 强调文字颜色 4 4 2 2 2" xfId="459"/>
    <cellStyle name="40% - 强调文字颜色 4 4 2 3" xfId="460"/>
    <cellStyle name="40% - 强调文字颜色 4 4 3" xfId="461"/>
    <cellStyle name="40% - 强调文字颜色 4 4 3 2" xfId="462"/>
    <cellStyle name="40% - 强调文字颜色 4 4 4" xfId="463"/>
    <cellStyle name="40% - 强调文字颜色 4 5" xfId="464"/>
    <cellStyle name="40% - 强调文字颜色 4 5 2" xfId="465"/>
    <cellStyle name="40% - 强调文字颜色 4 5 2 2" xfId="466"/>
    <cellStyle name="40% - 强调文字颜色 4 5 3" xfId="467"/>
    <cellStyle name="40% - 强调文字颜色 4 6" xfId="468"/>
    <cellStyle name="40% - 强调文字颜色 4 6 2" xfId="469"/>
    <cellStyle name="40% - 强调文字颜色 4 6 2 2" xfId="470"/>
    <cellStyle name="40% - 强调文字颜色 4 6 3" xfId="471"/>
    <cellStyle name="40% - 强调文字颜色 4 7" xfId="472"/>
    <cellStyle name="40% - 强调文字颜色 4 7 2" xfId="473"/>
    <cellStyle name="40% - 强调文字颜色 4 7 2 2" xfId="474"/>
    <cellStyle name="40% - 强调文字颜色 4 7 3" xfId="475"/>
    <cellStyle name="40% - 强调文字颜色 5 2" xfId="476"/>
    <cellStyle name="40% - 强调文字颜色 5 2 2" xfId="477"/>
    <cellStyle name="40% - 强调文字颜色 5 2 2 2" xfId="478"/>
    <cellStyle name="40% - 强调文字颜色 5 2 2 2 2" xfId="479"/>
    <cellStyle name="40% - 强调文字颜色 5 2 2 3" xfId="480"/>
    <cellStyle name="40% - 强调文字颜色 5 2 3" xfId="481"/>
    <cellStyle name="40% - 强调文字颜色 5 2 3 2" xfId="482"/>
    <cellStyle name="40% - 强调文字颜色 5 2 4" xfId="483"/>
    <cellStyle name="40% - 强调文字颜色 5 3" xfId="484"/>
    <cellStyle name="40% - 强调文字颜色 5 3 2" xfId="485"/>
    <cellStyle name="40% - 强调文字颜色 5 3 2 2" xfId="486"/>
    <cellStyle name="40% - 强调文字颜色 5 3 2 2 2" xfId="487"/>
    <cellStyle name="40% - 强调文字颜色 5 3 2 3" xfId="488"/>
    <cellStyle name="40% - 强调文字颜色 5 3 3" xfId="489"/>
    <cellStyle name="40% - 强调文字颜色 5 3 3 2" xfId="490"/>
    <cellStyle name="40% - 强调文字颜色 5 3 4" xfId="491"/>
    <cellStyle name="40% - 强调文字颜色 5 4" xfId="492"/>
    <cellStyle name="40% - 强调文字颜色 5 4 2" xfId="493"/>
    <cellStyle name="40% - 强调文字颜色 5 4 2 2" xfId="494"/>
    <cellStyle name="40% - 强调文字颜色 5 4 2 2 2" xfId="495"/>
    <cellStyle name="40% - 强调文字颜色 5 4 2 3" xfId="496"/>
    <cellStyle name="40% - 强调文字颜色 5 4 3" xfId="497"/>
    <cellStyle name="40% - 强调文字颜色 5 4 3 2" xfId="498"/>
    <cellStyle name="40% - 强调文字颜色 5 4 4" xfId="499"/>
    <cellStyle name="40% - 强调文字颜色 5 5" xfId="500"/>
    <cellStyle name="40% - 强调文字颜色 5 5 2" xfId="501"/>
    <cellStyle name="40% - 强调文字颜色 5 5 2 2" xfId="502"/>
    <cellStyle name="40% - 强调文字颜色 5 5 3" xfId="503"/>
    <cellStyle name="40% - 强调文字颜色 5 6" xfId="504"/>
    <cellStyle name="40% - 强调文字颜色 5 6 2" xfId="505"/>
    <cellStyle name="40% - 强调文字颜色 5 6 2 2" xfId="506"/>
    <cellStyle name="40% - 强调文字颜色 5 6 3" xfId="507"/>
    <cellStyle name="40% - 强调文字颜色 5 7" xfId="508"/>
    <cellStyle name="40% - 强调文字颜色 5 7 2" xfId="509"/>
    <cellStyle name="40% - 强调文字颜色 5 7 2 2" xfId="510"/>
    <cellStyle name="40% - 强调文字颜色 5 7 3" xfId="511"/>
    <cellStyle name="40% - 强调文字颜色 6 2" xfId="512"/>
    <cellStyle name="40% - 强调文字颜色 6 2 2" xfId="513"/>
    <cellStyle name="40% - 强调文字颜色 6 2 2 2" xfId="514"/>
    <cellStyle name="40% - 强调文字颜色 6 2 2 2 2" xfId="515"/>
    <cellStyle name="40% - 强调文字颜色 6 2 2 3" xfId="516"/>
    <cellStyle name="40% - 强调文字颜色 6 2 3" xfId="517"/>
    <cellStyle name="40% - 强调文字颜色 6 2 3 2" xfId="518"/>
    <cellStyle name="40% - 强调文字颜色 6 2 4" xfId="519"/>
    <cellStyle name="40% - 强调文字颜色 6 3" xfId="520"/>
    <cellStyle name="40% - 强调文字颜色 6 3 2" xfId="521"/>
    <cellStyle name="40% - 强调文字颜色 6 3 2 2" xfId="522"/>
    <cellStyle name="40% - 强调文字颜色 6 3 2 2 2" xfId="523"/>
    <cellStyle name="40% - 强调文字颜色 6 3 2 3" xfId="524"/>
    <cellStyle name="40% - 强调文字颜色 6 3 3" xfId="525"/>
    <cellStyle name="40% - 强调文字颜色 6 3 3 2" xfId="526"/>
    <cellStyle name="40% - 强调文字颜色 6 3 4" xfId="527"/>
    <cellStyle name="40% - 强调文字颜色 6 4" xfId="528"/>
    <cellStyle name="40% - 强调文字颜色 6 4 2" xfId="529"/>
    <cellStyle name="40% - 强调文字颜色 6 4 2 2" xfId="530"/>
    <cellStyle name="40% - 强调文字颜色 6 4 2 2 2" xfId="531"/>
    <cellStyle name="40% - 强调文字颜色 6 4 2 3" xfId="532"/>
    <cellStyle name="40% - 强调文字颜色 6 4 3" xfId="533"/>
    <cellStyle name="40% - 强调文字颜色 6 4 3 2" xfId="534"/>
    <cellStyle name="40% - 强调文字颜色 6 4 4" xfId="535"/>
    <cellStyle name="40% - 强调文字颜色 6 5" xfId="536"/>
    <cellStyle name="40% - 强调文字颜色 6 5 2" xfId="537"/>
    <cellStyle name="40% - 强调文字颜色 6 5 2 2" xfId="538"/>
    <cellStyle name="40% - 强调文字颜色 6 5 3" xfId="539"/>
    <cellStyle name="40% - 强调文字颜色 6 6" xfId="540"/>
    <cellStyle name="40% - 强调文字颜色 6 6 2" xfId="541"/>
    <cellStyle name="40% - 强调文字颜色 6 6 2 2" xfId="542"/>
    <cellStyle name="40% - 强调文字颜色 6 6 3" xfId="543"/>
    <cellStyle name="40% - 强调文字颜色 6 7" xfId="544"/>
    <cellStyle name="40% - 强调文字颜色 6 7 2" xfId="545"/>
    <cellStyle name="40% - 强调文字颜色 6 7 2 2" xfId="546"/>
    <cellStyle name="40% - 强调文字颜色 6 7 3" xfId="547"/>
    <cellStyle name="40% - 着色 1 2" xfId="548"/>
    <cellStyle name="40% - 着色 1 2 2" xfId="549"/>
    <cellStyle name="40% - 着色 1 2 2 2" xfId="550"/>
    <cellStyle name="40% - 着色 1 2 2 2 2" xfId="551"/>
    <cellStyle name="40% - 着色 1 2 2 3" xfId="552"/>
    <cellStyle name="40% - 着色 1 2 3" xfId="553"/>
    <cellStyle name="40% - 着色 1 2 3 2" xfId="554"/>
    <cellStyle name="40% - 着色 1 2 4" xfId="555"/>
    <cellStyle name="40% - 着色 1 3" xfId="556"/>
    <cellStyle name="40% - 着色 1 3 2" xfId="557"/>
    <cellStyle name="40% - 着色 1 3 2 2" xfId="558"/>
    <cellStyle name="40% - 着色 1 3 3" xfId="559"/>
    <cellStyle name="40% - 着色 1 4" xfId="560"/>
    <cellStyle name="40% - 着色 1 4 2" xfId="561"/>
    <cellStyle name="40% - 着色 1 4 2 2" xfId="562"/>
    <cellStyle name="40% - 着色 1 4 3" xfId="563"/>
    <cellStyle name="40% - 着色 1 5" xfId="564"/>
    <cellStyle name="40% - 着色 1 5 2" xfId="565"/>
    <cellStyle name="40% - 着色 1 6" xfId="566"/>
    <cellStyle name="40% - 着色 2 2" xfId="567"/>
    <cellStyle name="40% - 着色 2 2 2" xfId="568"/>
    <cellStyle name="40% - 着色 2 2 2 2" xfId="569"/>
    <cellStyle name="40% - 着色 2 2 2 2 2" xfId="570"/>
    <cellStyle name="40% - 着色 2 2 2 3" xfId="571"/>
    <cellStyle name="40% - 着色 2 2 3" xfId="572"/>
    <cellStyle name="40% - 着色 2 2 3 2" xfId="573"/>
    <cellStyle name="40% - 着色 2 2 4" xfId="574"/>
    <cellStyle name="40% - 着色 2 3" xfId="575"/>
    <cellStyle name="40% - 着色 2 3 2" xfId="576"/>
    <cellStyle name="40% - 着色 2 3 2 2" xfId="577"/>
    <cellStyle name="40% - 着色 2 3 3" xfId="578"/>
    <cellStyle name="40% - 着色 2 4" xfId="579"/>
    <cellStyle name="40% - 着色 2 4 2" xfId="580"/>
    <cellStyle name="40% - 着色 2 4 2 2" xfId="581"/>
    <cellStyle name="40% - 着色 2 4 3" xfId="582"/>
    <cellStyle name="40% - 着色 2 5" xfId="583"/>
    <cellStyle name="40% - 着色 2 5 2" xfId="584"/>
    <cellStyle name="40% - 着色 2 6" xfId="585"/>
    <cellStyle name="40% - 着色 3 2" xfId="586"/>
    <cellStyle name="40% - 着色 3 2 2" xfId="587"/>
    <cellStyle name="40% - 着色 3 2 2 2" xfId="588"/>
    <cellStyle name="40% - 着色 3 2 2 2 2" xfId="589"/>
    <cellStyle name="40% - 着色 3 2 2 3" xfId="590"/>
    <cellStyle name="40% - 着色 3 2 3" xfId="591"/>
    <cellStyle name="40% - 着色 3 2 3 2" xfId="592"/>
    <cellStyle name="40% - 着色 3 2 4" xfId="593"/>
    <cellStyle name="40% - 着色 3 3" xfId="594"/>
    <cellStyle name="40% - 着色 3 3 2" xfId="595"/>
    <cellStyle name="40% - 着色 3 3 2 2" xfId="596"/>
    <cellStyle name="40% - 着色 3 3 3" xfId="597"/>
    <cellStyle name="40% - 着色 3 4" xfId="598"/>
    <cellStyle name="40% - 着色 3 4 2" xfId="599"/>
    <cellStyle name="40% - 着色 3 4 2 2" xfId="600"/>
    <cellStyle name="40% - 着色 3 4 3" xfId="601"/>
    <cellStyle name="40% - 着色 3 5" xfId="602"/>
    <cellStyle name="40% - 着色 3 5 2" xfId="603"/>
    <cellStyle name="40% - 着色 3 6" xfId="604"/>
    <cellStyle name="40% - 着色 4 2" xfId="605"/>
    <cellStyle name="40% - 着色 4 2 2" xfId="606"/>
    <cellStyle name="40% - 着色 4 2 2 2" xfId="607"/>
    <cellStyle name="40% - 着色 4 2 2 2 2" xfId="608"/>
    <cellStyle name="40% - 着色 4 2 2 3" xfId="609"/>
    <cellStyle name="40% - 着色 4 2 3" xfId="610"/>
    <cellStyle name="40% - 着色 4 2 3 2" xfId="611"/>
    <cellStyle name="40% - 着色 4 2 4" xfId="612"/>
    <cellStyle name="40% - 着色 4 3" xfId="613"/>
    <cellStyle name="40% - 着色 4 3 2" xfId="614"/>
    <cellStyle name="40% - 着色 4 3 2 2" xfId="615"/>
    <cellStyle name="40% - 着色 4 3 3" xfId="616"/>
    <cellStyle name="40% - 着色 4 4" xfId="617"/>
    <cellStyle name="40% - 着色 4 4 2" xfId="618"/>
    <cellStyle name="40% - 着色 4 4 2 2" xfId="619"/>
    <cellStyle name="40% - 着色 4 4 3" xfId="620"/>
    <cellStyle name="40% - 着色 4 5" xfId="621"/>
    <cellStyle name="40% - 着色 4 5 2" xfId="622"/>
    <cellStyle name="40% - 着色 4 6" xfId="623"/>
    <cellStyle name="40% - 着色 5 2" xfId="624"/>
    <cellStyle name="40% - 着色 5 2 2" xfId="625"/>
    <cellStyle name="40% - 着色 5 2 2 2" xfId="626"/>
    <cellStyle name="40% - 着色 5 2 2 2 2" xfId="627"/>
    <cellStyle name="40% - 着色 5 2 2 3" xfId="628"/>
    <cellStyle name="40% - 着色 5 2 3" xfId="629"/>
    <cellStyle name="40% - 着色 5 2 3 2" xfId="630"/>
    <cellStyle name="40% - 着色 5 2 4" xfId="631"/>
    <cellStyle name="40% - 着色 5 3" xfId="632"/>
    <cellStyle name="40% - 着色 5 3 2" xfId="633"/>
    <cellStyle name="40% - 着色 5 3 2 2" xfId="634"/>
    <cellStyle name="40% - 着色 5 3 3" xfId="635"/>
    <cellStyle name="40% - 着色 5 4" xfId="636"/>
    <cellStyle name="40% - 着色 5 4 2" xfId="637"/>
    <cellStyle name="40% - 着色 5 4 2 2" xfId="638"/>
    <cellStyle name="40% - 着色 5 4 3" xfId="639"/>
    <cellStyle name="40% - 着色 5 5" xfId="640"/>
    <cellStyle name="40% - 着色 5 5 2" xfId="641"/>
    <cellStyle name="40% - 着色 5 6" xfId="642"/>
    <cellStyle name="40% - 着色 6 2" xfId="643"/>
    <cellStyle name="40% - 着色 6 2 2" xfId="644"/>
    <cellStyle name="40% - 着色 6 2 2 2" xfId="645"/>
    <cellStyle name="40% - 着色 6 2 2 2 2" xfId="646"/>
    <cellStyle name="40% - 着色 6 2 2 3" xfId="647"/>
    <cellStyle name="40% - 着色 6 2 3" xfId="648"/>
    <cellStyle name="40% - 着色 6 2 3 2" xfId="649"/>
    <cellStyle name="40% - 着色 6 2 4" xfId="650"/>
    <cellStyle name="40% - 着色 6 3" xfId="651"/>
    <cellStyle name="40% - 着色 6 3 2" xfId="652"/>
    <cellStyle name="40% - 着色 6 3 2 2" xfId="653"/>
    <cellStyle name="40% - 着色 6 3 3" xfId="654"/>
    <cellStyle name="40% - 着色 6 4" xfId="655"/>
    <cellStyle name="40% - 着色 6 4 2" xfId="656"/>
    <cellStyle name="40% - 着色 6 4 2 2" xfId="657"/>
    <cellStyle name="40% - 着色 6 4 3" xfId="658"/>
    <cellStyle name="40% - 着色 6 5" xfId="659"/>
    <cellStyle name="40% - 着色 6 5 2" xfId="660"/>
    <cellStyle name="40% - 着色 6 6" xfId="661"/>
    <cellStyle name="60% - 强调文字颜色 1 2" xfId="662"/>
    <cellStyle name="60% - 强调文字颜色 1 2 2" xfId="663"/>
    <cellStyle name="60% - 强调文字颜色 1 2 2 2" xfId="664"/>
    <cellStyle name="60% - 强调文字颜色 1 2 3" xfId="665"/>
    <cellStyle name="60% - 强调文字颜色 1 3" xfId="666"/>
    <cellStyle name="60% - 强调文字颜色 1 3 2" xfId="667"/>
    <cellStyle name="60% - 强调文字颜色 1 3 2 2" xfId="668"/>
    <cellStyle name="60% - 强调文字颜色 1 3 3" xfId="669"/>
    <cellStyle name="60% - 强调文字颜色 1 4" xfId="670"/>
    <cellStyle name="60% - 强调文字颜色 1 4 2" xfId="671"/>
    <cellStyle name="60% - 强调文字颜色 1 4 2 2" xfId="672"/>
    <cellStyle name="60% - 强调文字颜色 1 4 3" xfId="673"/>
    <cellStyle name="60% - 强调文字颜色 1 5" xfId="674"/>
    <cellStyle name="60% - 强调文字颜色 1 5 2" xfId="675"/>
    <cellStyle name="60% - 强调文字颜色 1 6" xfId="676"/>
    <cellStyle name="60% - 强调文字颜色 1 6 2" xfId="677"/>
    <cellStyle name="60% - 强调文字颜色 1 7" xfId="678"/>
    <cellStyle name="60% - 强调文字颜色 1 7 2" xfId="679"/>
    <cellStyle name="60% - 强调文字颜色 2 2" xfId="680"/>
    <cellStyle name="60% - 强调文字颜色 2 2 2" xfId="681"/>
    <cellStyle name="60% - 强调文字颜色 2 2 2 2" xfId="682"/>
    <cellStyle name="60% - 强调文字颜色 2 2 3" xfId="683"/>
    <cellStyle name="60% - 强调文字颜色 2 3" xfId="684"/>
    <cellStyle name="60% - 强调文字颜色 2 3 2" xfId="685"/>
    <cellStyle name="60% - 强调文字颜色 2 3 2 2" xfId="686"/>
    <cellStyle name="60% - 强调文字颜色 2 3 3" xfId="687"/>
    <cellStyle name="60% - 强调文字颜色 2 4" xfId="688"/>
    <cellStyle name="60% - 强调文字颜色 2 4 2" xfId="689"/>
    <cellStyle name="60% - 强调文字颜色 2 4 2 2" xfId="690"/>
    <cellStyle name="60% - 强调文字颜色 2 4 3" xfId="691"/>
    <cellStyle name="60% - 强调文字颜色 2 5" xfId="692"/>
    <cellStyle name="60% - 强调文字颜色 2 5 2" xfId="693"/>
    <cellStyle name="60% - 强调文字颜色 2 6" xfId="694"/>
    <cellStyle name="60% - 强调文字颜色 2 6 2" xfId="695"/>
    <cellStyle name="60% - 强调文字颜色 2 7" xfId="696"/>
    <cellStyle name="60% - 强调文字颜色 2 7 2" xfId="697"/>
    <cellStyle name="60% - 强调文字颜色 3 2" xfId="698"/>
    <cellStyle name="60% - 强调文字颜色 3 2 2" xfId="699"/>
    <cellStyle name="60% - 强调文字颜色 3 2 2 2" xfId="700"/>
    <cellStyle name="60% - 强调文字颜色 3 2 3" xfId="701"/>
    <cellStyle name="60% - 强调文字颜色 3 3" xfId="702"/>
    <cellStyle name="60% - 强调文字颜色 3 3 2" xfId="703"/>
    <cellStyle name="60% - 强调文字颜色 3 3 2 2" xfId="704"/>
    <cellStyle name="60% - 强调文字颜色 3 3 3" xfId="705"/>
    <cellStyle name="60% - 强调文字颜色 3 4" xfId="706"/>
    <cellStyle name="60% - 强调文字颜色 3 4 2" xfId="707"/>
    <cellStyle name="60% - 强调文字颜色 3 4 2 2" xfId="708"/>
    <cellStyle name="60% - 强调文字颜色 3 4 3" xfId="709"/>
    <cellStyle name="60% - 强调文字颜色 3 5" xfId="710"/>
    <cellStyle name="60% - 强调文字颜色 3 5 2" xfId="711"/>
    <cellStyle name="60% - 强调文字颜色 3 6" xfId="712"/>
    <cellStyle name="60% - 强调文字颜色 3 6 2" xfId="713"/>
    <cellStyle name="60% - 强调文字颜色 3 7" xfId="714"/>
    <cellStyle name="60% - 强调文字颜色 3 7 2" xfId="715"/>
    <cellStyle name="60% - 强调文字颜色 4 2" xfId="716"/>
    <cellStyle name="60% - 强调文字颜色 4 2 2" xfId="717"/>
    <cellStyle name="60% - 强调文字颜色 4 2 2 2" xfId="718"/>
    <cellStyle name="60% - 强调文字颜色 4 2 3" xfId="719"/>
    <cellStyle name="60% - 强调文字颜色 4 3" xfId="720"/>
    <cellStyle name="60% - 强调文字颜色 4 3 2" xfId="721"/>
    <cellStyle name="60% - 强调文字颜色 4 3 2 2" xfId="722"/>
    <cellStyle name="60% - 强调文字颜色 4 3 3" xfId="723"/>
    <cellStyle name="60% - 强调文字颜色 4 4" xfId="724"/>
    <cellStyle name="60% - 强调文字颜色 4 4 2" xfId="725"/>
    <cellStyle name="60% - 强调文字颜色 4 4 2 2" xfId="726"/>
    <cellStyle name="60% - 强调文字颜色 4 4 3" xfId="727"/>
    <cellStyle name="60% - 强调文字颜色 4 5" xfId="728"/>
    <cellStyle name="60% - 强调文字颜色 4 5 2" xfId="729"/>
    <cellStyle name="60% - 强调文字颜色 4 6" xfId="730"/>
    <cellStyle name="60% - 强调文字颜色 4 6 2" xfId="731"/>
    <cellStyle name="60% - 强调文字颜色 4 7" xfId="732"/>
    <cellStyle name="60% - 强调文字颜色 4 7 2" xfId="733"/>
    <cellStyle name="60% - 强调文字颜色 5 2" xfId="734"/>
    <cellStyle name="60% - 强调文字颜色 5 2 2" xfId="735"/>
    <cellStyle name="60% - 强调文字颜色 5 2 2 2" xfId="736"/>
    <cellStyle name="60% - 强调文字颜色 5 2 3" xfId="737"/>
    <cellStyle name="60% - 强调文字颜色 5 3" xfId="738"/>
    <cellStyle name="60% - 强调文字颜色 5 3 2" xfId="739"/>
    <cellStyle name="60% - 强调文字颜色 5 3 2 2" xfId="740"/>
    <cellStyle name="60% - 强调文字颜色 5 3 3" xfId="741"/>
    <cellStyle name="60% - 强调文字颜色 5 4" xfId="742"/>
    <cellStyle name="60% - 强调文字颜色 5 4 2" xfId="743"/>
    <cellStyle name="60% - 强调文字颜色 5 4 2 2" xfId="744"/>
    <cellStyle name="60% - 强调文字颜色 5 4 3" xfId="745"/>
    <cellStyle name="60% - 强调文字颜色 5 5" xfId="746"/>
    <cellStyle name="60% - 强调文字颜色 5 5 2" xfId="747"/>
    <cellStyle name="60% - 强调文字颜色 5 6" xfId="748"/>
    <cellStyle name="60% - 强调文字颜色 5 6 2" xfId="749"/>
    <cellStyle name="60% - 强调文字颜色 5 7" xfId="750"/>
    <cellStyle name="60% - 强调文字颜色 5 7 2" xfId="751"/>
    <cellStyle name="60% - 强调文字颜色 6 2" xfId="752"/>
    <cellStyle name="60% - 强调文字颜色 6 2 2" xfId="753"/>
    <cellStyle name="60% - 强调文字颜色 6 2 2 2" xfId="754"/>
    <cellStyle name="60% - 强调文字颜色 6 2 3" xfId="755"/>
    <cellStyle name="60% - 强调文字颜色 6 3" xfId="756"/>
    <cellStyle name="60% - 强调文字颜色 6 3 2" xfId="757"/>
    <cellStyle name="60% - 强调文字颜色 6 3 2 2" xfId="758"/>
    <cellStyle name="60% - 强调文字颜色 6 3 3" xfId="759"/>
    <cellStyle name="60% - 强调文字颜色 6 4" xfId="760"/>
    <cellStyle name="60% - 强调文字颜色 6 4 2" xfId="761"/>
    <cellStyle name="60% - 强调文字颜色 6 4 2 2" xfId="762"/>
    <cellStyle name="60% - 强调文字颜色 6 4 3" xfId="763"/>
    <cellStyle name="60% - 强调文字颜色 6 5" xfId="764"/>
    <cellStyle name="60% - 强调文字颜色 6 5 2" xfId="765"/>
    <cellStyle name="60% - 强调文字颜色 6 6" xfId="766"/>
    <cellStyle name="60% - 强调文字颜色 6 6 2" xfId="767"/>
    <cellStyle name="60% - 强调文字颜色 6 7" xfId="768"/>
    <cellStyle name="60% - 强调文字颜色 6 7 2" xfId="769"/>
    <cellStyle name="60% - 着色 1 2" xfId="770"/>
    <cellStyle name="60% - 着色 1 2 2" xfId="771"/>
    <cellStyle name="60% - 着色 1 2 2 2" xfId="772"/>
    <cellStyle name="60% - 着色 1 2 3" xfId="773"/>
    <cellStyle name="60% - 着色 1 3" xfId="774"/>
    <cellStyle name="60% - 着色 1 3 2" xfId="775"/>
    <cellStyle name="60% - 着色 1 4" xfId="776"/>
    <cellStyle name="60% - 着色 1 4 2" xfId="777"/>
    <cellStyle name="60% - 着色 1 5" xfId="778"/>
    <cellStyle name="60% - 着色 2 2" xfId="779"/>
    <cellStyle name="60% - 着色 2 2 2" xfId="780"/>
    <cellStyle name="60% - 着色 2 2 2 2" xfId="781"/>
    <cellStyle name="60% - 着色 2 2 3" xfId="782"/>
    <cellStyle name="60% - 着色 2 3" xfId="783"/>
    <cellStyle name="60% - 着色 2 3 2" xfId="784"/>
    <cellStyle name="60% - 着色 2 4" xfId="785"/>
    <cellStyle name="60% - 着色 2 4 2" xfId="786"/>
    <cellStyle name="60% - 着色 2 5" xfId="787"/>
    <cellStyle name="60% - 着色 3 2" xfId="788"/>
    <cellStyle name="60% - 着色 3 2 2" xfId="789"/>
    <cellStyle name="60% - 着色 3 2 2 2" xfId="790"/>
    <cellStyle name="60% - 着色 3 2 3" xfId="791"/>
    <cellStyle name="60% - 着色 3 3" xfId="792"/>
    <cellStyle name="60% - 着色 3 3 2" xfId="793"/>
    <cellStyle name="60% - 着色 3 4" xfId="794"/>
    <cellStyle name="60% - 着色 3 4 2" xfId="795"/>
    <cellStyle name="60% - 着色 3 5" xfId="796"/>
    <cellStyle name="60% - 着色 4 2" xfId="797"/>
    <cellStyle name="60% - 着色 4 2 2" xfId="798"/>
    <cellStyle name="60% - 着色 4 2 2 2" xfId="799"/>
    <cellStyle name="60% - 着色 4 2 3" xfId="800"/>
    <cellStyle name="60% - 着色 4 3" xfId="801"/>
    <cellStyle name="60% - 着色 4 3 2" xfId="802"/>
    <cellStyle name="60% - 着色 4 4" xfId="803"/>
    <cellStyle name="60% - 着色 4 4 2" xfId="804"/>
    <cellStyle name="60% - 着色 4 5" xfId="805"/>
    <cellStyle name="60% - 着色 5 2" xfId="806"/>
    <cellStyle name="60% - 着色 5 2 2" xfId="807"/>
    <cellStyle name="60% - 着色 5 2 2 2" xfId="808"/>
    <cellStyle name="60% - 着色 5 2 3" xfId="809"/>
    <cellStyle name="60% - 着色 5 3" xfId="810"/>
    <cellStyle name="60% - 着色 5 3 2" xfId="811"/>
    <cellStyle name="60% - 着色 5 4" xfId="812"/>
    <cellStyle name="60% - 着色 5 4 2" xfId="813"/>
    <cellStyle name="60% - 着色 5 5" xfId="814"/>
    <cellStyle name="60% - 着色 6 2" xfId="815"/>
    <cellStyle name="60% - 着色 6 2 2" xfId="816"/>
    <cellStyle name="60% - 着色 6 2 2 2" xfId="817"/>
    <cellStyle name="60% - 着色 6 2 3" xfId="818"/>
    <cellStyle name="60% - 着色 6 3" xfId="819"/>
    <cellStyle name="60% - 着色 6 3 2" xfId="820"/>
    <cellStyle name="60% - 着色 6 4" xfId="821"/>
    <cellStyle name="60% - 着色 6 4 2" xfId="822"/>
    <cellStyle name="60% - 着色 6 5" xfId="823"/>
    <cellStyle name="RowLevel_1" xfId="824"/>
    <cellStyle name="百分比 2" xfId="825"/>
    <cellStyle name="百分比 2 2" xfId="826"/>
    <cellStyle name="百分比 2 2 2" xfId="827"/>
    <cellStyle name="百分比 2 2 2 2" xfId="828"/>
    <cellStyle name="百分比 2 2 3" xfId="829"/>
    <cellStyle name="百分比 2 3" xfId="830"/>
    <cellStyle name="百分比 2 3 2" xfId="831"/>
    <cellStyle name="百分比 2 4" xfId="832"/>
    <cellStyle name="百分比 2 4 2" xfId="833"/>
    <cellStyle name="百分比 2 5" xfId="834"/>
    <cellStyle name="百分比 2 5 2" xfId="835"/>
    <cellStyle name="百分比 2 5 2 2" xfId="836"/>
    <cellStyle name="百分比 2 5 3" xfId="837"/>
    <cellStyle name="百分比 2 6" xfId="838"/>
    <cellStyle name="百分比 2 6 2" xfId="839"/>
    <cellStyle name="百分比 2 7" xfId="840"/>
    <cellStyle name="百分比 3" xfId="841"/>
    <cellStyle name="百分比 3 2" xfId="842"/>
    <cellStyle name="百分比 3 2 2" xfId="843"/>
    <cellStyle name="百分比 3 2 2 2" xfId="844"/>
    <cellStyle name="百分比 3 2 3" xfId="845"/>
    <cellStyle name="百分比 3 3" xfId="846"/>
    <cellStyle name="百分比 3 3 2" xfId="847"/>
    <cellStyle name="百分比 3 4" xfId="848"/>
    <cellStyle name="百分比 3 4 2" xfId="849"/>
    <cellStyle name="百分比 3 5" xfId="850"/>
    <cellStyle name="百分比 3 5 2" xfId="851"/>
    <cellStyle name="百分比 3 6" xfId="852"/>
    <cellStyle name="百分比 4" xfId="853"/>
    <cellStyle name="百分比 4 2" xfId="854"/>
    <cellStyle name="百分比 4 2 2" xfId="855"/>
    <cellStyle name="百分比 4 3" xfId="856"/>
    <cellStyle name="百分比 5" xfId="857"/>
    <cellStyle name="百分比 5 2" xfId="858"/>
    <cellStyle name="百分比 5 2 2" xfId="859"/>
    <cellStyle name="百分比 5 3" xfId="860"/>
    <cellStyle name="百分比 6" xfId="861"/>
    <cellStyle name="百分比 6 2" xfId="862"/>
    <cellStyle name="百分比 6 2 2" xfId="863"/>
    <cellStyle name="百分比 6 3" xfId="864"/>
    <cellStyle name="百分比 7" xfId="865"/>
    <cellStyle name="百分比 7 2" xfId="866"/>
    <cellStyle name="百分比 8" xfId="867"/>
    <cellStyle name="标题 1 2" xfId="868"/>
    <cellStyle name="标题 1 2 2" xfId="869"/>
    <cellStyle name="标题 1 2 2 2" xfId="870"/>
    <cellStyle name="标题 1 2 3" xfId="871"/>
    <cellStyle name="标题 1 3" xfId="872"/>
    <cellStyle name="标题 1 3 2" xfId="873"/>
    <cellStyle name="标题 1 3 2 2" xfId="874"/>
    <cellStyle name="标题 1 3 3" xfId="875"/>
    <cellStyle name="标题 1 4" xfId="876"/>
    <cellStyle name="标题 1 4 2" xfId="877"/>
    <cellStyle name="标题 1 4 2 2" xfId="878"/>
    <cellStyle name="标题 1 4 3" xfId="879"/>
    <cellStyle name="标题 1 5" xfId="880"/>
    <cellStyle name="标题 1 5 2" xfId="881"/>
    <cellStyle name="标题 1 6" xfId="882"/>
    <cellStyle name="标题 1 6 2" xfId="883"/>
    <cellStyle name="标题 2 2" xfId="884"/>
    <cellStyle name="标题 2 2 2" xfId="885"/>
    <cellStyle name="标题 2 2 2 2" xfId="886"/>
    <cellStyle name="标题 2 2 3" xfId="887"/>
    <cellStyle name="标题 2 3" xfId="888"/>
    <cellStyle name="标题 2 3 2" xfId="889"/>
    <cellStyle name="标题 2 3 2 2" xfId="890"/>
    <cellStyle name="标题 2 3 3" xfId="891"/>
    <cellStyle name="标题 2 4" xfId="892"/>
    <cellStyle name="标题 2 4 2" xfId="893"/>
    <cellStyle name="标题 2 4 2 2" xfId="894"/>
    <cellStyle name="标题 2 4 3" xfId="895"/>
    <cellStyle name="标题 2 5" xfId="896"/>
    <cellStyle name="标题 2 5 2" xfId="897"/>
    <cellStyle name="标题 2 6" xfId="898"/>
    <cellStyle name="标题 2 6 2" xfId="899"/>
    <cellStyle name="标题 3 2" xfId="900"/>
    <cellStyle name="标题 3 2 2" xfId="901"/>
    <cellStyle name="标题 3 2 2 2" xfId="902"/>
    <cellStyle name="标题 3 2 3" xfId="903"/>
    <cellStyle name="标题 3 3" xfId="904"/>
    <cellStyle name="标题 3 3 2" xfId="905"/>
    <cellStyle name="标题 3 3 2 2" xfId="906"/>
    <cellStyle name="标题 3 3 3" xfId="907"/>
    <cellStyle name="标题 3 4" xfId="908"/>
    <cellStyle name="标题 3 4 2" xfId="909"/>
    <cellStyle name="标题 3 4 2 2" xfId="910"/>
    <cellStyle name="标题 3 4 3" xfId="911"/>
    <cellStyle name="标题 3 5" xfId="912"/>
    <cellStyle name="标题 3 5 2" xfId="913"/>
    <cellStyle name="标题 3 6" xfId="914"/>
    <cellStyle name="标题 3 6 2" xfId="915"/>
    <cellStyle name="标题 4 2" xfId="916"/>
    <cellStyle name="标题 4 2 2" xfId="917"/>
    <cellStyle name="标题 4 2 2 2" xfId="918"/>
    <cellStyle name="标题 4 2 3" xfId="919"/>
    <cellStyle name="标题 4 3" xfId="920"/>
    <cellStyle name="标题 4 3 2" xfId="921"/>
    <cellStyle name="标题 4 3 2 2" xfId="922"/>
    <cellStyle name="标题 4 3 3" xfId="923"/>
    <cellStyle name="标题 4 4" xfId="924"/>
    <cellStyle name="标题 4 4 2" xfId="925"/>
    <cellStyle name="标题 4 4 2 2" xfId="926"/>
    <cellStyle name="标题 4 4 3" xfId="927"/>
    <cellStyle name="标题 4 5" xfId="928"/>
    <cellStyle name="标题 4 5 2" xfId="929"/>
    <cellStyle name="标题 4 6" xfId="930"/>
    <cellStyle name="标题 4 6 2" xfId="931"/>
    <cellStyle name="标题 5" xfId="932"/>
    <cellStyle name="标题 5 2" xfId="933"/>
    <cellStyle name="标题 5 2 2" xfId="934"/>
    <cellStyle name="标题 5 3" xfId="935"/>
    <cellStyle name="标题 6" xfId="936"/>
    <cellStyle name="标题 6 2" xfId="937"/>
    <cellStyle name="标题 6 2 2" xfId="938"/>
    <cellStyle name="标题 6 3" xfId="939"/>
    <cellStyle name="标题 7" xfId="940"/>
    <cellStyle name="标题 7 2" xfId="941"/>
    <cellStyle name="标题 7 2 2" xfId="942"/>
    <cellStyle name="标题 7 3" xfId="943"/>
    <cellStyle name="标题 8" xfId="944"/>
    <cellStyle name="标题 8 2" xfId="945"/>
    <cellStyle name="标题 9" xfId="946"/>
    <cellStyle name="标题 9 2" xfId="947"/>
    <cellStyle name="差 2" xfId="948"/>
    <cellStyle name="差 2 2" xfId="949"/>
    <cellStyle name="差 2 2 2" xfId="950"/>
    <cellStyle name="差 2 3" xfId="951"/>
    <cellStyle name="差 3" xfId="952"/>
    <cellStyle name="差 3 2" xfId="953"/>
    <cellStyle name="差 3 2 2" xfId="954"/>
    <cellStyle name="差 3 3" xfId="955"/>
    <cellStyle name="差 4" xfId="956"/>
    <cellStyle name="差 4 2" xfId="957"/>
    <cellStyle name="差 4 2 2" xfId="958"/>
    <cellStyle name="差 4 3" xfId="959"/>
    <cellStyle name="差 5" xfId="960"/>
    <cellStyle name="差 5 2" xfId="961"/>
    <cellStyle name="差 6" xfId="962"/>
    <cellStyle name="差 6 2" xfId="963"/>
    <cellStyle name="差 7" xfId="964"/>
    <cellStyle name="差 7 2" xfId="965"/>
    <cellStyle name="差_2013见习培训经费表下半年(chen)2014年9月" xfId="966"/>
    <cellStyle name="差_2013见习培训经费表下半年(chen)2014年9月 2" xfId="967"/>
    <cellStyle name="差_2013见习培训经费表下半年(chen)2014年9月 2 2" xfId="968"/>
    <cellStyle name="差_2013见习培训经费表下半年(chen)2014年9月 2 2 2" xfId="969"/>
    <cellStyle name="差_2013见习培训经费表下半年(chen)2014年9月 2 3" xfId="970"/>
    <cellStyle name="差_2013见习培训经费表下半年(chen)2014年9月 3" xfId="971"/>
    <cellStyle name="差_2013见习培训经费表下半年(chen)2014年9月 3 2" xfId="972"/>
    <cellStyle name="差_2013见习培训经费表下半年(chen)2014年9月 4" xfId="973"/>
    <cellStyle name="差_2013见习培训经费表下半年(chen)2014年9月 4 2" xfId="974"/>
    <cellStyle name="差_2013见习培训经费表下半年(chen)2014年9月 5" xfId="975"/>
    <cellStyle name="差_2014年聘用学校导师带教经费表" xfId="976"/>
    <cellStyle name="差_2014年聘用学校导师带教经费表 2" xfId="977"/>
    <cellStyle name="差_2014年聘用学校导师带教经费表 2 2" xfId="978"/>
    <cellStyle name="差_2014年聘用学校导师带教经费表 2 2 2" xfId="979"/>
    <cellStyle name="差_2014年聘用学校导师带教经费表 2 3" xfId="980"/>
    <cellStyle name="差_2014年聘用学校导师带教经费表 3" xfId="981"/>
    <cellStyle name="差_2014年聘用学校导师带教经费表 3 2" xfId="982"/>
    <cellStyle name="差_2014年聘用学校导师带教经费表 3 2 2" xfId="983"/>
    <cellStyle name="差_2014年聘用学校导师带教经费表 3 3" xfId="984"/>
    <cellStyle name="差_2014年聘用学校导师带教经费表 4" xfId="985"/>
    <cellStyle name="差_2014年聘用学校导师带教经费表 4 2" xfId="986"/>
    <cellStyle name="差_2014年聘用学校导师带教经费表 4 2 2" xfId="987"/>
    <cellStyle name="差_2014年聘用学校导师带教经费表 4 3" xfId="988"/>
    <cellStyle name="差_2014年聘用学校导师带教经费表 5" xfId="989"/>
    <cellStyle name="差_2014年聘用学校导师带教经费表 5 2" xfId="990"/>
    <cellStyle name="差_2014年聘用学校导师带教经费表 6" xfId="991"/>
    <cellStyle name="差_2014年聘用学校导师带教经费表 6 2" xfId="992"/>
    <cellStyle name="差_2014年聘用学校导师带教经费表 7" xfId="993"/>
    <cellStyle name="差_2014年终考核奖完整版-给核算中心" xfId="994"/>
    <cellStyle name="差_2014年终考核奖完整版-给核算中心 2" xfId="995"/>
    <cellStyle name="差_2014年终考核奖完整版-给核算中心 2 2" xfId="996"/>
    <cellStyle name="差_2014年终考核奖完整版-给核算中心 2 2 2" xfId="997"/>
    <cellStyle name="差_2014年终考核奖完整版-给核算中心 2 3" xfId="998"/>
    <cellStyle name="差_2014年终考核奖完整版-给核算中心 3" xfId="999"/>
    <cellStyle name="差_2014年终考核奖完整版-给核算中心 3 2" xfId="1000"/>
    <cellStyle name="差_2014年终考核奖完整版-给核算中心 4" xfId="1001"/>
    <cellStyle name="差_2014年终考核奖完整版-给核算中心 4 2" xfId="1002"/>
    <cellStyle name="差_2014年终考核奖完整版-给核算中心 5" xfId="1003"/>
    <cellStyle name="差_2014优秀学校奖励测算表" xfId="1004"/>
    <cellStyle name="差_2014优秀学校奖励测算表 2" xfId="1005"/>
    <cellStyle name="差_2014优秀学校奖励测算表 2 2" xfId="1006"/>
    <cellStyle name="差_2014优秀学校奖励测算表 2 2 2" xfId="1007"/>
    <cellStyle name="差_2014优秀学校奖励测算表 2 3" xfId="1008"/>
    <cellStyle name="差_2014优秀学校奖励测算表 3" xfId="1009"/>
    <cellStyle name="差_2014优秀学校奖励测算表 3 2" xfId="1010"/>
    <cellStyle name="差_2014优秀学校奖励测算表 4" xfId="1011"/>
    <cellStyle name="差_2014优秀学校奖励测算表 4 2" xfId="1012"/>
    <cellStyle name="差_2014优秀学校奖励测算表 5" xfId="1013"/>
    <cellStyle name="差_2015年年终奖预发表-给核算中心" xfId="1014"/>
    <cellStyle name="差_2015年年终奖预发表-给核算中心 2" xfId="1015"/>
    <cellStyle name="差_2015年年终奖预发表-给核算中心 2 2" xfId="1016"/>
    <cellStyle name="差_2015年年终奖预发表-给核算中心 2 2 2" xfId="1017"/>
    <cellStyle name="差_2015年年终奖预发表-给核算中心 2 3" xfId="1018"/>
    <cellStyle name="差_2015年年终奖预发表-给核算中心 3" xfId="1019"/>
    <cellStyle name="差_2015年年终奖预发表-给核算中心 3 2" xfId="1020"/>
    <cellStyle name="差_2015年年终奖预发表-给核算中心 4" xfId="1021"/>
    <cellStyle name="差_2015年年终奖预发表-给核算中心 4 2" xfId="1022"/>
    <cellStyle name="差_2015年年终奖预发表-给核算中心 5" xfId="1023"/>
    <cellStyle name="差_2016年3月校长职级工资（核算中心）" xfId="1024"/>
    <cellStyle name="差_2016年3月校长职级工资（核算中心） 2" xfId="1025"/>
    <cellStyle name="差_2016年3月校长职级工资（核算中心） 2 2" xfId="1026"/>
    <cellStyle name="差_2016年3月校长职级工资（核算中心） 2 2 2" xfId="1027"/>
    <cellStyle name="差_2016年3月校长职级工资（核算中心） 2 3" xfId="1028"/>
    <cellStyle name="差_2016年3月校长职级工资（核算中心） 3" xfId="1029"/>
    <cellStyle name="差_2016年3月校长职级工资（核算中心） 3 2" xfId="1030"/>
    <cellStyle name="差_2016年3月校长职级工资（核算中心） 4" xfId="1031"/>
    <cellStyle name="差_2016年3月校长职级工资（核算中心） 4 2" xfId="1032"/>
    <cellStyle name="差_2016年3月校长职级工资（核算中心） 5" xfId="1033"/>
    <cellStyle name="差_2016统计人数汇总表（完稿版）9.12" xfId="1034"/>
    <cellStyle name="差_2016统计人数汇总表（完稿版）9.12 2" xfId="1035"/>
    <cellStyle name="差_2016统计人数汇总表（完稿版）9.12 2 2" xfId="1036"/>
    <cellStyle name="差_2016统计人数汇总表（完稿版）9.12 2 2 2" xfId="1037"/>
    <cellStyle name="差_2016统计人数汇总表（完稿版）9.12 2 3" xfId="1038"/>
    <cellStyle name="差_2016统计人数汇总表（完稿版）9.12 3" xfId="1039"/>
    <cellStyle name="差_2016统计人数汇总表（完稿版）9.12 3 2" xfId="1040"/>
    <cellStyle name="差_2016统计人数汇总表（完稿版）9.12 4" xfId="1041"/>
    <cellStyle name="差_2016统计人数汇总表（完稿版）9.12 4 2" xfId="1042"/>
    <cellStyle name="差_2016统计人数汇总表（完稿版）9.12 5" xfId="1043"/>
    <cellStyle name="差_A0汇总表（报计财科：项目津贴发放）" xfId="1044"/>
    <cellStyle name="差_A0汇总表（报计财科：项目津贴发放） 2" xfId="1045"/>
    <cellStyle name="差_A0汇总表（报计财科：项目津贴发放） 2 2" xfId="1046"/>
    <cellStyle name="差_A0汇总表（报计财科：项目津贴发放） 2 2 2" xfId="1047"/>
    <cellStyle name="差_A0汇总表（报计财科：项目津贴发放） 2 3" xfId="1048"/>
    <cellStyle name="差_A0汇总表（报计财科：项目津贴发放） 3" xfId="1049"/>
    <cellStyle name="差_A0汇总表（报计财科：项目津贴发放） 3 2" xfId="1050"/>
    <cellStyle name="差_A0汇总表（报计财科：项目津贴发放） 4" xfId="1051"/>
    <cellStyle name="差_A0汇总表（报计财科：项目津贴发放） 4 2" xfId="1052"/>
    <cellStyle name="差_A0汇总表（报计财科：项目津贴发放） 5" xfId="1053"/>
    <cellStyle name="差_统筹-校长（暂估）" xfId="1054"/>
    <cellStyle name="差_统筹-校长（暂估） 2" xfId="1055"/>
    <cellStyle name="差_统筹-校长（暂估） 2 2" xfId="1056"/>
    <cellStyle name="差_统筹-校长（暂估） 2 2 2" xfId="1057"/>
    <cellStyle name="差_统筹-校长（暂估） 2 3" xfId="1058"/>
    <cellStyle name="差_统筹-校长（暂估） 3" xfId="1059"/>
    <cellStyle name="差_统筹-校长（暂估） 3 2" xfId="1060"/>
    <cellStyle name="差_统筹-校长（暂估） 4" xfId="1061"/>
    <cellStyle name="差_统筹-校长（暂估） 4 2" xfId="1062"/>
    <cellStyle name="差_统筹-校长（暂估） 5" xfId="1063"/>
    <cellStyle name="差_校长、书记2015年增量部分发放清单" xfId="1064"/>
    <cellStyle name="差_校长、书记2015年增量部分发放清单 2" xfId="1065"/>
    <cellStyle name="差_校长、书记2015年增量部分发放清单 2 2" xfId="1066"/>
    <cellStyle name="差_校长、书记2015年增量部分发放清单 2 2 2" xfId="1067"/>
    <cellStyle name="差_校长、书记2015年增量部分发放清单 2 3" xfId="1068"/>
    <cellStyle name="差_校长、书记2015年增量部分发放清单 3" xfId="1069"/>
    <cellStyle name="差_校长、书记2015年增量部分发放清单 3 2" xfId="1070"/>
    <cellStyle name="差_校长、书记2015年增量部分发放清单 4" xfId="1071"/>
    <cellStyle name="差_校长、书记2015年增量部分发放清单 4 2" xfId="1072"/>
    <cellStyle name="差_校长、书记2015年增量部分发放清单 5" xfId="1073"/>
    <cellStyle name="差_校长职级、亚信会奖励、教师节奖励镇管" xfId="1074"/>
    <cellStyle name="差_校长职级、亚信会奖励、教师节奖励镇管 2" xfId="1075"/>
    <cellStyle name="差_校长职级、亚信会奖励、教师节奖励镇管 2 2" xfId="1076"/>
    <cellStyle name="差_校长职级、亚信会奖励、教师节奖励镇管 2 2 2" xfId="1077"/>
    <cellStyle name="差_校长职级、亚信会奖励、教师节奖励镇管 2 3" xfId="1078"/>
    <cellStyle name="差_校长职级、亚信会奖励、教师节奖励镇管 3" xfId="1079"/>
    <cellStyle name="差_校长职级、亚信会奖励、教师节奖励镇管 3 2" xfId="1080"/>
    <cellStyle name="差_校长职级、亚信会奖励、教师节奖励镇管 4" xfId="1081"/>
    <cellStyle name="差_校长职级、亚信会奖励、教师节奖励镇管 4 2" xfId="1082"/>
    <cellStyle name="差_校长职级、亚信会奖励、教师节奖励镇管 5" xfId="1083"/>
    <cellStyle name="差_镇管汇总" xfId="1084"/>
    <cellStyle name="差_镇管汇总 2" xfId="1085"/>
    <cellStyle name="差_镇管汇总 2 2" xfId="1086"/>
    <cellStyle name="差_镇管汇总 2 2 2" xfId="1087"/>
    <cellStyle name="差_镇管汇总 2 3" xfId="1088"/>
    <cellStyle name="差_镇管汇总 3" xfId="1089"/>
    <cellStyle name="差_镇管汇总 3 2" xfId="1090"/>
    <cellStyle name="差_镇管汇总 4" xfId="1091"/>
    <cellStyle name="差_镇管汇总 4 2" xfId="1092"/>
    <cellStyle name="差_镇管汇总 5" xfId="1093"/>
    <cellStyle name="常规" xfId="0" builtinId="0"/>
    <cellStyle name="常规 10" xfId="1094"/>
    <cellStyle name="常规 10 2" xfId="1095"/>
    <cellStyle name="常规 10 2 2" xfId="1096"/>
    <cellStyle name="常规 10 3" xfId="1097"/>
    <cellStyle name="常规 10 4" xfId="1098"/>
    <cellStyle name="常规 100" xfId="1"/>
    <cellStyle name="常规 107" xfId="2000"/>
    <cellStyle name="常规 11" xfId="1099"/>
    <cellStyle name="常规 11 2" xfId="1100"/>
    <cellStyle name="常规 11 2 2" xfId="1101"/>
    <cellStyle name="常规 11 3" xfId="1102"/>
    <cellStyle name="常规 11 4" xfId="1103"/>
    <cellStyle name="常规 11 9" xfId="2003"/>
    <cellStyle name="常规 111" xfId="2006"/>
    <cellStyle name="常规 12" xfId="1104"/>
    <cellStyle name="常规 12 2" xfId="1105"/>
    <cellStyle name="常规 12 2 2" xfId="1106"/>
    <cellStyle name="常规 12 3" xfId="1107"/>
    <cellStyle name="常规 12 4" xfId="1108"/>
    <cellStyle name="常规 13" xfId="1109"/>
    <cellStyle name="常规 13 2" xfId="1110"/>
    <cellStyle name="常规 14" xfId="1111"/>
    <cellStyle name="常规 14 2" xfId="1112"/>
    <cellStyle name="常规 15" xfId="1113"/>
    <cellStyle name="常规 15 2" xfId="1114"/>
    <cellStyle name="常规 16" xfId="1115"/>
    <cellStyle name="常规 16 2" xfId="1116"/>
    <cellStyle name="常规 17" xfId="1117"/>
    <cellStyle name="常规 17 2" xfId="1118"/>
    <cellStyle name="常规 172" xfId="2008"/>
    <cellStyle name="常规 18" xfId="1119"/>
    <cellStyle name="常规 18 2" xfId="1120"/>
    <cellStyle name="常规 19" xfId="1121"/>
    <cellStyle name="常规 19 2" xfId="1122"/>
    <cellStyle name="常规 2" xfId="1123"/>
    <cellStyle name="常规 2 10" xfId="1124"/>
    <cellStyle name="常规 2 10 2" xfId="1125"/>
    <cellStyle name="常规 2 11" xfId="1126"/>
    <cellStyle name="常规 2 11 2" xfId="1127"/>
    <cellStyle name="常规 2 12" xfId="1128"/>
    <cellStyle name="常规 2 2" xfId="1129"/>
    <cellStyle name="常规 2 2 2" xfId="1130"/>
    <cellStyle name="常规 2 2 2 2" xfId="1131"/>
    <cellStyle name="常规 2 2 2 2 2" xfId="1132"/>
    <cellStyle name="常规 2 2 2 2 2 2" xfId="1133"/>
    <cellStyle name="常规 2 2 2 2 3" xfId="1134"/>
    <cellStyle name="常规 2 2 2 3" xfId="1135"/>
    <cellStyle name="常规 2 2 2 3 2" xfId="1136"/>
    <cellStyle name="常规 2 2 2 4" xfId="1137"/>
    <cellStyle name="常规 2 2 3" xfId="1138"/>
    <cellStyle name="常规 2 2 3 2" xfId="1139"/>
    <cellStyle name="常规 2 2 3 2 2" xfId="1140"/>
    <cellStyle name="常规 2 2 3 3" xfId="1141"/>
    <cellStyle name="常规 2 2 4" xfId="1142"/>
    <cellStyle name="常规 2 2 4 2" xfId="1143"/>
    <cellStyle name="常规 2 2 4 2 2" xfId="1144"/>
    <cellStyle name="常规 2 2 4 3" xfId="1145"/>
    <cellStyle name="常规 2 2 5" xfId="1146"/>
    <cellStyle name="常规 2 2 5 2" xfId="1147"/>
    <cellStyle name="常规 2 2 6" xfId="1148"/>
    <cellStyle name="常规 2 24" xfId="2002"/>
    <cellStyle name="常规 2 3" xfId="1149"/>
    <cellStyle name="常规 2 3 2" xfId="1150"/>
    <cellStyle name="常规 2 3 2 2" xfId="1151"/>
    <cellStyle name="常规 2 3 2 2 2" xfId="1152"/>
    <cellStyle name="常规 2 3 2 3" xfId="1153"/>
    <cellStyle name="常规 2 3 3" xfId="1154"/>
    <cellStyle name="常规 2 3 3 2" xfId="1155"/>
    <cellStyle name="常规 2 3 4" xfId="1156"/>
    <cellStyle name="常规 2 3 4 2" xfId="1157"/>
    <cellStyle name="常规 2 4" xfId="1158"/>
    <cellStyle name="常规 2 4 2" xfId="1159"/>
    <cellStyle name="常规 2 4 2 2" xfId="1160"/>
    <cellStyle name="常规 2 4 2 2 2" xfId="1161"/>
    <cellStyle name="常规 2 4 2 3" xfId="1162"/>
    <cellStyle name="常规 2 4 3" xfId="1163"/>
    <cellStyle name="常规 2 4 3 2" xfId="1164"/>
    <cellStyle name="常规 2 4 4" xfId="1165"/>
    <cellStyle name="常规 2 5" xfId="1166"/>
    <cellStyle name="常规 2 5 2" xfId="1167"/>
    <cellStyle name="常规 2 5 2 2" xfId="1168"/>
    <cellStyle name="常规 2 5 3" xfId="1169"/>
    <cellStyle name="常规 2 6" xfId="1170"/>
    <cellStyle name="常规 2 6 2" xfId="1171"/>
    <cellStyle name="常规 2 7" xfId="1172"/>
    <cellStyle name="常规 2 8" xfId="1173"/>
    <cellStyle name="常规 2 8 2" xfId="1174"/>
    <cellStyle name="常规 2 8 2 2" xfId="1175"/>
    <cellStyle name="常规 2 8 3" xfId="1176"/>
    <cellStyle name="常规 2 9" xfId="1177"/>
    <cellStyle name="常规 2 9 2" xfId="1178"/>
    <cellStyle name="常规 2 9 2 2" xfId="1179"/>
    <cellStyle name="常规 2 9 3" xfId="1180"/>
    <cellStyle name="常规 2_统筹-校长（暂估）" xfId="1181"/>
    <cellStyle name="常规 20" xfId="1182"/>
    <cellStyle name="常规 21" xfId="1183"/>
    <cellStyle name="常规 21 2" xfId="1184"/>
    <cellStyle name="常规 22" xfId="1185"/>
    <cellStyle name="常规 23" xfId="1186"/>
    <cellStyle name="常规 23 2" xfId="1187"/>
    <cellStyle name="常规 24" xfId="1188"/>
    <cellStyle name="常规 25" xfId="1189"/>
    <cellStyle name="常规 25 2" xfId="1190"/>
    <cellStyle name="常规 26" xfId="1191"/>
    <cellStyle name="常规 26 2" xfId="1192"/>
    <cellStyle name="常规 27" xfId="1193"/>
    <cellStyle name="常规 27 2" xfId="1194"/>
    <cellStyle name="常规 28" xfId="1195"/>
    <cellStyle name="常规 28 2" xfId="1196"/>
    <cellStyle name="常规 29" xfId="1197"/>
    <cellStyle name="常规 29 2" xfId="1198"/>
    <cellStyle name="常规 292 2" xfId="2001"/>
    <cellStyle name="常规 293" xfId="2005"/>
    <cellStyle name="常规 3" xfId="1199"/>
    <cellStyle name="常规 3 2" xfId="1200"/>
    <cellStyle name="常规 3 2 2" xfId="1201"/>
    <cellStyle name="常规 3 2 2 2" xfId="1202"/>
    <cellStyle name="常规 3 2 2 2 2" xfId="1203"/>
    <cellStyle name="常规 3 2 2 3" xfId="1204"/>
    <cellStyle name="常规 3 2 3" xfId="1205"/>
    <cellStyle name="常规 3 2 3 2" xfId="1206"/>
    <cellStyle name="常规 3 2 4" xfId="1207"/>
    <cellStyle name="常规 3 2 4 2" xfId="1208"/>
    <cellStyle name="常规 3 2 5" xfId="1209"/>
    <cellStyle name="常规 3 2 5 2" xfId="1210"/>
    <cellStyle name="常规 3 2 6" xfId="1211"/>
    <cellStyle name="常规 3 2 7" xfId="1212"/>
    <cellStyle name="常规 3 3" xfId="1213"/>
    <cellStyle name="常规 3 3 2" xfId="1214"/>
    <cellStyle name="常规 3 3 2 2" xfId="1215"/>
    <cellStyle name="常规 3 3 2 2 2" xfId="1216"/>
    <cellStyle name="常规 3 3 2 3" xfId="1217"/>
    <cellStyle name="常规 3 3 3" xfId="1218"/>
    <cellStyle name="常规 3 3 3 2" xfId="1219"/>
    <cellStyle name="常规 3 3 4" xfId="1220"/>
    <cellStyle name="常规 3 3 4 2" xfId="1221"/>
    <cellStyle name="常规 3 3 5" xfId="1222"/>
    <cellStyle name="常规 3 3 5 2" xfId="1223"/>
    <cellStyle name="常规 3 3 6" xfId="1224"/>
    <cellStyle name="常规 3 4" xfId="1225"/>
    <cellStyle name="常规 3 4 2" xfId="1226"/>
    <cellStyle name="常规 3 4 2 2" xfId="1227"/>
    <cellStyle name="常规 3 4 2 2 2" xfId="1228"/>
    <cellStyle name="常规 3 4 2 3" xfId="1229"/>
    <cellStyle name="常规 3 4 3" xfId="1230"/>
    <cellStyle name="常规 3 4 3 2" xfId="1231"/>
    <cellStyle name="常规 3 4 4" xfId="1232"/>
    <cellStyle name="常规 3 4 4 2" xfId="1233"/>
    <cellStyle name="常规 3 4 9" xfId="2004"/>
    <cellStyle name="常规 3 5" xfId="1234"/>
    <cellStyle name="常规 3 5 2" xfId="1235"/>
    <cellStyle name="常规 3 5 2 2" xfId="1236"/>
    <cellStyle name="常规 3 5 3" xfId="1237"/>
    <cellStyle name="常规 3 6" xfId="1238"/>
    <cellStyle name="常规 3 7" xfId="1239"/>
    <cellStyle name="常规 3 7 2" xfId="1240"/>
    <cellStyle name="常规 3 7 2 2" xfId="1241"/>
    <cellStyle name="常规 3 7 3" xfId="1242"/>
    <cellStyle name="常规 3 8" xfId="1243"/>
    <cellStyle name="常规 3 8 2" xfId="1244"/>
    <cellStyle name="常规 3 9" xfId="1245"/>
    <cellStyle name="常规 3_统筹-校长（暂估）" xfId="1246"/>
    <cellStyle name="常规 30" xfId="1247"/>
    <cellStyle name="常规 30 2" xfId="1248"/>
    <cellStyle name="常规 31" xfId="1249"/>
    <cellStyle name="常规 31 2" xfId="1250"/>
    <cellStyle name="常规 32" xfId="1251"/>
    <cellStyle name="常规 32 2" xfId="1252"/>
    <cellStyle name="常规 33" xfId="1253"/>
    <cellStyle name="常规 33 2" xfId="1254"/>
    <cellStyle name="常规 34" xfId="1255"/>
    <cellStyle name="常规 34 2" xfId="1256"/>
    <cellStyle name="常规 35" xfId="1257"/>
    <cellStyle name="常规 35 2" xfId="1258"/>
    <cellStyle name="常规 36" xfId="1259"/>
    <cellStyle name="常规 36 2" xfId="1260"/>
    <cellStyle name="常规 37" xfId="1261"/>
    <cellStyle name="常规 37 2" xfId="1262"/>
    <cellStyle name="常规 38" xfId="1263"/>
    <cellStyle name="常规 38 2" xfId="1264"/>
    <cellStyle name="常规 39" xfId="1265"/>
    <cellStyle name="常规 39 2" xfId="1266"/>
    <cellStyle name="常规 4" xfId="1267"/>
    <cellStyle name="常规 4 2" xfId="1268"/>
    <cellStyle name="常规 4 2 2" xfId="1269"/>
    <cellStyle name="常规 4 2 2 2" xfId="1270"/>
    <cellStyle name="常规 4 2 3" xfId="1271"/>
    <cellStyle name="常规 4 3" xfId="1272"/>
    <cellStyle name="常规 4 3 2" xfId="1273"/>
    <cellStyle name="常规 4 4" xfId="1274"/>
    <cellStyle name="常规 4 4 2" xfId="1275"/>
    <cellStyle name="常规 4 5" xfId="1276"/>
    <cellStyle name="常规 4 5 2" xfId="1277"/>
    <cellStyle name="常规 4 6" xfId="1278"/>
    <cellStyle name="常规 4 6 2" xfId="1279"/>
    <cellStyle name="常规 4 7" xfId="1280"/>
    <cellStyle name="常规 4 8" xfId="1281"/>
    <cellStyle name="常规 40" xfId="1282"/>
    <cellStyle name="常规 40 2" xfId="1283"/>
    <cellStyle name="常规 41" xfId="1284"/>
    <cellStyle name="常规 41 2" xfId="1285"/>
    <cellStyle name="常规 42" xfId="1286"/>
    <cellStyle name="常规 42 2" xfId="1287"/>
    <cellStyle name="常规 43" xfId="1288"/>
    <cellStyle name="常规 43 2" xfId="1289"/>
    <cellStyle name="常规 44" xfId="1290"/>
    <cellStyle name="常规 44 2" xfId="1291"/>
    <cellStyle name="常规 45" xfId="1292"/>
    <cellStyle name="常规 45 2" xfId="1293"/>
    <cellStyle name="常规 46" xfId="1294"/>
    <cellStyle name="常规 46 2" xfId="1295"/>
    <cellStyle name="常规 47" xfId="1296"/>
    <cellStyle name="常规 47 2" xfId="1297"/>
    <cellStyle name="常规 48" xfId="1298"/>
    <cellStyle name="常规 48 2" xfId="1299"/>
    <cellStyle name="常规 49" xfId="1300"/>
    <cellStyle name="常规 49 2" xfId="1301"/>
    <cellStyle name="常规 5" xfId="1302"/>
    <cellStyle name="常规 5 2" xfId="1303"/>
    <cellStyle name="常规 5 2 2" xfId="1304"/>
    <cellStyle name="常规 5 2 2 2" xfId="1305"/>
    <cellStyle name="常规 5 2 3" xfId="1306"/>
    <cellStyle name="常规 5 3" xfId="1307"/>
    <cellStyle name="常规 5 3 2" xfId="1308"/>
    <cellStyle name="常规 5 4" xfId="1309"/>
    <cellStyle name="常规 5 4 2" xfId="1310"/>
    <cellStyle name="常规 5 5" xfId="1311"/>
    <cellStyle name="常规 5 5 2" xfId="1312"/>
    <cellStyle name="常规 5 6" xfId="1313"/>
    <cellStyle name="常规 50" xfId="1314"/>
    <cellStyle name="常规 50 2" xfId="1315"/>
    <cellStyle name="常规 51" xfId="1316"/>
    <cellStyle name="常规 51 2" xfId="1317"/>
    <cellStyle name="常规 52" xfId="1318"/>
    <cellStyle name="常规 52 2" xfId="1319"/>
    <cellStyle name="常规 53" xfId="1320"/>
    <cellStyle name="常规 53 2" xfId="1321"/>
    <cellStyle name="常规 54" xfId="1322"/>
    <cellStyle name="常规 54 2" xfId="1323"/>
    <cellStyle name="常规 55" xfId="1324"/>
    <cellStyle name="常规 55 2" xfId="1325"/>
    <cellStyle name="常规 56" xfId="1326"/>
    <cellStyle name="常规 56 2" xfId="1327"/>
    <cellStyle name="常规 57" xfId="1328"/>
    <cellStyle name="常规 57 2" xfId="1329"/>
    <cellStyle name="常规 58" xfId="1330"/>
    <cellStyle name="常规 58 2" xfId="1331"/>
    <cellStyle name="常规 59" xfId="1332"/>
    <cellStyle name="常规 59 2" xfId="1333"/>
    <cellStyle name="常规 6" xfId="1334"/>
    <cellStyle name="常规 6 2" xfId="1335"/>
    <cellStyle name="常规 6 2 2" xfId="1336"/>
    <cellStyle name="常规 6 2 2 2" xfId="1337"/>
    <cellStyle name="常规 6 2 3" xfId="1338"/>
    <cellStyle name="常规 6 3" xfId="1339"/>
    <cellStyle name="常规 6 3 2" xfId="1340"/>
    <cellStyle name="常规 6 4" xfId="1341"/>
    <cellStyle name="常规 6 4 2" xfId="1342"/>
    <cellStyle name="常规 6 5" xfId="1343"/>
    <cellStyle name="常规 6 5 2" xfId="1344"/>
    <cellStyle name="常规 6 6" xfId="1345"/>
    <cellStyle name="常规 60" xfId="1346"/>
    <cellStyle name="常规 60 2" xfId="1347"/>
    <cellStyle name="常规 61" xfId="1348"/>
    <cellStyle name="常规 61 2" xfId="1349"/>
    <cellStyle name="常规 62" xfId="1350"/>
    <cellStyle name="常规 62 2" xfId="1351"/>
    <cellStyle name="常规 63" xfId="1352"/>
    <cellStyle name="常规 63 2" xfId="1353"/>
    <cellStyle name="常规 64" xfId="1354"/>
    <cellStyle name="常规 64 2" xfId="1355"/>
    <cellStyle name="常规 65" xfId="1356"/>
    <cellStyle name="常规 66" xfId="1357"/>
    <cellStyle name="常规 67" xfId="1358"/>
    <cellStyle name="常规 68" xfId="1359"/>
    <cellStyle name="常规 69" xfId="1360"/>
    <cellStyle name="常规 7" xfId="1361"/>
    <cellStyle name="常规 7 2" xfId="1362"/>
    <cellStyle name="常规 7 2 2" xfId="1363"/>
    <cellStyle name="常规 7 2 2 2" xfId="1364"/>
    <cellStyle name="常规 7 2 3" xfId="1365"/>
    <cellStyle name="常规 7 3" xfId="1366"/>
    <cellStyle name="常规 7 3 2" xfId="1367"/>
    <cellStyle name="常规 7 4" xfId="1368"/>
    <cellStyle name="常规 7 4 2" xfId="1369"/>
    <cellStyle name="常规 7 5" xfId="1370"/>
    <cellStyle name="常规 7 5 2" xfId="1371"/>
    <cellStyle name="常规 7 6" xfId="1372"/>
    <cellStyle name="常规 70" xfId="1373"/>
    <cellStyle name="常规 71" xfId="1374"/>
    <cellStyle name="常规 72" xfId="1375"/>
    <cellStyle name="常规 73" xfId="1376"/>
    <cellStyle name="常规 74" xfId="1377"/>
    <cellStyle name="常规 75" xfId="1378"/>
    <cellStyle name="常规 76" xfId="1379"/>
    <cellStyle name="常规 77" xfId="1380"/>
    <cellStyle name="常规 78" xfId="1381"/>
    <cellStyle name="常规 79" xfId="1382"/>
    <cellStyle name="常规 8" xfId="1383"/>
    <cellStyle name="常规 8 2" xfId="1384"/>
    <cellStyle name="常规 8 2 2" xfId="1385"/>
    <cellStyle name="常规 8 2 2 2" xfId="1386"/>
    <cellStyle name="常规 8 2 3" xfId="1387"/>
    <cellStyle name="常规 8 3" xfId="1388"/>
    <cellStyle name="常规 8 3 2" xfId="1389"/>
    <cellStyle name="常规 8 4" xfId="1390"/>
    <cellStyle name="常规 8 4 2" xfId="1391"/>
    <cellStyle name="常规 8 5" xfId="1392"/>
    <cellStyle name="常规 8 5 2" xfId="1393"/>
    <cellStyle name="常规 8 6" xfId="1394"/>
    <cellStyle name="常规 80" xfId="1395"/>
    <cellStyle name="常规 81" xfId="1396"/>
    <cellStyle name="常规 82" xfId="1397"/>
    <cellStyle name="常规 83" xfId="1398"/>
    <cellStyle name="常规 84" xfId="1399"/>
    <cellStyle name="常规 85" xfId="1400"/>
    <cellStyle name="常规 86" xfId="1401"/>
    <cellStyle name="常规 87" xfId="1402"/>
    <cellStyle name="常规 88" xfId="1403"/>
    <cellStyle name="常规 89" xfId="1404"/>
    <cellStyle name="常规 9" xfId="1405"/>
    <cellStyle name="常规 9 2" xfId="1406"/>
    <cellStyle name="常规 9 2 2" xfId="1407"/>
    <cellStyle name="常规 9 2 2 2" xfId="1408"/>
    <cellStyle name="常规 9 2 2 2 2" xfId="1409"/>
    <cellStyle name="常规 9 2 2 3" xfId="1410"/>
    <cellStyle name="常规 9 2 3" xfId="1411"/>
    <cellStyle name="常规 9 2 3 2" xfId="1412"/>
    <cellStyle name="常规 9 2 4" xfId="1413"/>
    <cellStyle name="常规 9 3" xfId="1414"/>
    <cellStyle name="常规 9 3 2" xfId="1415"/>
    <cellStyle name="常规 9 3 2 2" xfId="1416"/>
    <cellStyle name="常规 9 3 3" xfId="1417"/>
    <cellStyle name="常规 9 4" xfId="1418"/>
    <cellStyle name="常规 9 4 2" xfId="1419"/>
    <cellStyle name="常规 9 4 2 2" xfId="1420"/>
    <cellStyle name="常规 9 4 3" xfId="1421"/>
    <cellStyle name="常规 9 5" xfId="1422"/>
    <cellStyle name="常规 9 5 2" xfId="1423"/>
    <cellStyle name="常规 9 6" xfId="1424"/>
    <cellStyle name="常规 90" xfId="1425"/>
    <cellStyle name="常规 91" xfId="1426"/>
    <cellStyle name="常规 92" xfId="1427"/>
    <cellStyle name="常规 93" xfId="1428"/>
    <cellStyle name="常规 94" xfId="1429"/>
    <cellStyle name="常规 95" xfId="1430"/>
    <cellStyle name="常规 96" xfId="1431"/>
    <cellStyle name="常规 97" xfId="1432"/>
    <cellStyle name="常规 98" xfId="1433"/>
    <cellStyle name="常规 99" xfId="1434"/>
    <cellStyle name="超链接 2" xfId="1435"/>
    <cellStyle name="好 2" xfId="1436"/>
    <cellStyle name="好 2 2" xfId="1437"/>
    <cellStyle name="好 2 2 2" xfId="1438"/>
    <cellStyle name="好 2 3" xfId="1439"/>
    <cellStyle name="好 3" xfId="1440"/>
    <cellStyle name="好 3 2" xfId="1441"/>
    <cellStyle name="好 3 2 2" xfId="1442"/>
    <cellStyle name="好 3 3" xfId="1443"/>
    <cellStyle name="好 4" xfId="1444"/>
    <cellStyle name="好 4 2" xfId="1445"/>
    <cellStyle name="好 4 2 2" xfId="1446"/>
    <cellStyle name="好 4 3" xfId="1447"/>
    <cellStyle name="好 5" xfId="1448"/>
    <cellStyle name="好 5 2" xfId="1449"/>
    <cellStyle name="好 6" xfId="1450"/>
    <cellStyle name="好 6 2" xfId="1451"/>
    <cellStyle name="好 7" xfId="1452"/>
    <cellStyle name="好 7 2" xfId="1453"/>
    <cellStyle name="好 8" xfId="1454"/>
    <cellStyle name="好_2013见习培训经费表下半年(chen)2014年9月" xfId="1455"/>
    <cellStyle name="好_2013见习培训经费表下半年(chen)2014年9月 2" xfId="1456"/>
    <cellStyle name="好_2013见习培训经费表下半年(chen)2014年9月 2 2" xfId="1457"/>
    <cellStyle name="好_2013见习培训经费表下半年(chen)2014年9月 2 2 2" xfId="1458"/>
    <cellStyle name="好_2013见习培训经费表下半年(chen)2014年9月 2 3" xfId="1459"/>
    <cellStyle name="好_2013见习培训经费表下半年(chen)2014年9月 3" xfId="1460"/>
    <cellStyle name="好_2013见习培训经费表下半年(chen)2014年9月 3 2" xfId="1461"/>
    <cellStyle name="好_2013见习培训经费表下半年(chen)2014年9月 4" xfId="1462"/>
    <cellStyle name="好_2013见习培训经费表下半年(chen)2014年9月 4 2" xfId="1463"/>
    <cellStyle name="好_2013见习培训经费表下半年(chen)2014年9月 5" xfId="1464"/>
    <cellStyle name="好_2014年聘用学校导师带教经费表" xfId="1465"/>
    <cellStyle name="好_2014年聘用学校导师带教经费表 2" xfId="1466"/>
    <cellStyle name="好_2014年聘用学校导师带教经费表 2 2" xfId="1467"/>
    <cellStyle name="好_2014年聘用学校导师带教经费表 2 2 2" xfId="1468"/>
    <cellStyle name="好_2014年聘用学校导师带教经费表 2 3" xfId="1469"/>
    <cellStyle name="好_2014年聘用学校导师带教经费表 3" xfId="1470"/>
    <cellStyle name="好_2014年聘用学校导师带教经费表 3 2" xfId="1471"/>
    <cellStyle name="好_2014年聘用学校导师带教经费表 3 2 2" xfId="1472"/>
    <cellStyle name="好_2014年聘用学校导师带教经费表 3 3" xfId="1473"/>
    <cellStyle name="好_2014年聘用学校导师带教经费表 4" xfId="1474"/>
    <cellStyle name="好_2014年聘用学校导师带教经费表 4 2" xfId="1475"/>
    <cellStyle name="好_2014年聘用学校导师带教经费表 4 2 2" xfId="1476"/>
    <cellStyle name="好_2014年聘用学校导师带教经费表 4 3" xfId="1477"/>
    <cellStyle name="好_2014年聘用学校导师带教经费表 5" xfId="1478"/>
    <cellStyle name="好_2014年聘用学校导师带教经费表 5 2" xfId="1479"/>
    <cellStyle name="好_2014年聘用学校导师带教经费表 6" xfId="1480"/>
    <cellStyle name="好_2014年聘用学校导师带教经费表 6 2" xfId="1481"/>
    <cellStyle name="好_2014年聘用学校导师带教经费表 7" xfId="1482"/>
    <cellStyle name="好_2014年终考核奖完整版-给核算中心" xfId="1483"/>
    <cellStyle name="好_2014年终考核奖完整版-给核算中心 2" xfId="1484"/>
    <cellStyle name="好_2014年终考核奖完整版-给核算中心 2 2" xfId="1485"/>
    <cellStyle name="好_2014年终考核奖完整版-给核算中心 2 2 2" xfId="1486"/>
    <cellStyle name="好_2014年终考核奖完整版-给核算中心 2 3" xfId="1487"/>
    <cellStyle name="好_2014年终考核奖完整版-给核算中心 3" xfId="1488"/>
    <cellStyle name="好_2014年终考核奖完整版-给核算中心 3 2" xfId="1489"/>
    <cellStyle name="好_2014年终考核奖完整版-给核算中心 4" xfId="1490"/>
    <cellStyle name="好_2014年终考核奖完整版-给核算中心 4 2" xfId="1491"/>
    <cellStyle name="好_2014年终考核奖完整版-给核算中心 5" xfId="1492"/>
    <cellStyle name="好_2014优秀学校奖励测算表" xfId="1493"/>
    <cellStyle name="好_2014优秀学校奖励测算表 2" xfId="1494"/>
    <cellStyle name="好_2014优秀学校奖励测算表 2 2" xfId="1495"/>
    <cellStyle name="好_2014优秀学校奖励测算表 2 2 2" xfId="1496"/>
    <cellStyle name="好_2014优秀学校奖励测算表 2 3" xfId="1497"/>
    <cellStyle name="好_2014优秀学校奖励测算表 3" xfId="1498"/>
    <cellStyle name="好_2014优秀学校奖励测算表 3 2" xfId="1499"/>
    <cellStyle name="好_2014优秀学校奖励测算表 4" xfId="1500"/>
    <cellStyle name="好_2014优秀学校奖励测算表 4 2" xfId="1501"/>
    <cellStyle name="好_2014优秀学校奖励测算表 5" xfId="1502"/>
    <cellStyle name="好_2015年年终奖预发表-给核算中心" xfId="1503"/>
    <cellStyle name="好_2015年年终奖预发表-给核算中心 2" xfId="1504"/>
    <cellStyle name="好_2015年年终奖预发表-给核算中心 2 2" xfId="1505"/>
    <cellStyle name="好_2015年年终奖预发表-给核算中心 2 2 2" xfId="1506"/>
    <cellStyle name="好_2015年年终奖预发表-给核算中心 2 3" xfId="1507"/>
    <cellStyle name="好_2015年年终奖预发表-给核算中心 3" xfId="1508"/>
    <cellStyle name="好_2015年年终奖预发表-给核算中心 3 2" xfId="1509"/>
    <cellStyle name="好_2015年年终奖预发表-给核算中心 4" xfId="1510"/>
    <cellStyle name="好_2015年年终奖预发表-给核算中心 4 2" xfId="1511"/>
    <cellStyle name="好_2015年年终奖预发表-给核算中心 5" xfId="1512"/>
    <cellStyle name="好_2016年3月校长职级工资（核算中心）" xfId="1513"/>
    <cellStyle name="好_2016年3月校长职级工资（核算中心） 2" xfId="1514"/>
    <cellStyle name="好_2016年3月校长职级工资（核算中心） 2 2" xfId="1515"/>
    <cellStyle name="好_2016年3月校长职级工资（核算中心） 2 2 2" xfId="1516"/>
    <cellStyle name="好_2016年3月校长职级工资（核算中心） 2 3" xfId="1517"/>
    <cellStyle name="好_2016年3月校长职级工资（核算中心） 3" xfId="1518"/>
    <cellStyle name="好_2016年3月校长职级工资（核算中心） 3 2" xfId="1519"/>
    <cellStyle name="好_2016年3月校长职级工资（核算中心） 4" xfId="1520"/>
    <cellStyle name="好_2016年3月校长职级工资（核算中心） 4 2" xfId="1521"/>
    <cellStyle name="好_2016年3月校长职级工资（核算中心） 5" xfId="1522"/>
    <cellStyle name="好_A0汇总表（报计财科：项目津贴发放）" xfId="1523"/>
    <cellStyle name="好_A0汇总表（报计财科：项目津贴发放） 2" xfId="1524"/>
    <cellStyle name="好_A0汇总表（报计财科：项目津贴发放） 2 2" xfId="1525"/>
    <cellStyle name="好_A0汇总表（报计财科：项目津贴发放） 2 2 2" xfId="1526"/>
    <cellStyle name="好_A0汇总表（报计财科：项目津贴发放） 2 3" xfId="1527"/>
    <cellStyle name="好_A0汇总表（报计财科：项目津贴发放） 3" xfId="1528"/>
    <cellStyle name="好_A0汇总表（报计财科：项目津贴发放） 3 2" xfId="1529"/>
    <cellStyle name="好_A0汇总表（报计财科：项目津贴发放） 4" xfId="1530"/>
    <cellStyle name="好_A0汇总表（报计财科：项目津贴发放） 4 2" xfId="1531"/>
    <cellStyle name="好_A0汇总表（报计财科：项目津贴发放） 5" xfId="1532"/>
    <cellStyle name="好_统筹-校长（暂估）" xfId="1533"/>
    <cellStyle name="好_统筹-校长（暂估） 2" xfId="1534"/>
    <cellStyle name="好_统筹-校长（暂估） 2 2" xfId="1535"/>
    <cellStyle name="好_统筹-校长（暂估） 2 2 2" xfId="1536"/>
    <cellStyle name="好_统筹-校长（暂估） 2 3" xfId="1537"/>
    <cellStyle name="好_统筹-校长（暂估） 3" xfId="1538"/>
    <cellStyle name="好_统筹-校长（暂估） 3 2" xfId="1539"/>
    <cellStyle name="好_统筹-校长（暂估） 4" xfId="1540"/>
    <cellStyle name="好_统筹-校长（暂估） 4 2" xfId="1541"/>
    <cellStyle name="好_统筹-校长（暂估） 5" xfId="1542"/>
    <cellStyle name="好_校长、书记2015年增量部分发放清单" xfId="1543"/>
    <cellStyle name="好_校长、书记2015年增量部分发放清单 2" xfId="1544"/>
    <cellStyle name="好_校长、书记2015年增量部分发放清单 2 2" xfId="1545"/>
    <cellStyle name="好_校长、书记2015年增量部分发放清单 2 2 2" xfId="1546"/>
    <cellStyle name="好_校长、书记2015年增量部分发放清单 2 3" xfId="1547"/>
    <cellStyle name="好_校长、书记2015年增量部分发放清单 3" xfId="1548"/>
    <cellStyle name="好_校长、书记2015年增量部分发放清单 3 2" xfId="1549"/>
    <cellStyle name="好_校长、书记2015年增量部分发放清单 4" xfId="1550"/>
    <cellStyle name="好_校长、书记2015年增量部分发放清单 4 2" xfId="1551"/>
    <cellStyle name="好_校长、书记2015年增量部分发放清单 5" xfId="1552"/>
    <cellStyle name="好_校长职级、亚信会奖励、教师节奖励镇管" xfId="1553"/>
    <cellStyle name="好_校长职级、亚信会奖励、教师节奖励镇管 2" xfId="1554"/>
    <cellStyle name="好_校长职级、亚信会奖励、教师节奖励镇管 2 2" xfId="1555"/>
    <cellStyle name="好_校长职级、亚信会奖励、教师节奖励镇管 2 2 2" xfId="1556"/>
    <cellStyle name="好_校长职级、亚信会奖励、教师节奖励镇管 2 3" xfId="1557"/>
    <cellStyle name="好_校长职级、亚信会奖励、教师节奖励镇管 3" xfId="1558"/>
    <cellStyle name="好_校长职级、亚信会奖励、教师节奖励镇管 3 2" xfId="1559"/>
    <cellStyle name="好_校长职级、亚信会奖励、教师节奖励镇管 4" xfId="1560"/>
    <cellStyle name="好_校长职级、亚信会奖励、教师节奖励镇管 4 2" xfId="1561"/>
    <cellStyle name="好_校长职级、亚信会奖励、教师节奖励镇管 5" xfId="1562"/>
    <cellStyle name="好_镇管汇总" xfId="1563"/>
    <cellStyle name="好_镇管汇总 2" xfId="1564"/>
    <cellStyle name="好_镇管汇总 2 2" xfId="1565"/>
    <cellStyle name="好_镇管汇总 2 2 2" xfId="1566"/>
    <cellStyle name="好_镇管汇总 2 3" xfId="1567"/>
    <cellStyle name="好_镇管汇总 3" xfId="1568"/>
    <cellStyle name="好_镇管汇总 3 2" xfId="1569"/>
    <cellStyle name="好_镇管汇总 4" xfId="1570"/>
    <cellStyle name="好_镇管汇总 4 2" xfId="1571"/>
    <cellStyle name="好_镇管汇总 5" xfId="1572"/>
    <cellStyle name="汇总 2" xfId="1573"/>
    <cellStyle name="汇总 2 2" xfId="1574"/>
    <cellStyle name="汇总 2 2 2" xfId="1575"/>
    <cellStyle name="汇总 2 3" xfId="1576"/>
    <cellStyle name="汇总 3" xfId="1577"/>
    <cellStyle name="汇总 3 2" xfId="1578"/>
    <cellStyle name="汇总 3 2 2" xfId="1579"/>
    <cellStyle name="汇总 3 3" xfId="1580"/>
    <cellStyle name="汇总 4" xfId="1581"/>
    <cellStyle name="汇总 4 2" xfId="1582"/>
    <cellStyle name="汇总 4 2 2" xfId="1583"/>
    <cellStyle name="汇总 4 3" xfId="1584"/>
    <cellStyle name="汇总 5" xfId="1585"/>
    <cellStyle name="汇总 5 2" xfId="1586"/>
    <cellStyle name="汇总 6" xfId="1587"/>
    <cellStyle name="汇总 6 2" xfId="1588"/>
    <cellStyle name="计算 2" xfId="1589"/>
    <cellStyle name="计算 2 2" xfId="1590"/>
    <cellStyle name="计算 2 2 2" xfId="1591"/>
    <cellStyle name="计算 2 3" xfId="1592"/>
    <cellStyle name="计算 3" xfId="1593"/>
    <cellStyle name="计算 3 2" xfId="1594"/>
    <cellStyle name="计算 3 2 2" xfId="1595"/>
    <cellStyle name="计算 3 3" xfId="1596"/>
    <cellStyle name="计算 4" xfId="1597"/>
    <cellStyle name="计算 4 2" xfId="1598"/>
    <cellStyle name="计算 4 2 2" xfId="1599"/>
    <cellStyle name="计算 4 3" xfId="1600"/>
    <cellStyle name="计算 5" xfId="1601"/>
    <cellStyle name="计算 5 2" xfId="1602"/>
    <cellStyle name="计算 6" xfId="1603"/>
    <cellStyle name="计算 6 2" xfId="1604"/>
    <cellStyle name="计算 7" xfId="1605"/>
    <cellStyle name="计算 7 2" xfId="1606"/>
    <cellStyle name="检查单元格 2" xfId="1607"/>
    <cellStyle name="检查单元格 2 2" xfId="1608"/>
    <cellStyle name="检查单元格 2 2 2" xfId="1609"/>
    <cellStyle name="检查单元格 2 3" xfId="1610"/>
    <cellStyle name="检查单元格 3" xfId="1611"/>
    <cellStyle name="检查单元格 3 2" xfId="1612"/>
    <cellStyle name="检查单元格 3 2 2" xfId="1613"/>
    <cellStyle name="检查单元格 3 3" xfId="1614"/>
    <cellStyle name="检查单元格 4" xfId="1615"/>
    <cellStyle name="检查单元格 4 2" xfId="1616"/>
    <cellStyle name="检查单元格 4 2 2" xfId="1617"/>
    <cellStyle name="检查单元格 4 3" xfId="1618"/>
    <cellStyle name="检查单元格 5" xfId="1619"/>
    <cellStyle name="检查单元格 5 2" xfId="1620"/>
    <cellStyle name="检查单元格 6" xfId="1621"/>
    <cellStyle name="检查单元格 6 2" xfId="1622"/>
    <cellStyle name="检查单元格 7" xfId="1623"/>
    <cellStyle name="检查单元格 7 2" xfId="1624"/>
    <cellStyle name="解释性文本 2" xfId="1625"/>
    <cellStyle name="解释性文本 2 2" xfId="1626"/>
    <cellStyle name="解释性文本 2 2 2" xfId="1627"/>
    <cellStyle name="解释性文本 2 3" xfId="1628"/>
    <cellStyle name="解释性文本 3" xfId="1629"/>
    <cellStyle name="解释性文本 3 2" xfId="1630"/>
    <cellStyle name="解释性文本 3 2 2" xfId="1631"/>
    <cellStyle name="解释性文本 3 3" xfId="1632"/>
    <cellStyle name="解释性文本 4" xfId="1633"/>
    <cellStyle name="解释性文本 4 2" xfId="1634"/>
    <cellStyle name="解释性文本 4 2 2" xfId="1635"/>
    <cellStyle name="解释性文本 4 3" xfId="1636"/>
    <cellStyle name="解释性文本 5" xfId="1637"/>
    <cellStyle name="解释性文本 5 2" xfId="1638"/>
    <cellStyle name="解释性文本 6" xfId="1639"/>
    <cellStyle name="解释性文本 6 2" xfId="1640"/>
    <cellStyle name="警告文本 2" xfId="1641"/>
    <cellStyle name="警告文本 2 2" xfId="1642"/>
    <cellStyle name="警告文本 2 2 2" xfId="1643"/>
    <cellStyle name="警告文本 2 3" xfId="1644"/>
    <cellStyle name="警告文本 3" xfId="1645"/>
    <cellStyle name="警告文本 3 2" xfId="1646"/>
    <cellStyle name="警告文本 3 2 2" xfId="1647"/>
    <cellStyle name="警告文本 3 3" xfId="1648"/>
    <cellStyle name="警告文本 4" xfId="1649"/>
    <cellStyle name="警告文本 4 2" xfId="1650"/>
    <cellStyle name="警告文本 4 2 2" xfId="1651"/>
    <cellStyle name="警告文本 4 3" xfId="1652"/>
    <cellStyle name="警告文本 5" xfId="1653"/>
    <cellStyle name="警告文本 5 2" xfId="1654"/>
    <cellStyle name="警告文本 6" xfId="1655"/>
    <cellStyle name="警告文本 6 2" xfId="1656"/>
    <cellStyle name="链接单元格 2" xfId="1657"/>
    <cellStyle name="链接单元格 2 2" xfId="1658"/>
    <cellStyle name="链接单元格 2 2 2" xfId="1659"/>
    <cellStyle name="链接单元格 2 3" xfId="1660"/>
    <cellStyle name="链接单元格 3" xfId="1661"/>
    <cellStyle name="链接单元格 3 2" xfId="1662"/>
    <cellStyle name="链接单元格 3 2 2" xfId="1663"/>
    <cellStyle name="链接单元格 3 3" xfId="1664"/>
    <cellStyle name="链接单元格 4" xfId="1665"/>
    <cellStyle name="链接单元格 4 2" xfId="1666"/>
    <cellStyle name="链接单元格 4 2 2" xfId="1667"/>
    <cellStyle name="链接单元格 4 3" xfId="1668"/>
    <cellStyle name="链接单元格 5" xfId="1669"/>
    <cellStyle name="链接单元格 5 2" xfId="1670"/>
    <cellStyle name="链接单元格 6" xfId="1671"/>
    <cellStyle name="链接单元格 6 2" xfId="1672"/>
    <cellStyle name="千位分隔 10" xfId="1673"/>
    <cellStyle name="千位分隔 10 2" xfId="1674"/>
    <cellStyle name="千位分隔 11" xfId="1675"/>
    <cellStyle name="千位分隔 12" xfId="1676"/>
    <cellStyle name="千位分隔 12 2" xfId="1677"/>
    <cellStyle name="千位分隔 13" xfId="1678"/>
    <cellStyle name="千位分隔 14" xfId="1679"/>
    <cellStyle name="千位分隔 14 2" xfId="1680"/>
    <cellStyle name="千位分隔 2" xfId="1681"/>
    <cellStyle name="千位分隔 2 2" xfId="1682"/>
    <cellStyle name="千位分隔 2 2 2" xfId="1683"/>
    <cellStyle name="千位分隔 2 2 2 2" xfId="1684"/>
    <cellStyle name="千位分隔 2 2 3" xfId="1685"/>
    <cellStyle name="千位分隔 2 2 4" xfId="1686"/>
    <cellStyle name="千位分隔 2 3" xfId="1687"/>
    <cellStyle name="千位分隔 2 3 2" xfId="1688"/>
    <cellStyle name="千位分隔 2 3 3" xfId="1689"/>
    <cellStyle name="千位分隔 2 4" xfId="1690"/>
    <cellStyle name="千位分隔 2 4 2" xfId="1691"/>
    <cellStyle name="千位分隔 2 4 2 2" xfId="1692"/>
    <cellStyle name="千位分隔 2 4 3" xfId="1693"/>
    <cellStyle name="千位分隔 2 5" xfId="1694"/>
    <cellStyle name="千位分隔 2 5 2" xfId="1695"/>
    <cellStyle name="千位分隔 2 6" xfId="1696"/>
    <cellStyle name="千位分隔 2 6 2" xfId="1697"/>
    <cellStyle name="千位分隔 2 7" xfId="1698"/>
    <cellStyle name="千位分隔 2 7 2" xfId="1699"/>
    <cellStyle name="千位分隔 2 8" xfId="1700"/>
    <cellStyle name="千位分隔 2 8 2" xfId="1701"/>
    <cellStyle name="千位分隔 2 9" xfId="1702"/>
    <cellStyle name="千位分隔 3" xfId="1703"/>
    <cellStyle name="千位分隔 3 2" xfId="1704"/>
    <cellStyle name="千位分隔 3 2 2" xfId="1705"/>
    <cellStyle name="千位分隔 3 2 2 2" xfId="1706"/>
    <cellStyle name="千位分隔 3 2 3" xfId="1707"/>
    <cellStyle name="千位分隔 3 3" xfId="1708"/>
    <cellStyle name="千位分隔 3 3 2" xfId="1709"/>
    <cellStyle name="千位分隔 3 4" xfId="1710"/>
    <cellStyle name="千位分隔 4" xfId="1711"/>
    <cellStyle name="千位分隔 4 2" xfId="1712"/>
    <cellStyle name="千位分隔 4 3" xfId="1713"/>
    <cellStyle name="千位分隔 5" xfId="1714"/>
    <cellStyle name="千位分隔 5 2" xfId="1715"/>
    <cellStyle name="千位分隔 5 2 2" xfId="1716"/>
    <cellStyle name="千位分隔 5 3" xfId="1717"/>
    <cellStyle name="千位分隔 6" xfId="1718"/>
    <cellStyle name="千位分隔 6 2" xfId="1719"/>
    <cellStyle name="千位分隔 6 2 2" xfId="1720"/>
    <cellStyle name="千位分隔 6 3" xfId="1721"/>
    <cellStyle name="千位分隔 7" xfId="1722"/>
    <cellStyle name="千位分隔 7 2" xfId="1723"/>
    <cellStyle name="千位分隔 8" xfId="1724"/>
    <cellStyle name="千位分隔 8 2" xfId="1725"/>
    <cellStyle name="千位分隔 9" xfId="1726"/>
    <cellStyle name="千位分隔[0] 2" xfId="2007"/>
    <cellStyle name="强调文字颜色 1 2" xfId="1727"/>
    <cellStyle name="强调文字颜色 1 2 2" xfId="1728"/>
    <cellStyle name="强调文字颜色 1 2 2 2" xfId="1729"/>
    <cellStyle name="强调文字颜色 1 2 3" xfId="1730"/>
    <cellStyle name="强调文字颜色 1 3" xfId="1731"/>
    <cellStyle name="强调文字颜色 1 3 2" xfId="1732"/>
    <cellStyle name="强调文字颜色 1 3 2 2" xfId="1733"/>
    <cellStyle name="强调文字颜色 1 3 3" xfId="1734"/>
    <cellStyle name="强调文字颜色 1 4" xfId="1735"/>
    <cellStyle name="强调文字颜色 1 4 2" xfId="1736"/>
    <cellStyle name="强调文字颜色 1 4 2 2" xfId="1737"/>
    <cellStyle name="强调文字颜色 1 4 3" xfId="1738"/>
    <cellStyle name="强调文字颜色 1 5" xfId="1739"/>
    <cellStyle name="强调文字颜色 1 5 2" xfId="1740"/>
    <cellStyle name="强调文字颜色 1 6" xfId="1741"/>
    <cellStyle name="强调文字颜色 1 6 2" xfId="1742"/>
    <cellStyle name="强调文字颜色 1 7" xfId="1743"/>
    <cellStyle name="强调文字颜色 1 7 2" xfId="1744"/>
    <cellStyle name="强调文字颜色 2 2" xfId="1745"/>
    <cellStyle name="强调文字颜色 2 2 2" xfId="1746"/>
    <cellStyle name="强调文字颜色 2 2 2 2" xfId="1747"/>
    <cellStyle name="强调文字颜色 2 2 3" xfId="1748"/>
    <cellStyle name="强调文字颜色 2 3" xfId="1749"/>
    <cellStyle name="强调文字颜色 2 3 2" xfId="1750"/>
    <cellStyle name="强调文字颜色 2 3 2 2" xfId="1751"/>
    <cellStyle name="强调文字颜色 2 3 3" xfId="1752"/>
    <cellStyle name="强调文字颜色 2 4" xfId="1753"/>
    <cellStyle name="强调文字颜色 2 4 2" xfId="1754"/>
    <cellStyle name="强调文字颜色 2 4 2 2" xfId="1755"/>
    <cellStyle name="强调文字颜色 2 4 3" xfId="1756"/>
    <cellStyle name="强调文字颜色 2 5" xfId="1757"/>
    <cellStyle name="强调文字颜色 2 5 2" xfId="1758"/>
    <cellStyle name="强调文字颜色 2 6" xfId="1759"/>
    <cellStyle name="强调文字颜色 2 6 2" xfId="1760"/>
    <cellStyle name="强调文字颜色 2 7" xfId="1761"/>
    <cellStyle name="强调文字颜色 2 7 2" xfId="1762"/>
    <cellStyle name="强调文字颜色 3 2" xfId="1763"/>
    <cellStyle name="强调文字颜色 3 2 2" xfId="1764"/>
    <cellStyle name="强调文字颜色 3 2 2 2" xfId="1765"/>
    <cellStyle name="强调文字颜色 3 2 3" xfId="1766"/>
    <cellStyle name="强调文字颜色 3 3" xfId="1767"/>
    <cellStyle name="强调文字颜色 3 3 2" xfId="1768"/>
    <cellStyle name="强调文字颜色 3 3 2 2" xfId="1769"/>
    <cellStyle name="强调文字颜色 3 3 3" xfId="1770"/>
    <cellStyle name="强调文字颜色 3 4" xfId="1771"/>
    <cellStyle name="强调文字颜色 3 4 2" xfId="1772"/>
    <cellStyle name="强调文字颜色 3 4 2 2" xfId="1773"/>
    <cellStyle name="强调文字颜色 3 4 3" xfId="1774"/>
    <cellStyle name="强调文字颜色 3 5" xfId="1775"/>
    <cellStyle name="强调文字颜色 3 5 2" xfId="1776"/>
    <cellStyle name="强调文字颜色 3 6" xfId="1777"/>
    <cellStyle name="强调文字颜色 3 6 2" xfId="1778"/>
    <cellStyle name="强调文字颜色 3 7" xfId="1779"/>
    <cellStyle name="强调文字颜色 3 7 2" xfId="1780"/>
    <cellStyle name="强调文字颜色 4 2" xfId="1781"/>
    <cellStyle name="强调文字颜色 4 2 2" xfId="1782"/>
    <cellStyle name="强调文字颜色 4 2 2 2" xfId="1783"/>
    <cellStyle name="强调文字颜色 4 2 3" xfId="1784"/>
    <cellStyle name="强调文字颜色 4 3" xfId="1785"/>
    <cellStyle name="强调文字颜色 4 3 2" xfId="1786"/>
    <cellStyle name="强调文字颜色 4 3 2 2" xfId="1787"/>
    <cellStyle name="强调文字颜色 4 3 3" xfId="1788"/>
    <cellStyle name="强调文字颜色 4 4" xfId="1789"/>
    <cellStyle name="强调文字颜色 4 4 2" xfId="1790"/>
    <cellStyle name="强调文字颜色 4 4 2 2" xfId="1791"/>
    <cellStyle name="强调文字颜色 4 4 3" xfId="1792"/>
    <cellStyle name="强调文字颜色 4 5" xfId="1793"/>
    <cellStyle name="强调文字颜色 4 5 2" xfId="1794"/>
    <cellStyle name="强调文字颜色 4 6" xfId="1795"/>
    <cellStyle name="强调文字颜色 4 6 2" xfId="1796"/>
    <cellStyle name="强调文字颜色 4 7" xfId="1797"/>
    <cellStyle name="强调文字颜色 4 7 2" xfId="1798"/>
    <cellStyle name="强调文字颜色 5 2" xfId="1799"/>
    <cellStyle name="强调文字颜色 5 2 2" xfId="1800"/>
    <cellStyle name="强调文字颜色 5 2 2 2" xfId="1801"/>
    <cellStyle name="强调文字颜色 5 2 3" xfId="1802"/>
    <cellStyle name="强调文字颜色 5 3" xfId="1803"/>
    <cellStyle name="强调文字颜色 5 3 2" xfId="1804"/>
    <cellStyle name="强调文字颜色 5 3 2 2" xfId="1805"/>
    <cellStyle name="强调文字颜色 5 3 3" xfId="1806"/>
    <cellStyle name="强调文字颜色 5 4" xfId="1807"/>
    <cellStyle name="强调文字颜色 5 4 2" xfId="1808"/>
    <cellStyle name="强调文字颜色 5 4 2 2" xfId="1809"/>
    <cellStyle name="强调文字颜色 5 4 3" xfId="1810"/>
    <cellStyle name="强调文字颜色 5 5" xfId="1811"/>
    <cellStyle name="强调文字颜色 5 5 2" xfId="1812"/>
    <cellStyle name="强调文字颜色 5 6" xfId="1813"/>
    <cellStyle name="强调文字颜色 5 6 2" xfId="1814"/>
    <cellStyle name="强调文字颜色 5 7" xfId="1815"/>
    <cellStyle name="强调文字颜色 5 7 2" xfId="1816"/>
    <cellStyle name="强调文字颜色 6 2" xfId="1817"/>
    <cellStyle name="强调文字颜色 6 2 2" xfId="1818"/>
    <cellStyle name="强调文字颜色 6 2 2 2" xfId="1819"/>
    <cellStyle name="强调文字颜色 6 2 3" xfId="1820"/>
    <cellStyle name="强调文字颜色 6 3" xfId="1821"/>
    <cellStyle name="强调文字颜色 6 3 2" xfId="1822"/>
    <cellStyle name="强调文字颜色 6 3 2 2" xfId="1823"/>
    <cellStyle name="强调文字颜色 6 3 3" xfId="1824"/>
    <cellStyle name="强调文字颜色 6 4" xfId="1825"/>
    <cellStyle name="强调文字颜色 6 4 2" xfId="1826"/>
    <cellStyle name="强调文字颜色 6 4 2 2" xfId="1827"/>
    <cellStyle name="强调文字颜色 6 4 3" xfId="1828"/>
    <cellStyle name="强调文字颜色 6 5" xfId="1829"/>
    <cellStyle name="强调文字颜色 6 5 2" xfId="1830"/>
    <cellStyle name="强调文字颜色 6 6" xfId="1831"/>
    <cellStyle name="强调文字颜色 6 6 2" xfId="1832"/>
    <cellStyle name="强调文字颜色 6 7" xfId="1833"/>
    <cellStyle name="强调文字颜色 6 7 2" xfId="1834"/>
    <cellStyle name="适中 2" xfId="1835"/>
    <cellStyle name="适中 2 2" xfId="1836"/>
    <cellStyle name="适中 2 2 2" xfId="1837"/>
    <cellStyle name="适中 2 3" xfId="1838"/>
    <cellStyle name="适中 3" xfId="1839"/>
    <cellStyle name="适中 3 2" xfId="1840"/>
    <cellStyle name="适中 3 2 2" xfId="1841"/>
    <cellStyle name="适中 3 3" xfId="1842"/>
    <cellStyle name="适中 4" xfId="1843"/>
    <cellStyle name="适中 4 2" xfId="1844"/>
    <cellStyle name="适中 4 2 2" xfId="1845"/>
    <cellStyle name="适中 4 3" xfId="1846"/>
    <cellStyle name="适中 5" xfId="1847"/>
    <cellStyle name="适中 5 2" xfId="1848"/>
    <cellStyle name="适中 6" xfId="1849"/>
    <cellStyle name="适中 6 2" xfId="1850"/>
    <cellStyle name="适中 7" xfId="1851"/>
    <cellStyle name="适中 7 2" xfId="1852"/>
    <cellStyle name="输出 2" xfId="1853"/>
    <cellStyle name="输出 2 2" xfId="1854"/>
    <cellStyle name="输出 2 2 2" xfId="1855"/>
    <cellStyle name="输出 2 3" xfId="1856"/>
    <cellStyle name="输出 3" xfId="1857"/>
    <cellStyle name="输出 3 2" xfId="1858"/>
    <cellStyle name="输出 3 2 2" xfId="1859"/>
    <cellStyle name="输出 3 3" xfId="1860"/>
    <cellStyle name="输出 4" xfId="1861"/>
    <cellStyle name="输出 4 2" xfId="1862"/>
    <cellStyle name="输出 4 2 2" xfId="1863"/>
    <cellStyle name="输出 4 3" xfId="1864"/>
    <cellStyle name="输出 5" xfId="1865"/>
    <cellStyle name="输出 5 2" xfId="1866"/>
    <cellStyle name="输出 6" xfId="1867"/>
    <cellStyle name="输出 6 2" xfId="1868"/>
    <cellStyle name="输出 7" xfId="1869"/>
    <cellStyle name="输出 7 2" xfId="1870"/>
    <cellStyle name="输入 2" xfId="1871"/>
    <cellStyle name="输入 2 2" xfId="1872"/>
    <cellStyle name="输入 2 2 2" xfId="1873"/>
    <cellStyle name="输入 2 3" xfId="1874"/>
    <cellStyle name="输入 3" xfId="1875"/>
    <cellStyle name="输入 3 2" xfId="1876"/>
    <cellStyle name="输入 3 2 2" xfId="1877"/>
    <cellStyle name="输入 3 3" xfId="1878"/>
    <cellStyle name="输入 4" xfId="1879"/>
    <cellStyle name="输入 4 2" xfId="1880"/>
    <cellStyle name="输入 4 2 2" xfId="1881"/>
    <cellStyle name="输入 4 3" xfId="1882"/>
    <cellStyle name="输入 5" xfId="1883"/>
    <cellStyle name="输入 5 2" xfId="1884"/>
    <cellStyle name="输入 6" xfId="1885"/>
    <cellStyle name="输入 6 2" xfId="1886"/>
    <cellStyle name="输入 7" xfId="1887"/>
    <cellStyle name="输入 7 2" xfId="1888"/>
    <cellStyle name="说明文本" xfId="1889"/>
    <cellStyle name="说明文本 2" xfId="1890"/>
    <cellStyle name="说明文本 2 2" xfId="1891"/>
    <cellStyle name="说明文本 2 2 2" xfId="1892"/>
    <cellStyle name="说明文本 2 3" xfId="1893"/>
    <cellStyle name="说明文本 3" xfId="1894"/>
    <cellStyle name="说明文本 3 2" xfId="1895"/>
    <cellStyle name="说明文本 4" xfId="1896"/>
    <cellStyle name="说明文本 4 2" xfId="1897"/>
    <cellStyle name="说明文本 5" xfId="1898"/>
    <cellStyle name="无色" xfId="1899"/>
    <cellStyle name="无色 2" xfId="1900"/>
    <cellStyle name="无色 2 2" xfId="1901"/>
    <cellStyle name="无色 2 2 2" xfId="1902"/>
    <cellStyle name="无色 2 3" xfId="1903"/>
    <cellStyle name="无色 3" xfId="1904"/>
    <cellStyle name="无色 3 2" xfId="1905"/>
    <cellStyle name="无色 4" xfId="1906"/>
    <cellStyle name="无色 4 2" xfId="1907"/>
    <cellStyle name="无色 5" xfId="1908"/>
    <cellStyle name="样式 1" xfId="1909"/>
    <cellStyle name="着色 1 2" xfId="1910"/>
    <cellStyle name="着色 1 2 2" xfId="1911"/>
    <cellStyle name="着色 1 2 2 2" xfId="1912"/>
    <cellStyle name="着色 1 2 3" xfId="1913"/>
    <cellStyle name="着色 1 3" xfId="1914"/>
    <cellStyle name="着色 1 3 2" xfId="1915"/>
    <cellStyle name="着色 1 4" xfId="1916"/>
    <cellStyle name="着色 1 4 2" xfId="1917"/>
    <cellStyle name="着色 1 5" xfId="1918"/>
    <cellStyle name="着色 2 2" xfId="1919"/>
    <cellStyle name="着色 2 2 2" xfId="1920"/>
    <cellStyle name="着色 2 2 2 2" xfId="1921"/>
    <cellStyle name="着色 2 2 3" xfId="1922"/>
    <cellStyle name="着色 2 3" xfId="1923"/>
    <cellStyle name="着色 2 3 2" xfId="1924"/>
    <cellStyle name="着色 2 4" xfId="1925"/>
    <cellStyle name="着色 2 4 2" xfId="1926"/>
    <cellStyle name="着色 2 5" xfId="1927"/>
    <cellStyle name="着色 3 2" xfId="1928"/>
    <cellStyle name="着色 3 2 2" xfId="1929"/>
    <cellStyle name="着色 3 2 2 2" xfId="1930"/>
    <cellStyle name="着色 3 2 3" xfId="1931"/>
    <cellStyle name="着色 3 3" xfId="1932"/>
    <cellStyle name="着色 3 3 2" xfId="1933"/>
    <cellStyle name="着色 3 4" xfId="1934"/>
    <cellStyle name="着色 3 4 2" xfId="1935"/>
    <cellStyle name="着色 3 5" xfId="1936"/>
    <cellStyle name="着色 4 2" xfId="1937"/>
    <cellStyle name="着色 4 2 2" xfId="1938"/>
    <cellStyle name="着色 4 2 2 2" xfId="1939"/>
    <cellStyle name="着色 4 2 3" xfId="1940"/>
    <cellStyle name="着色 4 3" xfId="1941"/>
    <cellStyle name="着色 4 3 2" xfId="1942"/>
    <cellStyle name="着色 4 4" xfId="1943"/>
    <cellStyle name="着色 4 4 2" xfId="1944"/>
    <cellStyle name="着色 4 5" xfId="1945"/>
    <cellStyle name="着色 5 2" xfId="1946"/>
    <cellStyle name="着色 5 2 2" xfId="1947"/>
    <cellStyle name="着色 5 2 2 2" xfId="1948"/>
    <cellStyle name="着色 5 2 3" xfId="1949"/>
    <cellStyle name="着色 5 3" xfId="1950"/>
    <cellStyle name="着色 5 3 2" xfId="1951"/>
    <cellStyle name="着色 5 4" xfId="1952"/>
    <cellStyle name="着色 5 4 2" xfId="1953"/>
    <cellStyle name="着色 5 5" xfId="1954"/>
    <cellStyle name="着色 6 2" xfId="1955"/>
    <cellStyle name="着色 6 2 2" xfId="1956"/>
    <cellStyle name="着色 6 2 2 2" xfId="1957"/>
    <cellStyle name="着色 6 2 3" xfId="1958"/>
    <cellStyle name="着色 6 3" xfId="1959"/>
    <cellStyle name="着色 6 3 2" xfId="1960"/>
    <cellStyle name="着色 6 4" xfId="1961"/>
    <cellStyle name="着色 6 4 2" xfId="1962"/>
    <cellStyle name="着色 6 5" xfId="1963"/>
    <cellStyle name="注释 2" xfId="1964"/>
    <cellStyle name="注释 2 2" xfId="1965"/>
    <cellStyle name="注释 2 2 2" xfId="1966"/>
    <cellStyle name="注释 2 2 2 2" xfId="1967"/>
    <cellStyle name="注释 2 2 3" xfId="1968"/>
    <cellStyle name="注释 2 3" xfId="1969"/>
    <cellStyle name="注释 2 3 2" xfId="1970"/>
    <cellStyle name="注释 2 4" xfId="1971"/>
    <cellStyle name="注释 3" xfId="1972"/>
    <cellStyle name="注释 3 2" xfId="1973"/>
    <cellStyle name="注释 3 2 2" xfId="1974"/>
    <cellStyle name="注释 3 2 2 2" xfId="1975"/>
    <cellStyle name="注释 3 2 3" xfId="1976"/>
    <cellStyle name="注释 3 3" xfId="1977"/>
    <cellStyle name="注释 3 3 2" xfId="1978"/>
    <cellStyle name="注释 3 4" xfId="1979"/>
    <cellStyle name="注释 4" xfId="1980"/>
    <cellStyle name="注释 4 2" xfId="1981"/>
    <cellStyle name="注释 4 2 2" xfId="1982"/>
    <cellStyle name="注释 4 2 2 2" xfId="1983"/>
    <cellStyle name="注释 4 2 3" xfId="1984"/>
    <cellStyle name="注释 4 3" xfId="1985"/>
    <cellStyle name="注释 4 3 2" xfId="1986"/>
    <cellStyle name="注释 4 4" xfId="1987"/>
    <cellStyle name="注释 5" xfId="1988"/>
    <cellStyle name="注释 5 2" xfId="1989"/>
    <cellStyle name="注释 5 2 2" xfId="1990"/>
    <cellStyle name="注释 5 3" xfId="1991"/>
    <cellStyle name="注释 6" xfId="1992"/>
    <cellStyle name="注释 6 2" xfId="1993"/>
    <cellStyle name="注释 6 2 2" xfId="1994"/>
    <cellStyle name="注释 6 3" xfId="1995"/>
    <cellStyle name="注释 7" xfId="1996"/>
    <cellStyle name="注释 7 2" xfId="1997"/>
    <cellStyle name="注释 7 2 2" xfId="1998"/>
    <cellStyle name="注释 7 3" xfId="199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676275</xdr:colOff>
      <xdr:row>50</xdr:row>
      <xdr:rowOff>57150</xdr:rowOff>
    </xdr:from>
    <xdr:to>
      <xdr:col>6</xdr:col>
      <xdr:colOff>685800</xdr:colOff>
      <xdr:row>50</xdr:row>
      <xdr:rowOff>104775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153400" y="7905750"/>
          <a:ext cx="47625" cy="4762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WVD14"/>
  <sheetViews>
    <sheetView tabSelected="1" workbookViewId="0">
      <selection activeCell="C4" sqref="C4"/>
    </sheetView>
  </sheetViews>
  <sheetFormatPr defaultColWidth="9" defaultRowHeight="13.5"/>
  <cols>
    <col min="1" max="1" width="6.25" style="123" customWidth="1"/>
    <col min="2" max="2" width="25.5" style="130" customWidth="1"/>
    <col min="3" max="5" width="21.25" style="123" customWidth="1"/>
    <col min="6" max="6" width="17.375" style="123" customWidth="1"/>
    <col min="7" max="7" width="21.75" style="123" customWidth="1"/>
    <col min="8" max="240" width="9" style="123"/>
    <col min="241" max="241" width="6.625" style="123" customWidth="1"/>
    <col min="242" max="243" width="21.625" style="123" customWidth="1"/>
    <col min="244" max="244" width="16.125" style="123" customWidth="1"/>
    <col min="245" max="245" width="13.875" style="123" customWidth="1"/>
    <col min="246" max="246" width="17.25" style="123" customWidth="1"/>
    <col min="247" max="248" width="20.5" style="123" customWidth="1"/>
    <col min="249" max="249" width="9" style="123" hidden="1" customWidth="1"/>
    <col min="250" max="250" width="18.375" style="123" customWidth="1"/>
    <col min="251" max="252" width="9" style="123" hidden="1" customWidth="1"/>
    <col min="253" max="496" width="9" style="123"/>
    <col min="497" max="497" width="6.625" style="123" customWidth="1"/>
    <col min="498" max="499" width="21.625" style="123" customWidth="1"/>
    <col min="500" max="500" width="16.125" style="123" customWidth="1"/>
    <col min="501" max="501" width="13.875" style="123" customWidth="1"/>
    <col min="502" max="502" width="17.25" style="123" customWidth="1"/>
    <col min="503" max="504" width="20.5" style="123" customWidth="1"/>
    <col min="505" max="505" width="9" style="123" hidden="1" customWidth="1"/>
    <col min="506" max="506" width="18.375" style="123" customWidth="1"/>
    <col min="507" max="508" width="9" style="123" hidden="1" customWidth="1"/>
    <col min="509" max="752" width="9" style="123"/>
    <col min="753" max="753" width="6.625" style="123" customWidth="1"/>
    <col min="754" max="755" width="21.625" style="123" customWidth="1"/>
    <col min="756" max="756" width="16.125" style="123" customWidth="1"/>
    <col min="757" max="757" width="13.875" style="123" customWidth="1"/>
    <col min="758" max="758" width="17.25" style="123" customWidth="1"/>
    <col min="759" max="760" width="20.5" style="123" customWidth="1"/>
    <col min="761" max="761" width="9" style="123" hidden="1" customWidth="1"/>
    <col min="762" max="762" width="18.375" style="123" customWidth="1"/>
    <col min="763" max="764" width="9" style="123" hidden="1" customWidth="1"/>
    <col min="765" max="1008" width="9" style="123"/>
    <col min="1009" max="1009" width="6.625" style="123" customWidth="1"/>
    <col min="1010" max="1011" width="21.625" style="123" customWidth="1"/>
    <col min="1012" max="1012" width="16.125" style="123" customWidth="1"/>
    <col min="1013" max="1013" width="13.875" style="123" customWidth="1"/>
    <col min="1014" max="1014" width="17.25" style="123" customWidth="1"/>
    <col min="1015" max="1016" width="20.5" style="123" customWidth="1"/>
    <col min="1017" max="1017" width="9" style="123" hidden="1" customWidth="1"/>
    <col min="1018" max="1018" width="18.375" style="123" customWidth="1"/>
    <col min="1019" max="1020" width="9" style="123" hidden="1" customWidth="1"/>
    <col min="1021" max="1264" width="9" style="123"/>
    <col min="1265" max="1265" width="6.625" style="123" customWidth="1"/>
    <col min="1266" max="1267" width="21.625" style="123" customWidth="1"/>
    <col min="1268" max="1268" width="16.125" style="123" customWidth="1"/>
    <col min="1269" max="1269" width="13.875" style="123" customWidth="1"/>
    <col min="1270" max="1270" width="17.25" style="123" customWidth="1"/>
    <col min="1271" max="1272" width="20.5" style="123" customWidth="1"/>
    <col min="1273" max="1273" width="9" style="123" hidden="1" customWidth="1"/>
    <col min="1274" max="1274" width="18.375" style="123" customWidth="1"/>
    <col min="1275" max="1276" width="9" style="123" hidden="1" customWidth="1"/>
    <col min="1277" max="1520" width="9" style="123"/>
    <col min="1521" max="1521" width="6.625" style="123" customWidth="1"/>
    <col min="1522" max="1523" width="21.625" style="123" customWidth="1"/>
    <col min="1524" max="1524" width="16.125" style="123" customWidth="1"/>
    <col min="1525" max="1525" width="13.875" style="123" customWidth="1"/>
    <col min="1526" max="1526" width="17.25" style="123" customWidth="1"/>
    <col min="1527" max="1528" width="20.5" style="123" customWidth="1"/>
    <col min="1529" max="1529" width="9" style="123" hidden="1" customWidth="1"/>
    <col min="1530" max="1530" width="18.375" style="123" customWidth="1"/>
    <col min="1531" max="1532" width="9" style="123" hidden="1" customWidth="1"/>
    <col min="1533" max="1776" width="9" style="123"/>
    <col min="1777" max="1777" width="6.625" style="123" customWidth="1"/>
    <col min="1778" max="1779" width="21.625" style="123" customWidth="1"/>
    <col min="1780" max="1780" width="16.125" style="123" customWidth="1"/>
    <col min="1781" max="1781" width="13.875" style="123" customWidth="1"/>
    <col min="1782" max="1782" width="17.25" style="123" customWidth="1"/>
    <col min="1783" max="1784" width="20.5" style="123" customWidth="1"/>
    <col min="1785" max="1785" width="9" style="123" hidden="1" customWidth="1"/>
    <col min="1786" max="1786" width="18.375" style="123" customWidth="1"/>
    <col min="1787" max="1788" width="9" style="123" hidden="1" customWidth="1"/>
    <col min="1789" max="2032" width="9" style="123"/>
    <col min="2033" max="2033" width="6.625" style="123" customWidth="1"/>
    <col min="2034" max="2035" width="21.625" style="123" customWidth="1"/>
    <col min="2036" max="2036" width="16.125" style="123" customWidth="1"/>
    <col min="2037" max="2037" width="13.875" style="123" customWidth="1"/>
    <col min="2038" max="2038" width="17.25" style="123" customWidth="1"/>
    <col min="2039" max="2040" width="20.5" style="123" customWidth="1"/>
    <col min="2041" max="2041" width="9" style="123" hidden="1" customWidth="1"/>
    <col min="2042" max="2042" width="18.375" style="123" customWidth="1"/>
    <col min="2043" max="2044" width="9" style="123" hidden="1" customWidth="1"/>
    <col min="2045" max="2288" width="9" style="123"/>
    <col min="2289" max="2289" width="6.625" style="123" customWidth="1"/>
    <col min="2290" max="2291" width="21.625" style="123" customWidth="1"/>
    <col min="2292" max="2292" width="16.125" style="123" customWidth="1"/>
    <col min="2293" max="2293" width="13.875" style="123" customWidth="1"/>
    <col min="2294" max="2294" width="17.25" style="123" customWidth="1"/>
    <col min="2295" max="2296" width="20.5" style="123" customWidth="1"/>
    <col min="2297" max="2297" width="9" style="123" hidden="1" customWidth="1"/>
    <col min="2298" max="2298" width="18.375" style="123" customWidth="1"/>
    <col min="2299" max="2300" width="9" style="123" hidden="1" customWidth="1"/>
    <col min="2301" max="2544" width="9" style="123"/>
    <col min="2545" max="2545" width="6.625" style="123" customWidth="1"/>
    <col min="2546" max="2547" width="21.625" style="123" customWidth="1"/>
    <col min="2548" max="2548" width="16.125" style="123" customWidth="1"/>
    <col min="2549" max="2549" width="13.875" style="123" customWidth="1"/>
    <col min="2550" max="2550" width="17.25" style="123" customWidth="1"/>
    <col min="2551" max="2552" width="20.5" style="123" customWidth="1"/>
    <col min="2553" max="2553" width="9" style="123" hidden="1" customWidth="1"/>
    <col min="2554" max="2554" width="18.375" style="123" customWidth="1"/>
    <col min="2555" max="2556" width="9" style="123" hidden="1" customWidth="1"/>
    <col min="2557" max="2800" width="9" style="123"/>
    <col min="2801" max="2801" width="6.625" style="123" customWidth="1"/>
    <col min="2802" max="2803" width="21.625" style="123" customWidth="1"/>
    <col min="2804" max="2804" width="16.125" style="123" customWidth="1"/>
    <col min="2805" max="2805" width="13.875" style="123" customWidth="1"/>
    <col min="2806" max="2806" width="17.25" style="123" customWidth="1"/>
    <col min="2807" max="2808" width="20.5" style="123" customWidth="1"/>
    <col min="2809" max="2809" width="9" style="123" hidden="1" customWidth="1"/>
    <col min="2810" max="2810" width="18.375" style="123" customWidth="1"/>
    <col min="2811" max="2812" width="9" style="123" hidden="1" customWidth="1"/>
    <col min="2813" max="3056" width="9" style="123"/>
    <col min="3057" max="3057" width="6.625" style="123" customWidth="1"/>
    <col min="3058" max="3059" width="21.625" style="123" customWidth="1"/>
    <col min="3060" max="3060" width="16.125" style="123" customWidth="1"/>
    <col min="3061" max="3061" width="13.875" style="123" customWidth="1"/>
    <col min="3062" max="3062" width="17.25" style="123" customWidth="1"/>
    <col min="3063" max="3064" width="20.5" style="123" customWidth="1"/>
    <col min="3065" max="3065" width="9" style="123" hidden="1" customWidth="1"/>
    <col min="3066" max="3066" width="18.375" style="123" customWidth="1"/>
    <col min="3067" max="3068" width="9" style="123" hidden="1" customWidth="1"/>
    <col min="3069" max="3312" width="9" style="123"/>
    <col min="3313" max="3313" width="6.625" style="123" customWidth="1"/>
    <col min="3314" max="3315" width="21.625" style="123" customWidth="1"/>
    <col min="3316" max="3316" width="16.125" style="123" customWidth="1"/>
    <col min="3317" max="3317" width="13.875" style="123" customWidth="1"/>
    <col min="3318" max="3318" width="17.25" style="123" customWidth="1"/>
    <col min="3319" max="3320" width="20.5" style="123" customWidth="1"/>
    <col min="3321" max="3321" width="9" style="123" hidden="1" customWidth="1"/>
    <col min="3322" max="3322" width="18.375" style="123" customWidth="1"/>
    <col min="3323" max="3324" width="9" style="123" hidden="1" customWidth="1"/>
    <col min="3325" max="3568" width="9" style="123"/>
    <col min="3569" max="3569" width="6.625" style="123" customWidth="1"/>
    <col min="3570" max="3571" width="21.625" style="123" customWidth="1"/>
    <col min="3572" max="3572" width="16.125" style="123" customWidth="1"/>
    <col min="3573" max="3573" width="13.875" style="123" customWidth="1"/>
    <col min="3574" max="3574" width="17.25" style="123" customWidth="1"/>
    <col min="3575" max="3576" width="20.5" style="123" customWidth="1"/>
    <col min="3577" max="3577" width="9" style="123" hidden="1" customWidth="1"/>
    <col min="3578" max="3578" width="18.375" style="123" customWidth="1"/>
    <col min="3579" max="3580" width="9" style="123" hidden="1" customWidth="1"/>
    <col min="3581" max="3824" width="9" style="123"/>
    <col min="3825" max="3825" width="6.625" style="123" customWidth="1"/>
    <col min="3826" max="3827" width="21.625" style="123" customWidth="1"/>
    <col min="3828" max="3828" width="16.125" style="123" customWidth="1"/>
    <col min="3829" max="3829" width="13.875" style="123" customWidth="1"/>
    <col min="3830" max="3830" width="17.25" style="123" customWidth="1"/>
    <col min="3831" max="3832" width="20.5" style="123" customWidth="1"/>
    <col min="3833" max="3833" width="9" style="123" hidden="1" customWidth="1"/>
    <col min="3834" max="3834" width="18.375" style="123" customWidth="1"/>
    <col min="3835" max="3836" width="9" style="123" hidden="1" customWidth="1"/>
    <col min="3837" max="4080" width="9" style="123"/>
    <col min="4081" max="4081" width="6.625" style="123" customWidth="1"/>
    <col min="4082" max="4083" width="21.625" style="123" customWidth="1"/>
    <col min="4084" max="4084" width="16.125" style="123" customWidth="1"/>
    <col min="4085" max="4085" width="13.875" style="123" customWidth="1"/>
    <col min="4086" max="4086" width="17.25" style="123" customWidth="1"/>
    <col min="4087" max="4088" width="20.5" style="123" customWidth="1"/>
    <col min="4089" max="4089" width="9" style="123" hidden="1" customWidth="1"/>
    <col min="4090" max="4090" width="18.375" style="123" customWidth="1"/>
    <col min="4091" max="4092" width="9" style="123" hidden="1" customWidth="1"/>
    <col min="4093" max="4336" width="9" style="123"/>
    <col min="4337" max="4337" width="6.625" style="123" customWidth="1"/>
    <col min="4338" max="4339" width="21.625" style="123" customWidth="1"/>
    <col min="4340" max="4340" width="16.125" style="123" customWidth="1"/>
    <col min="4341" max="4341" width="13.875" style="123" customWidth="1"/>
    <col min="4342" max="4342" width="17.25" style="123" customWidth="1"/>
    <col min="4343" max="4344" width="20.5" style="123" customWidth="1"/>
    <col min="4345" max="4345" width="9" style="123" hidden="1" customWidth="1"/>
    <col min="4346" max="4346" width="18.375" style="123" customWidth="1"/>
    <col min="4347" max="4348" width="9" style="123" hidden="1" customWidth="1"/>
    <col min="4349" max="4592" width="9" style="123"/>
    <col min="4593" max="4593" width="6.625" style="123" customWidth="1"/>
    <col min="4594" max="4595" width="21.625" style="123" customWidth="1"/>
    <col min="4596" max="4596" width="16.125" style="123" customWidth="1"/>
    <col min="4597" max="4597" width="13.875" style="123" customWidth="1"/>
    <col min="4598" max="4598" width="17.25" style="123" customWidth="1"/>
    <col min="4599" max="4600" width="20.5" style="123" customWidth="1"/>
    <col min="4601" max="4601" width="9" style="123" hidden="1" customWidth="1"/>
    <col min="4602" max="4602" width="18.375" style="123" customWidth="1"/>
    <col min="4603" max="4604" width="9" style="123" hidden="1" customWidth="1"/>
    <col min="4605" max="4848" width="9" style="123"/>
    <col min="4849" max="4849" width="6.625" style="123" customWidth="1"/>
    <col min="4850" max="4851" width="21.625" style="123" customWidth="1"/>
    <col min="4852" max="4852" width="16.125" style="123" customWidth="1"/>
    <col min="4853" max="4853" width="13.875" style="123" customWidth="1"/>
    <col min="4854" max="4854" width="17.25" style="123" customWidth="1"/>
    <col min="4855" max="4856" width="20.5" style="123" customWidth="1"/>
    <col min="4857" max="4857" width="9" style="123" hidden="1" customWidth="1"/>
    <col min="4858" max="4858" width="18.375" style="123" customWidth="1"/>
    <col min="4859" max="4860" width="9" style="123" hidden="1" customWidth="1"/>
    <col min="4861" max="5104" width="9" style="123"/>
    <col min="5105" max="5105" width="6.625" style="123" customWidth="1"/>
    <col min="5106" max="5107" width="21.625" style="123" customWidth="1"/>
    <col min="5108" max="5108" width="16.125" style="123" customWidth="1"/>
    <col min="5109" max="5109" width="13.875" style="123" customWidth="1"/>
    <col min="5110" max="5110" width="17.25" style="123" customWidth="1"/>
    <col min="5111" max="5112" width="20.5" style="123" customWidth="1"/>
    <col min="5113" max="5113" width="9" style="123" hidden="1" customWidth="1"/>
    <col min="5114" max="5114" width="18.375" style="123" customWidth="1"/>
    <col min="5115" max="5116" width="9" style="123" hidden="1" customWidth="1"/>
    <col min="5117" max="5360" width="9" style="123"/>
    <col min="5361" max="5361" width="6.625" style="123" customWidth="1"/>
    <col min="5362" max="5363" width="21.625" style="123" customWidth="1"/>
    <col min="5364" max="5364" width="16.125" style="123" customWidth="1"/>
    <col min="5365" max="5365" width="13.875" style="123" customWidth="1"/>
    <col min="5366" max="5366" width="17.25" style="123" customWidth="1"/>
    <col min="5367" max="5368" width="20.5" style="123" customWidth="1"/>
    <col min="5369" max="5369" width="9" style="123" hidden="1" customWidth="1"/>
    <col min="5370" max="5370" width="18.375" style="123" customWidth="1"/>
    <col min="5371" max="5372" width="9" style="123" hidden="1" customWidth="1"/>
    <col min="5373" max="5616" width="9" style="123"/>
    <col min="5617" max="5617" width="6.625" style="123" customWidth="1"/>
    <col min="5618" max="5619" width="21.625" style="123" customWidth="1"/>
    <col min="5620" max="5620" width="16.125" style="123" customWidth="1"/>
    <col min="5621" max="5621" width="13.875" style="123" customWidth="1"/>
    <col min="5622" max="5622" width="17.25" style="123" customWidth="1"/>
    <col min="5623" max="5624" width="20.5" style="123" customWidth="1"/>
    <col min="5625" max="5625" width="9" style="123" hidden="1" customWidth="1"/>
    <col min="5626" max="5626" width="18.375" style="123" customWidth="1"/>
    <col min="5627" max="5628" width="9" style="123" hidden="1" customWidth="1"/>
    <col min="5629" max="5872" width="9" style="123"/>
    <col min="5873" max="5873" width="6.625" style="123" customWidth="1"/>
    <col min="5874" max="5875" width="21.625" style="123" customWidth="1"/>
    <col min="5876" max="5876" width="16.125" style="123" customWidth="1"/>
    <col min="5877" max="5877" width="13.875" style="123" customWidth="1"/>
    <col min="5878" max="5878" width="17.25" style="123" customWidth="1"/>
    <col min="5879" max="5880" width="20.5" style="123" customWidth="1"/>
    <col min="5881" max="5881" width="9" style="123" hidden="1" customWidth="1"/>
    <col min="5882" max="5882" width="18.375" style="123" customWidth="1"/>
    <col min="5883" max="5884" width="9" style="123" hidden="1" customWidth="1"/>
    <col min="5885" max="6128" width="9" style="123"/>
    <col min="6129" max="6129" width="6.625" style="123" customWidth="1"/>
    <col min="6130" max="6131" width="21.625" style="123" customWidth="1"/>
    <col min="6132" max="6132" width="16.125" style="123" customWidth="1"/>
    <col min="6133" max="6133" width="13.875" style="123" customWidth="1"/>
    <col min="6134" max="6134" width="17.25" style="123" customWidth="1"/>
    <col min="6135" max="6136" width="20.5" style="123" customWidth="1"/>
    <col min="6137" max="6137" width="9" style="123" hidden="1" customWidth="1"/>
    <col min="6138" max="6138" width="18.375" style="123" customWidth="1"/>
    <col min="6139" max="6140" width="9" style="123" hidden="1" customWidth="1"/>
    <col min="6141" max="6384" width="9" style="123"/>
    <col min="6385" max="6385" width="6.625" style="123" customWidth="1"/>
    <col min="6386" max="6387" width="21.625" style="123" customWidth="1"/>
    <col min="6388" max="6388" width="16.125" style="123" customWidth="1"/>
    <col min="6389" max="6389" width="13.875" style="123" customWidth="1"/>
    <col min="6390" max="6390" width="17.25" style="123" customWidth="1"/>
    <col min="6391" max="6392" width="20.5" style="123" customWidth="1"/>
    <col min="6393" max="6393" width="9" style="123" hidden="1" customWidth="1"/>
    <col min="6394" max="6394" width="18.375" style="123" customWidth="1"/>
    <col min="6395" max="6396" width="9" style="123" hidden="1" customWidth="1"/>
    <col min="6397" max="6640" width="9" style="123"/>
    <col min="6641" max="6641" width="6.625" style="123" customWidth="1"/>
    <col min="6642" max="6643" width="21.625" style="123" customWidth="1"/>
    <col min="6644" max="6644" width="16.125" style="123" customWidth="1"/>
    <col min="6645" max="6645" width="13.875" style="123" customWidth="1"/>
    <col min="6646" max="6646" width="17.25" style="123" customWidth="1"/>
    <col min="6647" max="6648" width="20.5" style="123" customWidth="1"/>
    <col min="6649" max="6649" width="9" style="123" hidden="1" customWidth="1"/>
    <col min="6650" max="6650" width="18.375" style="123" customWidth="1"/>
    <col min="6651" max="6652" width="9" style="123" hidden="1" customWidth="1"/>
    <col min="6653" max="6896" width="9" style="123"/>
    <col min="6897" max="6897" width="6.625" style="123" customWidth="1"/>
    <col min="6898" max="6899" width="21.625" style="123" customWidth="1"/>
    <col min="6900" max="6900" width="16.125" style="123" customWidth="1"/>
    <col min="6901" max="6901" width="13.875" style="123" customWidth="1"/>
    <col min="6902" max="6902" width="17.25" style="123" customWidth="1"/>
    <col min="6903" max="6904" width="20.5" style="123" customWidth="1"/>
    <col min="6905" max="6905" width="9" style="123" hidden="1" customWidth="1"/>
    <col min="6906" max="6906" width="18.375" style="123" customWidth="1"/>
    <col min="6907" max="6908" width="9" style="123" hidden="1" customWidth="1"/>
    <col min="6909" max="7152" width="9" style="123"/>
    <col min="7153" max="7153" width="6.625" style="123" customWidth="1"/>
    <col min="7154" max="7155" width="21.625" style="123" customWidth="1"/>
    <col min="7156" max="7156" width="16.125" style="123" customWidth="1"/>
    <col min="7157" max="7157" width="13.875" style="123" customWidth="1"/>
    <col min="7158" max="7158" width="17.25" style="123" customWidth="1"/>
    <col min="7159" max="7160" width="20.5" style="123" customWidth="1"/>
    <col min="7161" max="7161" width="9" style="123" hidden="1" customWidth="1"/>
    <col min="7162" max="7162" width="18.375" style="123" customWidth="1"/>
    <col min="7163" max="7164" width="9" style="123" hidden="1" customWidth="1"/>
    <col min="7165" max="7408" width="9" style="123"/>
    <col min="7409" max="7409" width="6.625" style="123" customWidth="1"/>
    <col min="7410" max="7411" width="21.625" style="123" customWidth="1"/>
    <col min="7412" max="7412" width="16.125" style="123" customWidth="1"/>
    <col min="7413" max="7413" width="13.875" style="123" customWidth="1"/>
    <col min="7414" max="7414" width="17.25" style="123" customWidth="1"/>
    <col min="7415" max="7416" width="20.5" style="123" customWidth="1"/>
    <col min="7417" max="7417" width="9" style="123" hidden="1" customWidth="1"/>
    <col min="7418" max="7418" width="18.375" style="123" customWidth="1"/>
    <col min="7419" max="7420" width="9" style="123" hidden="1" customWidth="1"/>
    <col min="7421" max="7664" width="9" style="123"/>
    <col min="7665" max="7665" width="6.625" style="123" customWidth="1"/>
    <col min="7666" max="7667" width="21.625" style="123" customWidth="1"/>
    <col min="7668" max="7668" width="16.125" style="123" customWidth="1"/>
    <col min="7669" max="7669" width="13.875" style="123" customWidth="1"/>
    <col min="7670" max="7670" width="17.25" style="123" customWidth="1"/>
    <col min="7671" max="7672" width="20.5" style="123" customWidth="1"/>
    <col min="7673" max="7673" width="9" style="123" hidden="1" customWidth="1"/>
    <col min="7674" max="7674" width="18.375" style="123" customWidth="1"/>
    <col min="7675" max="7676" width="9" style="123" hidden="1" customWidth="1"/>
    <col min="7677" max="7920" width="9" style="123"/>
    <col min="7921" max="7921" width="6.625" style="123" customWidth="1"/>
    <col min="7922" max="7923" width="21.625" style="123" customWidth="1"/>
    <col min="7924" max="7924" width="16.125" style="123" customWidth="1"/>
    <col min="7925" max="7925" width="13.875" style="123" customWidth="1"/>
    <col min="7926" max="7926" width="17.25" style="123" customWidth="1"/>
    <col min="7927" max="7928" width="20.5" style="123" customWidth="1"/>
    <col min="7929" max="7929" width="9" style="123" hidden="1" customWidth="1"/>
    <col min="7930" max="7930" width="18.375" style="123" customWidth="1"/>
    <col min="7931" max="7932" width="9" style="123" hidden="1" customWidth="1"/>
    <col min="7933" max="8176" width="9" style="123"/>
    <col min="8177" max="8177" width="6.625" style="123" customWidth="1"/>
    <col min="8178" max="8179" width="21.625" style="123" customWidth="1"/>
    <col min="8180" max="8180" width="16.125" style="123" customWidth="1"/>
    <col min="8181" max="8181" width="13.875" style="123" customWidth="1"/>
    <col min="8182" max="8182" width="17.25" style="123" customWidth="1"/>
    <col min="8183" max="8184" width="20.5" style="123" customWidth="1"/>
    <col min="8185" max="8185" width="9" style="123" hidden="1" customWidth="1"/>
    <col min="8186" max="8186" width="18.375" style="123" customWidth="1"/>
    <col min="8187" max="8188" width="9" style="123" hidden="1" customWidth="1"/>
    <col min="8189" max="8432" width="9" style="123"/>
    <col min="8433" max="8433" width="6.625" style="123" customWidth="1"/>
    <col min="8434" max="8435" width="21.625" style="123" customWidth="1"/>
    <col min="8436" max="8436" width="16.125" style="123" customWidth="1"/>
    <col min="8437" max="8437" width="13.875" style="123" customWidth="1"/>
    <col min="8438" max="8438" width="17.25" style="123" customWidth="1"/>
    <col min="8439" max="8440" width="20.5" style="123" customWidth="1"/>
    <col min="8441" max="8441" width="9" style="123" hidden="1" customWidth="1"/>
    <col min="8442" max="8442" width="18.375" style="123" customWidth="1"/>
    <col min="8443" max="8444" width="9" style="123" hidden="1" customWidth="1"/>
    <col min="8445" max="8688" width="9" style="123"/>
    <col min="8689" max="8689" width="6.625" style="123" customWidth="1"/>
    <col min="8690" max="8691" width="21.625" style="123" customWidth="1"/>
    <col min="8692" max="8692" width="16.125" style="123" customWidth="1"/>
    <col min="8693" max="8693" width="13.875" style="123" customWidth="1"/>
    <col min="8694" max="8694" width="17.25" style="123" customWidth="1"/>
    <col min="8695" max="8696" width="20.5" style="123" customWidth="1"/>
    <col min="8697" max="8697" width="9" style="123" hidden="1" customWidth="1"/>
    <col min="8698" max="8698" width="18.375" style="123" customWidth="1"/>
    <col min="8699" max="8700" width="9" style="123" hidden="1" customWidth="1"/>
    <col min="8701" max="8944" width="9" style="123"/>
    <col min="8945" max="8945" width="6.625" style="123" customWidth="1"/>
    <col min="8946" max="8947" width="21.625" style="123" customWidth="1"/>
    <col min="8948" max="8948" width="16.125" style="123" customWidth="1"/>
    <col min="8949" max="8949" width="13.875" style="123" customWidth="1"/>
    <col min="8950" max="8950" width="17.25" style="123" customWidth="1"/>
    <col min="8951" max="8952" width="20.5" style="123" customWidth="1"/>
    <col min="8953" max="8953" width="9" style="123" hidden="1" customWidth="1"/>
    <col min="8954" max="8954" width="18.375" style="123" customWidth="1"/>
    <col min="8955" max="8956" width="9" style="123" hidden="1" customWidth="1"/>
    <col min="8957" max="9200" width="9" style="123"/>
    <col min="9201" max="9201" width="6.625" style="123" customWidth="1"/>
    <col min="9202" max="9203" width="21.625" style="123" customWidth="1"/>
    <col min="9204" max="9204" width="16.125" style="123" customWidth="1"/>
    <col min="9205" max="9205" width="13.875" style="123" customWidth="1"/>
    <col min="9206" max="9206" width="17.25" style="123" customWidth="1"/>
    <col min="9207" max="9208" width="20.5" style="123" customWidth="1"/>
    <col min="9209" max="9209" width="9" style="123" hidden="1" customWidth="1"/>
    <col min="9210" max="9210" width="18.375" style="123" customWidth="1"/>
    <col min="9211" max="9212" width="9" style="123" hidden="1" customWidth="1"/>
    <col min="9213" max="9456" width="9" style="123"/>
    <col min="9457" max="9457" width="6.625" style="123" customWidth="1"/>
    <col min="9458" max="9459" width="21.625" style="123" customWidth="1"/>
    <col min="9460" max="9460" width="16.125" style="123" customWidth="1"/>
    <col min="9461" max="9461" width="13.875" style="123" customWidth="1"/>
    <col min="9462" max="9462" width="17.25" style="123" customWidth="1"/>
    <col min="9463" max="9464" width="20.5" style="123" customWidth="1"/>
    <col min="9465" max="9465" width="9" style="123" hidden="1" customWidth="1"/>
    <col min="9466" max="9466" width="18.375" style="123" customWidth="1"/>
    <col min="9467" max="9468" width="9" style="123" hidden="1" customWidth="1"/>
    <col min="9469" max="9712" width="9" style="123"/>
    <col min="9713" max="9713" width="6.625" style="123" customWidth="1"/>
    <col min="9714" max="9715" width="21.625" style="123" customWidth="1"/>
    <col min="9716" max="9716" width="16.125" style="123" customWidth="1"/>
    <col min="9717" max="9717" width="13.875" style="123" customWidth="1"/>
    <col min="9718" max="9718" width="17.25" style="123" customWidth="1"/>
    <col min="9719" max="9720" width="20.5" style="123" customWidth="1"/>
    <col min="9721" max="9721" width="9" style="123" hidden="1" customWidth="1"/>
    <col min="9722" max="9722" width="18.375" style="123" customWidth="1"/>
    <col min="9723" max="9724" width="9" style="123" hidden="1" customWidth="1"/>
    <col min="9725" max="9968" width="9" style="123"/>
    <col min="9969" max="9969" width="6.625" style="123" customWidth="1"/>
    <col min="9970" max="9971" width="21.625" style="123" customWidth="1"/>
    <col min="9972" max="9972" width="16.125" style="123" customWidth="1"/>
    <col min="9973" max="9973" width="13.875" style="123" customWidth="1"/>
    <col min="9974" max="9974" width="17.25" style="123" customWidth="1"/>
    <col min="9975" max="9976" width="20.5" style="123" customWidth="1"/>
    <col min="9977" max="9977" width="9" style="123" hidden="1" customWidth="1"/>
    <col min="9978" max="9978" width="18.375" style="123" customWidth="1"/>
    <col min="9979" max="9980" width="9" style="123" hidden="1" customWidth="1"/>
    <col min="9981" max="10224" width="9" style="123"/>
    <col min="10225" max="10225" width="6.625" style="123" customWidth="1"/>
    <col min="10226" max="10227" width="21.625" style="123" customWidth="1"/>
    <col min="10228" max="10228" width="16.125" style="123" customWidth="1"/>
    <col min="10229" max="10229" width="13.875" style="123" customWidth="1"/>
    <col min="10230" max="10230" width="17.25" style="123" customWidth="1"/>
    <col min="10231" max="10232" width="20.5" style="123" customWidth="1"/>
    <col min="10233" max="10233" width="9" style="123" hidden="1" customWidth="1"/>
    <col min="10234" max="10234" width="18.375" style="123" customWidth="1"/>
    <col min="10235" max="10236" width="9" style="123" hidden="1" customWidth="1"/>
    <col min="10237" max="10480" width="9" style="123"/>
    <col min="10481" max="10481" width="6.625" style="123" customWidth="1"/>
    <col min="10482" max="10483" width="21.625" style="123" customWidth="1"/>
    <col min="10484" max="10484" width="16.125" style="123" customWidth="1"/>
    <col min="10485" max="10485" width="13.875" style="123" customWidth="1"/>
    <col min="10486" max="10486" width="17.25" style="123" customWidth="1"/>
    <col min="10487" max="10488" width="20.5" style="123" customWidth="1"/>
    <col min="10489" max="10489" width="9" style="123" hidden="1" customWidth="1"/>
    <col min="10490" max="10490" width="18.375" style="123" customWidth="1"/>
    <col min="10491" max="10492" width="9" style="123" hidden="1" customWidth="1"/>
    <col min="10493" max="10736" width="9" style="123"/>
    <col min="10737" max="10737" width="6.625" style="123" customWidth="1"/>
    <col min="10738" max="10739" width="21.625" style="123" customWidth="1"/>
    <col min="10740" max="10740" width="16.125" style="123" customWidth="1"/>
    <col min="10741" max="10741" width="13.875" style="123" customWidth="1"/>
    <col min="10742" max="10742" width="17.25" style="123" customWidth="1"/>
    <col min="10743" max="10744" width="20.5" style="123" customWidth="1"/>
    <col min="10745" max="10745" width="9" style="123" hidden="1" customWidth="1"/>
    <col min="10746" max="10746" width="18.375" style="123" customWidth="1"/>
    <col min="10747" max="10748" width="9" style="123" hidden="1" customWidth="1"/>
    <col min="10749" max="10992" width="9" style="123"/>
    <col min="10993" max="10993" width="6.625" style="123" customWidth="1"/>
    <col min="10994" max="10995" width="21.625" style="123" customWidth="1"/>
    <col min="10996" max="10996" width="16.125" style="123" customWidth="1"/>
    <col min="10997" max="10997" width="13.875" style="123" customWidth="1"/>
    <col min="10998" max="10998" width="17.25" style="123" customWidth="1"/>
    <col min="10999" max="11000" width="20.5" style="123" customWidth="1"/>
    <col min="11001" max="11001" width="9" style="123" hidden="1" customWidth="1"/>
    <col min="11002" max="11002" width="18.375" style="123" customWidth="1"/>
    <col min="11003" max="11004" width="9" style="123" hidden="1" customWidth="1"/>
    <col min="11005" max="11248" width="9" style="123"/>
    <col min="11249" max="11249" width="6.625" style="123" customWidth="1"/>
    <col min="11250" max="11251" width="21.625" style="123" customWidth="1"/>
    <col min="11252" max="11252" width="16.125" style="123" customWidth="1"/>
    <col min="11253" max="11253" width="13.875" style="123" customWidth="1"/>
    <col min="11254" max="11254" width="17.25" style="123" customWidth="1"/>
    <col min="11255" max="11256" width="20.5" style="123" customWidth="1"/>
    <col min="11257" max="11257" width="9" style="123" hidden="1" customWidth="1"/>
    <col min="11258" max="11258" width="18.375" style="123" customWidth="1"/>
    <col min="11259" max="11260" width="9" style="123" hidden="1" customWidth="1"/>
    <col min="11261" max="11504" width="9" style="123"/>
    <col min="11505" max="11505" width="6.625" style="123" customWidth="1"/>
    <col min="11506" max="11507" width="21.625" style="123" customWidth="1"/>
    <col min="11508" max="11508" width="16.125" style="123" customWidth="1"/>
    <col min="11509" max="11509" width="13.875" style="123" customWidth="1"/>
    <col min="11510" max="11510" width="17.25" style="123" customWidth="1"/>
    <col min="11511" max="11512" width="20.5" style="123" customWidth="1"/>
    <col min="11513" max="11513" width="9" style="123" hidden="1" customWidth="1"/>
    <col min="11514" max="11514" width="18.375" style="123" customWidth="1"/>
    <col min="11515" max="11516" width="9" style="123" hidden="1" customWidth="1"/>
    <col min="11517" max="11760" width="9" style="123"/>
    <col min="11761" max="11761" width="6.625" style="123" customWidth="1"/>
    <col min="11762" max="11763" width="21.625" style="123" customWidth="1"/>
    <col min="11764" max="11764" width="16.125" style="123" customWidth="1"/>
    <col min="11765" max="11765" width="13.875" style="123" customWidth="1"/>
    <col min="11766" max="11766" width="17.25" style="123" customWidth="1"/>
    <col min="11767" max="11768" width="20.5" style="123" customWidth="1"/>
    <col min="11769" max="11769" width="9" style="123" hidden="1" customWidth="1"/>
    <col min="11770" max="11770" width="18.375" style="123" customWidth="1"/>
    <col min="11771" max="11772" width="9" style="123" hidden="1" customWidth="1"/>
    <col min="11773" max="12016" width="9" style="123"/>
    <col min="12017" max="12017" width="6.625" style="123" customWidth="1"/>
    <col min="12018" max="12019" width="21.625" style="123" customWidth="1"/>
    <col min="12020" max="12020" width="16.125" style="123" customWidth="1"/>
    <col min="12021" max="12021" width="13.875" style="123" customWidth="1"/>
    <col min="12022" max="12022" width="17.25" style="123" customWidth="1"/>
    <col min="12023" max="12024" width="20.5" style="123" customWidth="1"/>
    <col min="12025" max="12025" width="9" style="123" hidden="1" customWidth="1"/>
    <col min="12026" max="12026" width="18.375" style="123" customWidth="1"/>
    <col min="12027" max="12028" width="9" style="123" hidden="1" customWidth="1"/>
    <col min="12029" max="12272" width="9" style="123"/>
    <col min="12273" max="12273" width="6.625" style="123" customWidth="1"/>
    <col min="12274" max="12275" width="21.625" style="123" customWidth="1"/>
    <col min="12276" max="12276" width="16.125" style="123" customWidth="1"/>
    <col min="12277" max="12277" width="13.875" style="123" customWidth="1"/>
    <col min="12278" max="12278" width="17.25" style="123" customWidth="1"/>
    <col min="12279" max="12280" width="20.5" style="123" customWidth="1"/>
    <col min="12281" max="12281" width="9" style="123" hidden="1" customWidth="1"/>
    <col min="12282" max="12282" width="18.375" style="123" customWidth="1"/>
    <col min="12283" max="12284" width="9" style="123" hidden="1" customWidth="1"/>
    <col min="12285" max="12528" width="9" style="123"/>
    <col min="12529" max="12529" width="6.625" style="123" customWidth="1"/>
    <col min="12530" max="12531" width="21.625" style="123" customWidth="1"/>
    <col min="12532" max="12532" width="16.125" style="123" customWidth="1"/>
    <col min="12533" max="12533" width="13.875" style="123" customWidth="1"/>
    <col min="12534" max="12534" width="17.25" style="123" customWidth="1"/>
    <col min="12535" max="12536" width="20.5" style="123" customWidth="1"/>
    <col min="12537" max="12537" width="9" style="123" hidden="1" customWidth="1"/>
    <col min="12538" max="12538" width="18.375" style="123" customWidth="1"/>
    <col min="12539" max="12540" width="9" style="123" hidden="1" customWidth="1"/>
    <col min="12541" max="12784" width="9" style="123"/>
    <col min="12785" max="12785" width="6.625" style="123" customWidth="1"/>
    <col min="12786" max="12787" width="21.625" style="123" customWidth="1"/>
    <col min="12788" max="12788" width="16.125" style="123" customWidth="1"/>
    <col min="12789" max="12789" width="13.875" style="123" customWidth="1"/>
    <col min="12790" max="12790" width="17.25" style="123" customWidth="1"/>
    <col min="12791" max="12792" width="20.5" style="123" customWidth="1"/>
    <col min="12793" max="12793" width="9" style="123" hidden="1" customWidth="1"/>
    <col min="12794" max="12794" width="18.375" style="123" customWidth="1"/>
    <col min="12795" max="12796" width="9" style="123" hidden="1" customWidth="1"/>
    <col min="12797" max="13040" width="9" style="123"/>
    <col min="13041" max="13041" width="6.625" style="123" customWidth="1"/>
    <col min="13042" max="13043" width="21.625" style="123" customWidth="1"/>
    <col min="13044" max="13044" width="16.125" style="123" customWidth="1"/>
    <col min="13045" max="13045" width="13.875" style="123" customWidth="1"/>
    <col min="13046" max="13046" width="17.25" style="123" customWidth="1"/>
    <col min="13047" max="13048" width="20.5" style="123" customWidth="1"/>
    <col min="13049" max="13049" width="9" style="123" hidden="1" customWidth="1"/>
    <col min="13050" max="13050" width="18.375" style="123" customWidth="1"/>
    <col min="13051" max="13052" width="9" style="123" hidden="1" customWidth="1"/>
    <col min="13053" max="13296" width="9" style="123"/>
    <col min="13297" max="13297" width="6.625" style="123" customWidth="1"/>
    <col min="13298" max="13299" width="21.625" style="123" customWidth="1"/>
    <col min="13300" max="13300" width="16.125" style="123" customWidth="1"/>
    <col min="13301" max="13301" width="13.875" style="123" customWidth="1"/>
    <col min="13302" max="13302" width="17.25" style="123" customWidth="1"/>
    <col min="13303" max="13304" width="20.5" style="123" customWidth="1"/>
    <col min="13305" max="13305" width="9" style="123" hidden="1" customWidth="1"/>
    <col min="13306" max="13306" width="18.375" style="123" customWidth="1"/>
    <col min="13307" max="13308" width="9" style="123" hidden="1" customWidth="1"/>
    <col min="13309" max="13552" width="9" style="123"/>
    <col min="13553" max="13553" width="6.625" style="123" customWidth="1"/>
    <col min="13554" max="13555" width="21.625" style="123" customWidth="1"/>
    <col min="13556" max="13556" width="16.125" style="123" customWidth="1"/>
    <col min="13557" max="13557" width="13.875" style="123" customWidth="1"/>
    <col min="13558" max="13558" width="17.25" style="123" customWidth="1"/>
    <col min="13559" max="13560" width="20.5" style="123" customWidth="1"/>
    <col min="13561" max="13561" width="9" style="123" hidden="1" customWidth="1"/>
    <col min="13562" max="13562" width="18.375" style="123" customWidth="1"/>
    <col min="13563" max="13564" width="9" style="123" hidden="1" customWidth="1"/>
    <col min="13565" max="13808" width="9" style="123"/>
    <col min="13809" max="13809" width="6.625" style="123" customWidth="1"/>
    <col min="13810" max="13811" width="21.625" style="123" customWidth="1"/>
    <col min="13812" max="13812" width="16.125" style="123" customWidth="1"/>
    <col min="13813" max="13813" width="13.875" style="123" customWidth="1"/>
    <col min="13814" max="13814" width="17.25" style="123" customWidth="1"/>
    <col min="13815" max="13816" width="20.5" style="123" customWidth="1"/>
    <col min="13817" max="13817" width="9" style="123" hidden="1" customWidth="1"/>
    <col min="13818" max="13818" width="18.375" style="123" customWidth="1"/>
    <col min="13819" max="13820" width="9" style="123" hidden="1" customWidth="1"/>
    <col min="13821" max="14064" width="9" style="123"/>
    <col min="14065" max="14065" width="6.625" style="123" customWidth="1"/>
    <col min="14066" max="14067" width="21.625" style="123" customWidth="1"/>
    <col min="14068" max="14068" width="16.125" style="123" customWidth="1"/>
    <col min="14069" max="14069" width="13.875" style="123" customWidth="1"/>
    <col min="14070" max="14070" width="17.25" style="123" customWidth="1"/>
    <col min="14071" max="14072" width="20.5" style="123" customWidth="1"/>
    <col min="14073" max="14073" width="9" style="123" hidden="1" customWidth="1"/>
    <col min="14074" max="14074" width="18.375" style="123" customWidth="1"/>
    <col min="14075" max="14076" width="9" style="123" hidden="1" customWidth="1"/>
    <col min="14077" max="14320" width="9" style="123"/>
    <col min="14321" max="14321" width="6.625" style="123" customWidth="1"/>
    <col min="14322" max="14323" width="21.625" style="123" customWidth="1"/>
    <col min="14324" max="14324" width="16.125" style="123" customWidth="1"/>
    <col min="14325" max="14325" width="13.875" style="123" customWidth="1"/>
    <col min="14326" max="14326" width="17.25" style="123" customWidth="1"/>
    <col min="14327" max="14328" width="20.5" style="123" customWidth="1"/>
    <col min="14329" max="14329" width="9" style="123" hidden="1" customWidth="1"/>
    <col min="14330" max="14330" width="18.375" style="123" customWidth="1"/>
    <col min="14331" max="14332" width="9" style="123" hidden="1" customWidth="1"/>
    <col min="14333" max="14576" width="9" style="123"/>
    <col min="14577" max="14577" width="6.625" style="123" customWidth="1"/>
    <col min="14578" max="14579" width="21.625" style="123" customWidth="1"/>
    <col min="14580" max="14580" width="16.125" style="123" customWidth="1"/>
    <col min="14581" max="14581" width="13.875" style="123" customWidth="1"/>
    <col min="14582" max="14582" width="17.25" style="123" customWidth="1"/>
    <col min="14583" max="14584" width="20.5" style="123" customWidth="1"/>
    <col min="14585" max="14585" width="9" style="123" hidden="1" customWidth="1"/>
    <col min="14586" max="14586" width="18.375" style="123" customWidth="1"/>
    <col min="14587" max="14588" width="9" style="123" hidden="1" customWidth="1"/>
    <col min="14589" max="14832" width="9" style="123"/>
    <col min="14833" max="14833" width="6.625" style="123" customWidth="1"/>
    <col min="14834" max="14835" width="21.625" style="123" customWidth="1"/>
    <col min="14836" max="14836" width="16.125" style="123" customWidth="1"/>
    <col min="14837" max="14837" width="13.875" style="123" customWidth="1"/>
    <col min="14838" max="14838" width="17.25" style="123" customWidth="1"/>
    <col min="14839" max="14840" width="20.5" style="123" customWidth="1"/>
    <col min="14841" max="14841" width="9" style="123" hidden="1" customWidth="1"/>
    <col min="14842" max="14842" width="18.375" style="123" customWidth="1"/>
    <col min="14843" max="14844" width="9" style="123" hidden="1" customWidth="1"/>
    <col min="14845" max="15088" width="9" style="123"/>
    <col min="15089" max="15089" width="6.625" style="123" customWidth="1"/>
    <col min="15090" max="15091" width="21.625" style="123" customWidth="1"/>
    <col min="15092" max="15092" width="16.125" style="123" customWidth="1"/>
    <col min="15093" max="15093" width="13.875" style="123" customWidth="1"/>
    <col min="15094" max="15094" width="17.25" style="123" customWidth="1"/>
    <col min="15095" max="15096" width="20.5" style="123" customWidth="1"/>
    <col min="15097" max="15097" width="9" style="123" hidden="1" customWidth="1"/>
    <col min="15098" max="15098" width="18.375" style="123" customWidth="1"/>
    <col min="15099" max="15100" width="9" style="123" hidden="1" customWidth="1"/>
    <col min="15101" max="15344" width="9" style="123"/>
    <col min="15345" max="15345" width="6.625" style="123" customWidth="1"/>
    <col min="15346" max="15347" width="21.625" style="123" customWidth="1"/>
    <col min="15348" max="15348" width="16.125" style="123" customWidth="1"/>
    <col min="15349" max="15349" width="13.875" style="123" customWidth="1"/>
    <col min="15350" max="15350" width="17.25" style="123" customWidth="1"/>
    <col min="15351" max="15352" width="20.5" style="123" customWidth="1"/>
    <col min="15353" max="15353" width="9" style="123" hidden="1" customWidth="1"/>
    <col min="15354" max="15354" width="18.375" style="123" customWidth="1"/>
    <col min="15355" max="15356" width="9" style="123" hidden="1" customWidth="1"/>
    <col min="15357" max="15600" width="9" style="123"/>
    <col min="15601" max="15601" width="6.625" style="123" customWidth="1"/>
    <col min="15602" max="15603" width="21.625" style="123" customWidth="1"/>
    <col min="15604" max="15604" width="16.125" style="123" customWidth="1"/>
    <col min="15605" max="15605" width="13.875" style="123" customWidth="1"/>
    <col min="15606" max="15606" width="17.25" style="123" customWidth="1"/>
    <col min="15607" max="15608" width="20.5" style="123" customWidth="1"/>
    <col min="15609" max="15609" width="9" style="123" hidden="1" customWidth="1"/>
    <col min="15610" max="15610" width="18.375" style="123" customWidth="1"/>
    <col min="15611" max="15612" width="9" style="123" hidden="1" customWidth="1"/>
    <col min="15613" max="15856" width="9" style="123"/>
    <col min="15857" max="15857" width="6.625" style="123" customWidth="1"/>
    <col min="15858" max="15859" width="21.625" style="123" customWidth="1"/>
    <col min="15860" max="15860" width="16.125" style="123" customWidth="1"/>
    <col min="15861" max="15861" width="13.875" style="123" customWidth="1"/>
    <col min="15862" max="15862" width="17.25" style="123" customWidth="1"/>
    <col min="15863" max="15864" width="20.5" style="123" customWidth="1"/>
    <col min="15865" max="15865" width="9" style="123" hidden="1" customWidth="1"/>
    <col min="15866" max="15866" width="18.375" style="123" customWidth="1"/>
    <col min="15867" max="15868" width="9" style="123" hidden="1" customWidth="1"/>
    <col min="15869" max="16112" width="9" style="123"/>
    <col min="16113" max="16113" width="6.625" style="123" customWidth="1"/>
    <col min="16114" max="16115" width="21.625" style="123" customWidth="1"/>
    <col min="16116" max="16116" width="16.125" style="123" customWidth="1"/>
    <col min="16117" max="16117" width="13.875" style="123" customWidth="1"/>
    <col min="16118" max="16118" width="17.25" style="123" customWidth="1"/>
    <col min="16119" max="16120" width="20.5" style="123" customWidth="1"/>
    <col min="16121" max="16121" width="9" style="123" hidden="1" customWidth="1"/>
    <col min="16122" max="16122" width="18.375" style="123" customWidth="1"/>
    <col min="16123" max="16124" width="9" style="123" hidden="1" customWidth="1"/>
    <col min="16125" max="16384" width="9" style="123"/>
  </cols>
  <sheetData>
    <row r="1" spans="1:7" ht="30" customHeight="1">
      <c r="A1" s="135" t="s">
        <v>398</v>
      </c>
      <c r="B1" s="136"/>
      <c r="C1" s="136"/>
      <c r="D1" s="136"/>
      <c r="E1" s="136"/>
      <c r="F1" s="137"/>
      <c r="G1" s="137"/>
    </row>
    <row r="2" spans="1:7" ht="35.1" customHeight="1">
      <c r="A2" s="138" t="s">
        <v>412</v>
      </c>
      <c r="B2" s="139"/>
      <c r="C2" s="140" t="s">
        <v>399</v>
      </c>
      <c r="D2" s="140"/>
      <c r="E2" s="140"/>
      <c r="F2" s="141"/>
      <c r="G2" s="141"/>
    </row>
    <row r="3" spans="1:7" s="126" customFormat="1" ht="30" customHeight="1">
      <c r="A3" s="124" t="s">
        <v>3</v>
      </c>
      <c r="B3" s="124" t="s">
        <v>400</v>
      </c>
      <c r="C3" s="124" t="s">
        <v>401</v>
      </c>
      <c r="D3" s="125" t="s">
        <v>402</v>
      </c>
      <c r="E3" s="124" t="s">
        <v>403</v>
      </c>
      <c r="F3" s="124" t="s">
        <v>404</v>
      </c>
      <c r="G3" s="124" t="s">
        <v>405</v>
      </c>
    </row>
    <row r="4" spans="1:7" ht="30" customHeight="1">
      <c r="A4" s="127">
        <v>1</v>
      </c>
      <c r="B4" s="127" t="s">
        <v>0</v>
      </c>
      <c r="C4" s="128">
        <f>七宝!Y5+清算2024年绩效!Q24+'2024年绩效增量'!C4+补缴年金!J5</f>
        <v>646430580.76999986</v>
      </c>
      <c r="D4" s="128">
        <f>补缴年金!J5</f>
        <v>529590.15</v>
      </c>
      <c r="E4" s="128">
        <f>C4-D4</f>
        <v>645900990.61999989</v>
      </c>
      <c r="F4" s="128"/>
      <c r="G4" s="128">
        <f>C4-F4-D4</f>
        <v>645900990.61999989</v>
      </c>
    </row>
    <row r="5" spans="1:7" ht="30" customHeight="1">
      <c r="A5" s="124">
        <v>2</v>
      </c>
      <c r="B5" s="124" t="s">
        <v>1</v>
      </c>
      <c r="C5" s="129">
        <f>七宝!Y37</f>
        <v>113592734.67000002</v>
      </c>
      <c r="D5" s="129"/>
      <c r="E5" s="128">
        <f t="shared" ref="E5:E11" si="0">C5-D5</f>
        <v>113592734.67000002</v>
      </c>
      <c r="F5" s="129"/>
      <c r="G5" s="128">
        <f t="shared" ref="G5:G11" si="1">C5-F5-D5</f>
        <v>113592734.67000002</v>
      </c>
    </row>
    <row r="6" spans="1:7" ht="30" customHeight="1">
      <c r="A6" s="124">
        <v>3</v>
      </c>
      <c r="B6" s="124" t="s">
        <v>406</v>
      </c>
      <c r="C6" s="129">
        <f>七宝!Y32</f>
        <v>10849089.199999999</v>
      </c>
      <c r="D6" s="129"/>
      <c r="E6" s="128">
        <f t="shared" si="0"/>
        <v>10849089.199999999</v>
      </c>
      <c r="F6" s="129"/>
      <c r="G6" s="128">
        <f t="shared" si="1"/>
        <v>10849089.199999999</v>
      </c>
    </row>
    <row r="7" spans="1:7" ht="30" customHeight="1">
      <c r="A7" s="127">
        <v>4</v>
      </c>
      <c r="B7" s="124" t="s">
        <v>407</v>
      </c>
      <c r="C7" s="129">
        <f>残疾就业保障!E23</f>
        <v>5739531.4500000002</v>
      </c>
      <c r="D7" s="129"/>
      <c r="E7" s="128">
        <f t="shared" si="0"/>
        <v>5739531.4500000002</v>
      </c>
      <c r="F7" s="129"/>
      <c r="G7" s="128">
        <f t="shared" si="1"/>
        <v>5739531.4500000002</v>
      </c>
    </row>
    <row r="8" spans="1:7" ht="30" customHeight="1">
      <c r="A8" s="124">
        <v>5</v>
      </c>
      <c r="B8" s="124" t="s">
        <v>408</v>
      </c>
      <c r="C8" s="129">
        <f>社区教育!C4</f>
        <v>829104</v>
      </c>
      <c r="D8" s="129"/>
      <c r="E8" s="128">
        <f t="shared" si="0"/>
        <v>829104</v>
      </c>
      <c r="F8" s="129"/>
      <c r="G8" s="128">
        <f t="shared" si="1"/>
        <v>829104</v>
      </c>
    </row>
    <row r="9" spans="1:7" ht="30" customHeight="1">
      <c r="A9" s="124">
        <v>6</v>
      </c>
      <c r="B9" s="124" t="s">
        <v>409</v>
      </c>
      <c r="C9" s="129">
        <f>保安经费!G34</f>
        <v>20475000</v>
      </c>
      <c r="D9" s="129"/>
      <c r="E9" s="128">
        <f t="shared" si="0"/>
        <v>20475000</v>
      </c>
      <c r="F9" s="129">
        <f>C9</f>
        <v>20475000</v>
      </c>
      <c r="G9" s="128">
        <f t="shared" si="1"/>
        <v>0</v>
      </c>
    </row>
    <row r="10" spans="1:7" ht="30" customHeight="1">
      <c r="A10" s="127">
        <v>7</v>
      </c>
      <c r="B10" s="124" t="s">
        <v>410</v>
      </c>
      <c r="C10" s="129">
        <v>40000</v>
      </c>
      <c r="D10" s="129"/>
      <c r="E10" s="128">
        <f t="shared" si="0"/>
        <v>40000</v>
      </c>
      <c r="F10" s="129"/>
      <c r="G10" s="128">
        <f t="shared" si="1"/>
        <v>40000</v>
      </c>
    </row>
    <row r="11" spans="1:7" ht="30" customHeight="1">
      <c r="A11" s="124">
        <v>8</v>
      </c>
      <c r="B11" s="124" t="s">
        <v>411</v>
      </c>
      <c r="C11" s="129">
        <f>补充公用经费!AO23+清算补充公用经费!E13</f>
        <v>61285128</v>
      </c>
      <c r="D11" s="129"/>
      <c r="E11" s="128">
        <f t="shared" si="0"/>
        <v>61285128</v>
      </c>
      <c r="F11" s="129"/>
      <c r="G11" s="128">
        <f t="shared" si="1"/>
        <v>61285128</v>
      </c>
    </row>
    <row r="12" spans="1:7" ht="30" customHeight="1">
      <c r="A12" s="124"/>
      <c r="B12" s="124" t="s">
        <v>7</v>
      </c>
      <c r="C12" s="129">
        <f>SUM(C4:C11)</f>
        <v>859241168.08999991</v>
      </c>
      <c r="D12" s="129">
        <f>SUM(D4:D11)</f>
        <v>529590.15</v>
      </c>
      <c r="E12" s="129">
        <f>SUM(E4:E11)</f>
        <v>858711577.94000006</v>
      </c>
      <c r="F12" s="129">
        <f>SUM(F4:F11)</f>
        <v>20475000</v>
      </c>
      <c r="G12" s="129">
        <f>SUM(G4:G11)</f>
        <v>838236577.94000006</v>
      </c>
    </row>
    <row r="13" spans="1:7" ht="30" customHeight="1"/>
    <row r="14" spans="1:7" ht="30" customHeight="1"/>
  </sheetData>
  <mergeCells count="3">
    <mergeCell ref="A1:G1"/>
    <mergeCell ref="A2:B2"/>
    <mergeCell ref="C2:G2"/>
  </mergeCells>
  <phoneticPr fontId="1" type="noConversion"/>
  <pageMargins left="0.70866141732283472" right="0.70866141732283472" top="0.74803149606299213" bottom="0.74803149606299213" header="0.31496062992125984" footer="0.31496062992125984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Y74"/>
  <sheetViews>
    <sheetView topLeftCell="I28" workbookViewId="0">
      <selection activeCell="I3" sqref="I1:I1048576"/>
    </sheetView>
  </sheetViews>
  <sheetFormatPr defaultRowHeight="11.25"/>
  <cols>
    <col min="1" max="1" width="4.125" style="9" customWidth="1"/>
    <col min="2" max="2" width="12.125" style="1" customWidth="1"/>
    <col min="3" max="3" width="5.375" style="1" hidden="1" customWidth="1"/>
    <col min="4" max="4" width="6.125" style="10" hidden="1" customWidth="1"/>
    <col min="5" max="25" width="11.625" style="1" customWidth="1"/>
    <col min="26" max="16384" width="9" style="1"/>
  </cols>
  <sheetData>
    <row r="1" spans="1:25" s="64" customFormat="1" ht="20.100000000000001" customHeight="1">
      <c r="A1" s="142" t="s">
        <v>315</v>
      </c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3"/>
      <c r="M1" s="143"/>
      <c r="N1" s="143"/>
      <c r="O1" s="143"/>
      <c r="P1" s="143"/>
      <c r="Q1" s="143"/>
      <c r="R1" s="143"/>
      <c r="S1" s="143"/>
      <c r="T1" s="143"/>
      <c r="U1" s="143"/>
      <c r="V1" s="143"/>
      <c r="W1" s="143"/>
      <c r="X1" s="143"/>
      <c r="Y1" s="143"/>
    </row>
    <row r="2" spans="1:25" ht="24.95" customHeight="1">
      <c r="A2" s="144" t="s">
        <v>3</v>
      </c>
      <c r="B2" s="144" t="s">
        <v>4</v>
      </c>
      <c r="C2" s="144" t="s">
        <v>5</v>
      </c>
      <c r="D2" s="144" t="s">
        <v>6</v>
      </c>
      <c r="E2" s="34" t="s">
        <v>151</v>
      </c>
      <c r="F2" s="34" t="s">
        <v>152</v>
      </c>
      <c r="G2" s="34" t="s">
        <v>153</v>
      </c>
      <c r="H2" s="34" t="s">
        <v>154</v>
      </c>
      <c r="I2" s="34" t="s">
        <v>155</v>
      </c>
      <c r="J2" s="34" t="s">
        <v>156</v>
      </c>
      <c r="K2" s="34" t="s">
        <v>157</v>
      </c>
      <c r="L2" s="34" t="s">
        <v>158</v>
      </c>
      <c r="M2" s="34" t="s">
        <v>159</v>
      </c>
      <c r="N2" s="34" t="s">
        <v>160</v>
      </c>
      <c r="O2" s="34" t="s">
        <v>161</v>
      </c>
      <c r="P2" s="34" t="s">
        <v>162</v>
      </c>
      <c r="Q2" s="34" t="s">
        <v>163</v>
      </c>
      <c r="R2" s="34" t="s">
        <v>164</v>
      </c>
      <c r="S2" s="34" t="s">
        <v>165</v>
      </c>
      <c r="T2" s="34" t="s">
        <v>166</v>
      </c>
      <c r="U2" s="34" t="s">
        <v>167</v>
      </c>
      <c r="V2" s="34" t="s">
        <v>168</v>
      </c>
      <c r="W2" s="34" t="s">
        <v>169</v>
      </c>
      <c r="X2" s="34" t="s">
        <v>170</v>
      </c>
      <c r="Y2" s="144" t="s">
        <v>7</v>
      </c>
    </row>
    <row r="3" spans="1:25" ht="24.95" customHeight="1">
      <c r="A3" s="145"/>
      <c r="B3" s="145"/>
      <c r="C3" s="145"/>
      <c r="D3" s="145"/>
      <c r="E3" s="18" t="s">
        <v>209</v>
      </c>
      <c r="F3" s="18" t="s">
        <v>209</v>
      </c>
      <c r="G3" s="18" t="s">
        <v>209</v>
      </c>
      <c r="H3" s="18" t="s">
        <v>209</v>
      </c>
      <c r="I3" s="18" t="s">
        <v>208</v>
      </c>
      <c r="J3" s="18" t="s">
        <v>208</v>
      </c>
      <c r="K3" s="18" t="s">
        <v>208</v>
      </c>
      <c r="L3" s="18" t="s">
        <v>208</v>
      </c>
      <c r="M3" s="18" t="s">
        <v>208</v>
      </c>
      <c r="N3" s="18" t="s">
        <v>205</v>
      </c>
      <c r="O3" s="18" t="s">
        <v>205</v>
      </c>
      <c r="P3" s="18" t="s">
        <v>205</v>
      </c>
      <c r="Q3" s="18" t="s">
        <v>205</v>
      </c>
      <c r="R3" s="18" t="s">
        <v>205</v>
      </c>
      <c r="S3" s="18" t="s">
        <v>206</v>
      </c>
      <c r="T3" s="18" t="s">
        <v>205</v>
      </c>
      <c r="U3" s="18" t="s">
        <v>207</v>
      </c>
      <c r="V3" s="18" t="s">
        <v>205</v>
      </c>
      <c r="W3" s="18" t="s">
        <v>205</v>
      </c>
      <c r="X3" s="18" t="s">
        <v>205</v>
      </c>
      <c r="Y3" s="145"/>
    </row>
    <row r="4" spans="1:25" ht="24.95" customHeight="1">
      <c r="A4" s="19" t="s">
        <v>8</v>
      </c>
      <c r="B4" s="20" t="s">
        <v>9</v>
      </c>
      <c r="C4" s="20"/>
      <c r="D4" s="21" t="s">
        <v>10</v>
      </c>
      <c r="E4" s="22">
        <f t="shared" ref="E4:X4" si="0">E5+E32+E37</f>
        <v>123679896.22999999</v>
      </c>
      <c r="F4" s="22">
        <f t="shared" si="0"/>
        <v>42674178.579999998</v>
      </c>
      <c r="G4" s="22">
        <f t="shared" si="0"/>
        <v>36775619.049999997</v>
      </c>
      <c r="H4" s="22">
        <f t="shared" si="0"/>
        <v>47574334.219999999</v>
      </c>
      <c r="I4" s="22">
        <f t="shared" si="0"/>
        <v>155089921.33000001</v>
      </c>
      <c r="J4" s="22">
        <f t="shared" si="0"/>
        <v>25671099.18</v>
      </c>
      <c r="K4" s="22">
        <f t="shared" si="0"/>
        <v>59082254.959999993</v>
      </c>
      <c r="L4" s="22">
        <f t="shared" si="0"/>
        <v>24359039.82</v>
      </c>
      <c r="M4" s="22">
        <f t="shared" si="0"/>
        <v>55658006.520000003</v>
      </c>
      <c r="N4" s="22">
        <f t="shared" si="0"/>
        <v>35227661.200000003</v>
      </c>
      <c r="O4" s="22">
        <f t="shared" si="0"/>
        <v>16095520.27</v>
      </c>
      <c r="P4" s="22">
        <f t="shared" si="0"/>
        <v>17774278.849999998</v>
      </c>
      <c r="Q4" s="22">
        <f t="shared" si="0"/>
        <v>10691313.93</v>
      </c>
      <c r="R4" s="22">
        <f t="shared" si="0"/>
        <v>15563313.899999999</v>
      </c>
      <c r="S4" s="22">
        <f t="shared" si="0"/>
        <v>3141847.15</v>
      </c>
      <c r="T4" s="22">
        <f t="shared" si="0"/>
        <v>15984353.949999999</v>
      </c>
      <c r="U4" s="22">
        <f t="shared" si="0"/>
        <v>54247307.549999997</v>
      </c>
      <c r="V4" s="22">
        <f t="shared" si="0"/>
        <v>7180418.379999999</v>
      </c>
      <c r="W4" s="22">
        <f t="shared" si="0"/>
        <v>26858614.850000001</v>
      </c>
      <c r="X4" s="22">
        <f t="shared" si="0"/>
        <v>5226212.0199999996</v>
      </c>
      <c r="Y4" s="22">
        <f t="shared" ref="Y4:Y67" si="1">SUM(E4:X4)</f>
        <v>778555191.93999994</v>
      </c>
    </row>
    <row r="5" spans="1:25" ht="24.95" customHeight="1">
      <c r="A5" s="19" t="s">
        <v>11</v>
      </c>
      <c r="B5" s="20" t="s">
        <v>0</v>
      </c>
      <c r="C5" s="20"/>
      <c r="D5" s="21" t="s">
        <v>10</v>
      </c>
      <c r="E5" s="22">
        <f>E6+E9+E13+E16+E21+E26+E28+E30+E31</f>
        <v>103475681.14999999</v>
      </c>
      <c r="F5" s="22">
        <f t="shared" ref="F5:X5" si="2">F6+F9+F13+F16+F21+F26+F28+F30+F31</f>
        <v>35021807.149999999</v>
      </c>
      <c r="G5" s="22">
        <f t="shared" si="2"/>
        <v>29916835.710000001</v>
      </c>
      <c r="H5" s="22">
        <f t="shared" si="2"/>
        <v>39830768.559999995</v>
      </c>
      <c r="I5" s="22">
        <f t="shared" si="2"/>
        <v>130019167.44000001</v>
      </c>
      <c r="J5" s="22">
        <f t="shared" si="2"/>
        <v>21698245.440000001</v>
      </c>
      <c r="K5" s="22">
        <f t="shared" si="2"/>
        <v>49168209.229999997</v>
      </c>
      <c r="L5" s="22">
        <f t="shared" si="2"/>
        <v>20612076.559999999</v>
      </c>
      <c r="M5" s="22">
        <f t="shared" si="2"/>
        <v>47276106.230000004</v>
      </c>
      <c r="N5" s="22">
        <f t="shared" si="2"/>
        <v>30222078.289999999</v>
      </c>
      <c r="O5" s="22">
        <f t="shared" si="2"/>
        <v>13320412.559999999</v>
      </c>
      <c r="P5" s="22">
        <f t="shared" si="2"/>
        <v>15162754.289999999</v>
      </c>
      <c r="Q5" s="22">
        <f t="shared" si="2"/>
        <v>9361678.8399999999</v>
      </c>
      <c r="R5" s="22">
        <f t="shared" si="2"/>
        <v>13190629.039999999</v>
      </c>
      <c r="S5" s="22">
        <f t="shared" si="2"/>
        <v>2647160.29</v>
      </c>
      <c r="T5" s="22">
        <f t="shared" si="2"/>
        <v>14221134.289999999</v>
      </c>
      <c r="U5" s="22">
        <f t="shared" si="2"/>
        <v>44736412.289999999</v>
      </c>
      <c r="V5" s="22">
        <f t="shared" si="2"/>
        <v>5984493.1499999994</v>
      </c>
      <c r="W5" s="22">
        <f t="shared" si="2"/>
        <v>24144545.710000001</v>
      </c>
      <c r="X5" s="22">
        <f t="shared" si="2"/>
        <v>4103171.85</v>
      </c>
      <c r="Y5" s="22">
        <f t="shared" si="1"/>
        <v>654113368.06999993</v>
      </c>
    </row>
    <row r="6" spans="1:25" ht="24.95" customHeight="1">
      <c r="A6" s="19" t="s">
        <v>12</v>
      </c>
      <c r="B6" s="20" t="s">
        <v>13</v>
      </c>
      <c r="C6" s="20"/>
      <c r="D6" s="21" t="s">
        <v>10</v>
      </c>
      <c r="E6" s="22">
        <f>E7+E8</f>
        <v>13346017</v>
      </c>
      <c r="F6" s="22">
        <f t="shared" ref="F6:X6" si="3">F7+F8</f>
        <v>4575828</v>
      </c>
      <c r="G6" s="22">
        <f t="shared" si="3"/>
        <v>3961992</v>
      </c>
      <c r="H6" s="22">
        <f t="shared" si="3"/>
        <v>4764552</v>
      </c>
      <c r="I6" s="22">
        <f t="shared" si="3"/>
        <v>16713215</v>
      </c>
      <c r="J6" s="22">
        <f t="shared" si="3"/>
        <v>2976804</v>
      </c>
      <c r="K6" s="22">
        <f t="shared" si="3"/>
        <v>5856958.0800000001</v>
      </c>
      <c r="L6" s="22">
        <f t="shared" si="3"/>
        <v>2769900</v>
      </c>
      <c r="M6" s="22">
        <f t="shared" si="3"/>
        <v>5720996.5200000005</v>
      </c>
      <c r="N6" s="22">
        <f t="shared" si="3"/>
        <v>4382400</v>
      </c>
      <c r="O6" s="22">
        <f t="shared" si="3"/>
        <v>1986792</v>
      </c>
      <c r="P6" s="22">
        <f t="shared" si="3"/>
        <v>1979256</v>
      </c>
      <c r="Q6" s="22">
        <f t="shared" si="3"/>
        <v>1269622.3999999999</v>
      </c>
      <c r="R6" s="22">
        <f t="shared" si="3"/>
        <v>1933330.75</v>
      </c>
      <c r="S6" s="22">
        <f t="shared" si="3"/>
        <v>359736</v>
      </c>
      <c r="T6" s="22">
        <f t="shared" si="3"/>
        <v>1961892</v>
      </c>
      <c r="U6" s="22">
        <f t="shared" si="3"/>
        <v>4841988</v>
      </c>
      <c r="V6" s="22">
        <f t="shared" si="3"/>
        <v>774180</v>
      </c>
      <c r="W6" s="22">
        <f t="shared" si="3"/>
        <v>3463896</v>
      </c>
      <c r="X6" s="22">
        <f t="shared" si="3"/>
        <v>492922</v>
      </c>
      <c r="Y6" s="22">
        <f t="shared" si="1"/>
        <v>84132277.75</v>
      </c>
    </row>
    <row r="7" spans="1:25" ht="24.95" customHeight="1">
      <c r="A7" s="19" t="s">
        <v>14</v>
      </c>
      <c r="B7" s="20" t="s">
        <v>15</v>
      </c>
      <c r="C7" s="20" t="s">
        <v>16</v>
      </c>
      <c r="D7" s="21" t="s">
        <v>17</v>
      </c>
      <c r="E7" s="24">
        <v>7331142</v>
      </c>
      <c r="F7" s="24">
        <f>217520*12</f>
        <v>2610240</v>
      </c>
      <c r="G7" s="24">
        <v>2195160</v>
      </c>
      <c r="H7" s="24">
        <f>243457*12</f>
        <v>2921484</v>
      </c>
      <c r="I7" s="24">
        <v>9736373</v>
      </c>
      <c r="J7" s="24">
        <v>1558896</v>
      </c>
      <c r="K7" s="24">
        <f>294035.84*12</f>
        <v>3528430.08</v>
      </c>
      <c r="L7" s="24">
        <f>120511*12</f>
        <v>1446132</v>
      </c>
      <c r="M7" s="24">
        <f>291512.71*12</f>
        <v>3498152.5200000005</v>
      </c>
      <c r="N7" s="24">
        <f>197084*12</f>
        <v>2365008</v>
      </c>
      <c r="O7" s="24">
        <f>86075*12</f>
        <v>1032900</v>
      </c>
      <c r="P7" s="24">
        <f>103202*12</f>
        <v>1238424</v>
      </c>
      <c r="Q7" s="24">
        <v>766767.4</v>
      </c>
      <c r="R7" s="24">
        <v>1045390</v>
      </c>
      <c r="S7" s="24">
        <v>183000</v>
      </c>
      <c r="T7" s="24">
        <v>1156320</v>
      </c>
      <c r="U7" s="24">
        <f>273300*12</f>
        <v>3279600</v>
      </c>
      <c r="V7" s="24">
        <f>39325*12</f>
        <v>471900</v>
      </c>
      <c r="W7" s="24">
        <f>159189*12</f>
        <v>1910268</v>
      </c>
      <c r="X7" s="24">
        <v>317548</v>
      </c>
      <c r="Y7" s="22">
        <f t="shared" si="1"/>
        <v>48593135</v>
      </c>
    </row>
    <row r="8" spans="1:25" ht="24.95" customHeight="1">
      <c r="A8" s="19" t="s">
        <v>18</v>
      </c>
      <c r="B8" s="20" t="s">
        <v>19</v>
      </c>
      <c r="C8" s="20" t="s">
        <v>16</v>
      </c>
      <c r="D8" s="21" t="s">
        <v>17</v>
      </c>
      <c r="E8" s="24">
        <v>6014875</v>
      </c>
      <c r="F8" s="24">
        <f>163799*12</f>
        <v>1965588</v>
      </c>
      <c r="G8" s="24">
        <v>1766832</v>
      </c>
      <c r="H8" s="24">
        <f>153589*12</f>
        <v>1843068</v>
      </c>
      <c r="I8" s="24">
        <v>6976842</v>
      </c>
      <c r="J8" s="24">
        <v>1417908</v>
      </c>
      <c r="K8" s="24">
        <f>194044*12</f>
        <v>2328528</v>
      </c>
      <c r="L8" s="24">
        <f>110314*12</f>
        <v>1323768</v>
      </c>
      <c r="M8" s="24">
        <f>185237*12</f>
        <v>2222844</v>
      </c>
      <c r="N8" s="24">
        <f>168116*12</f>
        <v>2017392</v>
      </c>
      <c r="O8" s="24">
        <f>79491*12</f>
        <v>953892</v>
      </c>
      <c r="P8" s="24">
        <f>61736*12</f>
        <v>740832</v>
      </c>
      <c r="Q8" s="24">
        <v>502855</v>
      </c>
      <c r="R8" s="24">
        <v>887940.75</v>
      </c>
      <c r="S8" s="24">
        <v>176736</v>
      </c>
      <c r="T8" s="24">
        <v>805572</v>
      </c>
      <c r="U8" s="24">
        <f>130199*12</f>
        <v>1562388</v>
      </c>
      <c r="V8" s="24">
        <f>25190*12</f>
        <v>302280</v>
      </c>
      <c r="W8" s="24">
        <f>129469*12</f>
        <v>1553628</v>
      </c>
      <c r="X8" s="24">
        <v>175374</v>
      </c>
      <c r="Y8" s="22">
        <f t="shared" si="1"/>
        <v>35539142.75</v>
      </c>
    </row>
    <row r="9" spans="1:25" ht="24.95" customHeight="1">
      <c r="A9" s="19" t="s">
        <v>20</v>
      </c>
      <c r="B9" s="20" t="s">
        <v>21</v>
      </c>
      <c r="C9" s="20"/>
      <c r="D9" s="21" t="s">
        <v>10</v>
      </c>
      <c r="E9" s="22">
        <f>E10+E11</f>
        <v>1433780</v>
      </c>
      <c r="F9" s="22">
        <f t="shared" ref="F9:X9" si="4">F10+F11</f>
        <v>487308</v>
      </c>
      <c r="G9" s="22">
        <f t="shared" si="4"/>
        <v>423072</v>
      </c>
      <c r="H9" s="22">
        <f t="shared" si="4"/>
        <v>565284</v>
      </c>
      <c r="I9" s="22">
        <f t="shared" si="4"/>
        <v>1918399</v>
      </c>
      <c r="J9" s="22">
        <f t="shared" si="4"/>
        <v>316548</v>
      </c>
      <c r="K9" s="22">
        <f t="shared" si="4"/>
        <v>719484</v>
      </c>
      <c r="L9" s="22">
        <f t="shared" si="4"/>
        <v>300420</v>
      </c>
      <c r="M9" s="22">
        <f t="shared" si="4"/>
        <v>693684</v>
      </c>
      <c r="N9" s="22">
        <f t="shared" si="4"/>
        <v>493956</v>
      </c>
      <c r="O9" s="22">
        <f t="shared" si="4"/>
        <v>220008</v>
      </c>
      <c r="P9" s="22">
        <f t="shared" si="4"/>
        <v>256452</v>
      </c>
      <c r="Q9" s="22">
        <f t="shared" si="4"/>
        <v>155029</v>
      </c>
      <c r="R9" s="22">
        <f t="shared" si="4"/>
        <v>219935</v>
      </c>
      <c r="S9" s="22">
        <f t="shared" si="4"/>
        <v>37488</v>
      </c>
      <c r="T9" s="22">
        <f t="shared" si="4"/>
        <v>235152</v>
      </c>
      <c r="U9" s="22">
        <f t="shared" si="4"/>
        <v>633864</v>
      </c>
      <c r="V9" s="22">
        <f t="shared" si="4"/>
        <v>101340</v>
      </c>
      <c r="W9" s="22">
        <f t="shared" si="4"/>
        <v>391752</v>
      </c>
      <c r="X9" s="22">
        <f t="shared" si="4"/>
        <v>74681</v>
      </c>
      <c r="Y9" s="22">
        <f t="shared" si="1"/>
        <v>9677636</v>
      </c>
    </row>
    <row r="10" spans="1:25" ht="24.95" customHeight="1">
      <c r="A10" s="19" t="s">
        <v>22</v>
      </c>
      <c r="B10" s="20" t="s">
        <v>23</v>
      </c>
      <c r="C10" s="20" t="s">
        <v>16</v>
      </c>
      <c r="D10" s="21" t="s">
        <v>17</v>
      </c>
      <c r="E10" s="24">
        <v>18740</v>
      </c>
      <c r="F10" s="24">
        <f>569*12</f>
        <v>6828</v>
      </c>
      <c r="G10" s="24">
        <v>5952</v>
      </c>
      <c r="H10" s="24">
        <f>467*12</f>
        <v>5604</v>
      </c>
      <c r="I10" s="24">
        <v>22879</v>
      </c>
      <c r="J10" s="24">
        <v>5028</v>
      </c>
      <c r="K10" s="24">
        <f>557*12</f>
        <v>6684</v>
      </c>
      <c r="L10" s="24">
        <f>395*12</f>
        <v>4740</v>
      </c>
      <c r="M10" s="24">
        <f>607*12</f>
        <v>7284</v>
      </c>
      <c r="N10" s="24">
        <f>683*12</f>
        <v>8196</v>
      </c>
      <c r="O10" s="24">
        <f>294*12</f>
        <v>3528</v>
      </c>
      <c r="P10" s="24">
        <f>251*12</f>
        <v>3012</v>
      </c>
      <c r="Q10" s="24">
        <v>1909</v>
      </c>
      <c r="R10" s="24">
        <v>3455</v>
      </c>
      <c r="S10" s="24">
        <v>528</v>
      </c>
      <c r="T10" s="24">
        <v>2832</v>
      </c>
      <c r="U10" s="24">
        <f>(338+124)*12</f>
        <v>5544</v>
      </c>
      <c r="V10" s="24">
        <f>85*12</f>
        <v>1020</v>
      </c>
      <c r="W10" s="24">
        <f>526*12</f>
        <v>6312</v>
      </c>
      <c r="X10" s="24">
        <v>761</v>
      </c>
      <c r="Y10" s="22">
        <f t="shared" si="1"/>
        <v>120836</v>
      </c>
    </row>
    <row r="11" spans="1:25" ht="24.95" customHeight="1">
      <c r="A11" s="19" t="s">
        <v>24</v>
      </c>
      <c r="B11" s="20" t="s">
        <v>25</v>
      </c>
      <c r="C11" s="20"/>
      <c r="D11" s="21" t="s">
        <v>10</v>
      </c>
      <c r="E11" s="22">
        <f>E12</f>
        <v>1415040</v>
      </c>
      <c r="F11" s="22">
        <f t="shared" ref="F11:X11" si="5">F12</f>
        <v>480480</v>
      </c>
      <c r="G11" s="22">
        <f t="shared" si="5"/>
        <v>417120</v>
      </c>
      <c r="H11" s="22">
        <f t="shared" si="5"/>
        <v>559680</v>
      </c>
      <c r="I11" s="22">
        <f t="shared" si="5"/>
        <v>1895520</v>
      </c>
      <c r="J11" s="22">
        <f t="shared" si="5"/>
        <v>311520</v>
      </c>
      <c r="K11" s="22">
        <f t="shared" si="5"/>
        <v>712800</v>
      </c>
      <c r="L11" s="22">
        <f t="shared" si="5"/>
        <v>295680</v>
      </c>
      <c r="M11" s="22">
        <f t="shared" si="5"/>
        <v>686400</v>
      </c>
      <c r="N11" s="22">
        <f t="shared" si="5"/>
        <v>485760</v>
      </c>
      <c r="O11" s="22">
        <f t="shared" si="5"/>
        <v>216480</v>
      </c>
      <c r="P11" s="22">
        <f t="shared" si="5"/>
        <v>253440</v>
      </c>
      <c r="Q11" s="22">
        <f t="shared" si="5"/>
        <v>153120</v>
      </c>
      <c r="R11" s="22">
        <f t="shared" si="5"/>
        <v>216480</v>
      </c>
      <c r="S11" s="22">
        <f t="shared" si="5"/>
        <v>36960</v>
      </c>
      <c r="T11" s="22">
        <f t="shared" si="5"/>
        <v>232320</v>
      </c>
      <c r="U11" s="22">
        <f t="shared" si="5"/>
        <v>628320</v>
      </c>
      <c r="V11" s="22">
        <f t="shared" si="5"/>
        <v>100320</v>
      </c>
      <c r="W11" s="22">
        <f t="shared" si="5"/>
        <v>385440</v>
      </c>
      <c r="X11" s="22">
        <f t="shared" si="5"/>
        <v>73920</v>
      </c>
      <c r="Y11" s="22">
        <f t="shared" si="1"/>
        <v>9556800</v>
      </c>
    </row>
    <row r="12" spans="1:25" s="2" customFormat="1" ht="24.95" customHeight="1">
      <c r="A12" s="19" t="s">
        <v>26</v>
      </c>
      <c r="B12" s="25" t="s">
        <v>171</v>
      </c>
      <c r="C12" s="25" t="s">
        <v>16</v>
      </c>
      <c r="D12" s="23" t="s">
        <v>10</v>
      </c>
      <c r="E12" s="22">
        <f>440*12*E60</f>
        <v>1415040</v>
      </c>
      <c r="F12" s="22">
        <f t="shared" ref="F12:X12" si="6">440*12*F60</f>
        <v>480480</v>
      </c>
      <c r="G12" s="22">
        <f t="shared" si="6"/>
        <v>417120</v>
      </c>
      <c r="H12" s="22">
        <f t="shared" si="6"/>
        <v>559680</v>
      </c>
      <c r="I12" s="22">
        <f t="shared" si="6"/>
        <v>1895520</v>
      </c>
      <c r="J12" s="22">
        <f t="shared" si="6"/>
        <v>311520</v>
      </c>
      <c r="K12" s="22">
        <f t="shared" si="6"/>
        <v>712800</v>
      </c>
      <c r="L12" s="22">
        <f t="shared" si="6"/>
        <v>295680</v>
      </c>
      <c r="M12" s="22">
        <f t="shared" si="6"/>
        <v>686400</v>
      </c>
      <c r="N12" s="22">
        <f t="shared" si="6"/>
        <v>485760</v>
      </c>
      <c r="O12" s="22">
        <f t="shared" si="6"/>
        <v>216480</v>
      </c>
      <c r="P12" s="22">
        <f t="shared" si="6"/>
        <v>253440</v>
      </c>
      <c r="Q12" s="22">
        <f t="shared" si="6"/>
        <v>153120</v>
      </c>
      <c r="R12" s="22">
        <f t="shared" si="6"/>
        <v>216480</v>
      </c>
      <c r="S12" s="22">
        <f t="shared" si="6"/>
        <v>36960</v>
      </c>
      <c r="T12" s="22">
        <f t="shared" si="6"/>
        <v>232320</v>
      </c>
      <c r="U12" s="22">
        <f t="shared" si="6"/>
        <v>628320</v>
      </c>
      <c r="V12" s="22">
        <f t="shared" si="6"/>
        <v>100320</v>
      </c>
      <c r="W12" s="22">
        <f t="shared" si="6"/>
        <v>385440</v>
      </c>
      <c r="X12" s="22">
        <f t="shared" si="6"/>
        <v>73920</v>
      </c>
      <c r="Y12" s="22">
        <f t="shared" si="1"/>
        <v>9556800</v>
      </c>
    </row>
    <row r="13" spans="1:25" ht="24.95" customHeight="1">
      <c r="A13" s="19" t="s">
        <v>27</v>
      </c>
      <c r="B13" s="20" t="s">
        <v>28</v>
      </c>
      <c r="C13" s="20"/>
      <c r="D13" s="21" t="s">
        <v>29</v>
      </c>
      <c r="E13" s="22">
        <f>E14+E15</f>
        <v>701092.72</v>
      </c>
      <c r="F13" s="22">
        <f t="shared" ref="F13:X13" si="7">F14+F15</f>
        <v>234541.72</v>
      </c>
      <c r="G13" s="22">
        <f t="shared" si="7"/>
        <v>193028.58</v>
      </c>
      <c r="H13" s="22">
        <f t="shared" si="7"/>
        <v>264402.86</v>
      </c>
      <c r="I13" s="22">
        <f t="shared" si="7"/>
        <v>858997.14</v>
      </c>
      <c r="J13" s="22">
        <f t="shared" si="7"/>
        <v>143369.14000000001</v>
      </c>
      <c r="K13" s="22">
        <f t="shared" si="7"/>
        <v>338689.72</v>
      </c>
      <c r="L13" s="22">
        <f t="shared" si="7"/>
        <v>137694.85999999999</v>
      </c>
      <c r="M13" s="22">
        <f t="shared" si="7"/>
        <v>322748.58</v>
      </c>
      <c r="N13" s="22">
        <f t="shared" si="7"/>
        <v>206883.42</v>
      </c>
      <c r="O13" s="22">
        <f t="shared" si="7"/>
        <v>88158.86</v>
      </c>
      <c r="P13" s="22">
        <f t="shared" si="7"/>
        <v>101343.42</v>
      </c>
      <c r="Q13" s="22">
        <f t="shared" si="7"/>
        <v>64049.14</v>
      </c>
      <c r="R13" s="22">
        <f t="shared" si="7"/>
        <v>86464.42</v>
      </c>
      <c r="S13" s="22">
        <f t="shared" si="7"/>
        <v>18183.419999999998</v>
      </c>
      <c r="T13" s="22">
        <f t="shared" si="7"/>
        <v>96771.42</v>
      </c>
      <c r="U13" s="22">
        <f t="shared" si="7"/>
        <v>308571.42</v>
      </c>
      <c r="V13" s="22">
        <f t="shared" si="7"/>
        <v>39937.72</v>
      </c>
      <c r="W13" s="22">
        <f t="shared" si="7"/>
        <v>168104.58</v>
      </c>
      <c r="X13" s="22">
        <f t="shared" si="7"/>
        <v>24340.28</v>
      </c>
      <c r="Y13" s="22">
        <f t="shared" si="1"/>
        <v>4397373.42</v>
      </c>
    </row>
    <row r="14" spans="1:25" s="2" customFormat="1" ht="24.95" customHeight="1">
      <c r="A14" s="19" t="s">
        <v>30</v>
      </c>
      <c r="B14" s="25" t="s">
        <v>172</v>
      </c>
      <c r="C14" s="25" t="s">
        <v>16</v>
      </c>
      <c r="D14" s="23" t="s">
        <v>31</v>
      </c>
      <c r="E14" s="22">
        <f>ROUND(E30/0.07*0.005,2)</f>
        <v>350546.36</v>
      </c>
      <c r="F14" s="22">
        <f t="shared" ref="F14:X14" si="8">ROUND(F30/0.07*0.005,2)</f>
        <v>117270.86</v>
      </c>
      <c r="G14" s="22">
        <f t="shared" si="8"/>
        <v>96514.29</v>
      </c>
      <c r="H14" s="22">
        <f t="shared" si="8"/>
        <v>132201.43</v>
      </c>
      <c r="I14" s="22">
        <f t="shared" si="8"/>
        <v>429498.57</v>
      </c>
      <c r="J14" s="22">
        <f t="shared" si="8"/>
        <v>71684.570000000007</v>
      </c>
      <c r="K14" s="22">
        <f t="shared" si="8"/>
        <v>169344.86</v>
      </c>
      <c r="L14" s="22">
        <f t="shared" si="8"/>
        <v>68847.429999999993</v>
      </c>
      <c r="M14" s="22">
        <f t="shared" si="8"/>
        <v>161374.29</v>
      </c>
      <c r="N14" s="22">
        <f t="shared" si="8"/>
        <v>103441.71</v>
      </c>
      <c r="O14" s="22">
        <f t="shared" si="8"/>
        <v>44079.43</v>
      </c>
      <c r="P14" s="22">
        <f t="shared" si="8"/>
        <v>50671.71</v>
      </c>
      <c r="Q14" s="22">
        <f t="shared" si="8"/>
        <v>32024.57</v>
      </c>
      <c r="R14" s="22">
        <f t="shared" si="8"/>
        <v>43232.21</v>
      </c>
      <c r="S14" s="22">
        <f t="shared" si="8"/>
        <v>9091.7099999999991</v>
      </c>
      <c r="T14" s="22">
        <f t="shared" si="8"/>
        <v>48385.71</v>
      </c>
      <c r="U14" s="22">
        <f t="shared" si="8"/>
        <v>154285.71</v>
      </c>
      <c r="V14" s="22">
        <f t="shared" si="8"/>
        <v>19968.86</v>
      </c>
      <c r="W14" s="22">
        <f t="shared" si="8"/>
        <v>84052.29</v>
      </c>
      <c r="X14" s="22">
        <f t="shared" si="8"/>
        <v>12170.14</v>
      </c>
      <c r="Y14" s="22">
        <f t="shared" si="1"/>
        <v>2198686.71</v>
      </c>
    </row>
    <row r="15" spans="1:25" s="2" customFormat="1" ht="24.95" customHeight="1">
      <c r="A15" s="19" t="s">
        <v>32</v>
      </c>
      <c r="B15" s="25" t="s">
        <v>173</v>
      </c>
      <c r="C15" s="25" t="s">
        <v>16</v>
      </c>
      <c r="D15" s="23" t="s">
        <v>31</v>
      </c>
      <c r="E15" s="22">
        <f>ROUND(E30/0.07*0.005,2)</f>
        <v>350546.36</v>
      </c>
      <c r="F15" s="22">
        <f t="shared" ref="F15:X15" si="9">ROUND(F30/0.07*0.005,2)</f>
        <v>117270.86</v>
      </c>
      <c r="G15" s="22">
        <f t="shared" si="9"/>
        <v>96514.29</v>
      </c>
      <c r="H15" s="22">
        <f t="shared" si="9"/>
        <v>132201.43</v>
      </c>
      <c r="I15" s="22">
        <f t="shared" si="9"/>
        <v>429498.57</v>
      </c>
      <c r="J15" s="22">
        <f t="shared" si="9"/>
        <v>71684.570000000007</v>
      </c>
      <c r="K15" s="22">
        <f t="shared" si="9"/>
        <v>169344.86</v>
      </c>
      <c r="L15" s="22">
        <f t="shared" si="9"/>
        <v>68847.429999999993</v>
      </c>
      <c r="M15" s="22">
        <f t="shared" si="9"/>
        <v>161374.29</v>
      </c>
      <c r="N15" s="22">
        <f t="shared" si="9"/>
        <v>103441.71</v>
      </c>
      <c r="O15" s="22">
        <f t="shared" si="9"/>
        <v>44079.43</v>
      </c>
      <c r="P15" s="22">
        <f t="shared" si="9"/>
        <v>50671.71</v>
      </c>
      <c r="Q15" s="22">
        <f t="shared" si="9"/>
        <v>32024.57</v>
      </c>
      <c r="R15" s="22">
        <f t="shared" si="9"/>
        <v>43232.21</v>
      </c>
      <c r="S15" s="22">
        <f t="shared" si="9"/>
        <v>9091.7099999999991</v>
      </c>
      <c r="T15" s="22">
        <f t="shared" si="9"/>
        <v>48385.71</v>
      </c>
      <c r="U15" s="22">
        <f t="shared" si="9"/>
        <v>154285.71</v>
      </c>
      <c r="V15" s="22">
        <f t="shared" si="9"/>
        <v>19968.86</v>
      </c>
      <c r="W15" s="22">
        <f t="shared" si="9"/>
        <v>84052.29</v>
      </c>
      <c r="X15" s="22">
        <f t="shared" si="9"/>
        <v>12170.14</v>
      </c>
      <c r="Y15" s="22">
        <f t="shared" si="1"/>
        <v>2198686.71</v>
      </c>
    </row>
    <row r="16" spans="1:25" ht="24.95" customHeight="1">
      <c r="A16" s="19" t="s">
        <v>33</v>
      </c>
      <c r="B16" s="20" t="s">
        <v>34</v>
      </c>
      <c r="C16" s="20"/>
      <c r="D16" s="21" t="s">
        <v>10</v>
      </c>
      <c r="E16" s="22">
        <f>E17+E18+E19+E20</f>
        <v>57146712</v>
      </c>
      <c r="F16" s="22">
        <f t="shared" ref="F16:X16" si="10">F17+F18+F19+F20</f>
        <v>19404294</v>
      </c>
      <c r="G16" s="22">
        <f t="shared" si="10"/>
        <v>16845486</v>
      </c>
      <c r="H16" s="22">
        <f t="shared" si="10"/>
        <v>22602804</v>
      </c>
      <c r="I16" s="22">
        <f t="shared" si="10"/>
        <v>72732682</v>
      </c>
      <c r="J16" s="22">
        <f t="shared" si="10"/>
        <v>11953282</v>
      </c>
      <c r="K16" s="22">
        <f t="shared" si="10"/>
        <v>27350730</v>
      </c>
      <c r="L16" s="22">
        <f t="shared" si="10"/>
        <v>11345488</v>
      </c>
      <c r="M16" s="22">
        <f t="shared" si="10"/>
        <v>26337740</v>
      </c>
      <c r="N16" s="22">
        <f t="shared" si="10"/>
        <v>16035968</v>
      </c>
      <c r="O16" s="22">
        <f t="shared" si="10"/>
        <v>7146464</v>
      </c>
      <c r="P16" s="22">
        <f t="shared" si="10"/>
        <v>8366592</v>
      </c>
      <c r="Q16" s="22">
        <f t="shared" si="10"/>
        <v>5054816</v>
      </c>
      <c r="R16" s="22">
        <f t="shared" si="10"/>
        <v>7146464</v>
      </c>
      <c r="S16" s="22">
        <f t="shared" si="10"/>
        <v>1431682</v>
      </c>
      <c r="T16" s="22">
        <f t="shared" si="10"/>
        <v>7669376</v>
      </c>
      <c r="U16" s="22">
        <f t="shared" si="10"/>
        <v>25374846</v>
      </c>
      <c r="V16" s="22">
        <f t="shared" si="10"/>
        <v>3311776</v>
      </c>
      <c r="W16" s="22">
        <f t="shared" si="10"/>
        <v>12724192</v>
      </c>
      <c r="X16" s="22">
        <f t="shared" si="10"/>
        <v>2440256</v>
      </c>
      <c r="Y16" s="22">
        <f t="shared" si="1"/>
        <v>362421650</v>
      </c>
    </row>
    <row r="17" spans="1:25" ht="24.95" customHeight="1">
      <c r="A17" s="19" t="s">
        <v>35</v>
      </c>
      <c r="B17" s="26" t="s">
        <v>36</v>
      </c>
      <c r="C17" s="26" t="s">
        <v>16</v>
      </c>
      <c r="D17" s="27" t="s">
        <v>174</v>
      </c>
      <c r="E17" s="28">
        <v>52207088</v>
      </c>
      <c r="F17" s="28">
        <v>17693078</v>
      </c>
      <c r="G17" s="28">
        <v>15083062</v>
      </c>
      <c r="H17" s="28">
        <v>20591208</v>
      </c>
      <c r="I17" s="28">
        <v>66309974</v>
      </c>
      <c r="J17" s="28">
        <v>10779090</v>
      </c>
      <c r="K17" s="28">
        <v>24596646</v>
      </c>
      <c r="L17" s="28">
        <v>10223616</v>
      </c>
      <c r="M17" s="28">
        <v>23988104</v>
      </c>
      <c r="N17" s="28">
        <v>15193284</v>
      </c>
      <c r="O17" s="28">
        <v>6678348</v>
      </c>
      <c r="P17" s="28">
        <v>7856488</v>
      </c>
      <c r="Q17" s="28">
        <v>4659540</v>
      </c>
      <c r="R17" s="28">
        <v>6677760</v>
      </c>
      <c r="S17" s="28">
        <v>1389682</v>
      </c>
      <c r="T17" s="28">
        <v>7131220</v>
      </c>
      <c r="U17" s="28">
        <v>23212346</v>
      </c>
      <c r="V17" s="28">
        <v>2992460</v>
      </c>
      <c r="W17" s="28">
        <v>12286192</v>
      </c>
      <c r="X17" s="28">
        <v>2149500</v>
      </c>
      <c r="Y17" s="22">
        <f t="shared" si="1"/>
        <v>331698686</v>
      </c>
    </row>
    <row r="18" spans="1:25" ht="24.95" customHeight="1">
      <c r="A18" s="19" t="s">
        <v>37</v>
      </c>
      <c r="B18" s="26" t="s">
        <v>38</v>
      </c>
      <c r="C18" s="26" t="s">
        <v>16</v>
      </c>
      <c r="D18" s="27" t="s">
        <v>39</v>
      </c>
      <c r="E18" s="28">
        <v>651624</v>
      </c>
      <c r="F18" s="28">
        <v>255216</v>
      </c>
      <c r="G18" s="28">
        <f>478464+19960</f>
        <v>498424</v>
      </c>
      <c r="H18" s="28">
        <f>304268+11328</f>
        <v>315596</v>
      </c>
      <c r="I18" s="28">
        <v>678708</v>
      </c>
      <c r="J18" s="28">
        <v>230192</v>
      </c>
      <c r="K18" s="28">
        <v>594084</v>
      </c>
      <c r="L18" s="28">
        <v>225872</v>
      </c>
      <c r="M18" s="28">
        <v>269636</v>
      </c>
      <c r="N18" s="28">
        <v>290684</v>
      </c>
      <c r="O18" s="28">
        <v>222116</v>
      </c>
      <c r="P18" s="28">
        <v>222104</v>
      </c>
      <c r="Q18" s="28">
        <v>221276</v>
      </c>
      <c r="R18" s="28">
        <v>222704</v>
      </c>
      <c r="S18" s="28"/>
      <c r="T18" s="28">
        <v>274156</v>
      </c>
      <c r="U18" s="28">
        <f>248428+10072</f>
        <v>258500</v>
      </c>
      <c r="V18" s="28">
        <v>205316</v>
      </c>
      <c r="W18" s="28"/>
      <c r="X18" s="28">
        <v>206756</v>
      </c>
      <c r="Y18" s="22">
        <f t="shared" si="1"/>
        <v>5842964</v>
      </c>
    </row>
    <row r="19" spans="1:25" ht="24.95" customHeight="1">
      <c r="A19" s="19" t="s">
        <v>40</v>
      </c>
      <c r="B19" s="26" t="s">
        <v>175</v>
      </c>
      <c r="C19" s="26" t="s">
        <v>16</v>
      </c>
      <c r="D19" s="21" t="s">
        <v>10</v>
      </c>
      <c r="E19" s="29">
        <f>E60*500*12</f>
        <v>1608000</v>
      </c>
      <c r="F19" s="29">
        <f t="shared" ref="F19:X19" si="11">F60*500*12</f>
        <v>546000</v>
      </c>
      <c r="G19" s="29">
        <f t="shared" si="11"/>
        <v>474000</v>
      </c>
      <c r="H19" s="29">
        <f t="shared" si="11"/>
        <v>636000</v>
      </c>
      <c r="I19" s="29">
        <f t="shared" si="11"/>
        <v>2154000</v>
      </c>
      <c r="J19" s="29">
        <f t="shared" si="11"/>
        <v>354000</v>
      </c>
      <c r="K19" s="29">
        <f t="shared" si="11"/>
        <v>810000</v>
      </c>
      <c r="L19" s="29">
        <f t="shared" si="11"/>
        <v>336000</v>
      </c>
      <c r="M19" s="29">
        <f t="shared" si="11"/>
        <v>780000</v>
      </c>
      <c r="N19" s="29">
        <f t="shared" si="11"/>
        <v>552000</v>
      </c>
      <c r="O19" s="29">
        <f t="shared" si="11"/>
        <v>246000</v>
      </c>
      <c r="P19" s="29">
        <f t="shared" si="11"/>
        <v>288000</v>
      </c>
      <c r="Q19" s="29">
        <f t="shared" si="11"/>
        <v>174000</v>
      </c>
      <c r="R19" s="29">
        <f t="shared" si="11"/>
        <v>246000</v>
      </c>
      <c r="S19" s="29">
        <f t="shared" si="11"/>
        <v>42000</v>
      </c>
      <c r="T19" s="29">
        <f t="shared" si="11"/>
        <v>264000</v>
      </c>
      <c r="U19" s="29">
        <f t="shared" si="11"/>
        <v>714000</v>
      </c>
      <c r="V19" s="29">
        <f t="shared" si="11"/>
        <v>114000</v>
      </c>
      <c r="W19" s="29">
        <f t="shared" si="11"/>
        <v>438000</v>
      </c>
      <c r="X19" s="29">
        <f t="shared" si="11"/>
        <v>84000</v>
      </c>
      <c r="Y19" s="22">
        <f t="shared" si="1"/>
        <v>10860000</v>
      </c>
    </row>
    <row r="20" spans="1:25" ht="24.95" customHeight="1">
      <c r="A20" s="19" t="s">
        <v>41</v>
      </c>
      <c r="B20" s="26" t="s">
        <v>176</v>
      </c>
      <c r="C20" s="26" t="s">
        <v>16</v>
      </c>
      <c r="D20" s="21" t="s">
        <v>17</v>
      </c>
      <c r="E20" s="28">
        <v>2680000</v>
      </c>
      <c r="F20" s="28">
        <f>F61*10000</f>
        <v>910000</v>
      </c>
      <c r="G20" s="28">
        <f>G61*10000</f>
        <v>790000</v>
      </c>
      <c r="H20" s="28">
        <f>H61*10000</f>
        <v>1060000</v>
      </c>
      <c r="I20" s="28">
        <f>I62*10000</f>
        <v>3590000</v>
      </c>
      <c r="J20" s="28">
        <f>J62*10000</f>
        <v>590000</v>
      </c>
      <c r="K20" s="28">
        <f>K62*10000</f>
        <v>1350000</v>
      </c>
      <c r="L20" s="28">
        <f>L62*10000</f>
        <v>560000</v>
      </c>
      <c r="M20" s="28">
        <f>M62*10000</f>
        <v>1300000</v>
      </c>
      <c r="N20" s="28"/>
      <c r="O20" s="28"/>
      <c r="P20" s="28"/>
      <c r="Q20" s="28"/>
      <c r="R20" s="28"/>
      <c r="S20" s="28"/>
      <c r="T20" s="28"/>
      <c r="U20" s="28">
        <v>1190000</v>
      </c>
      <c r="V20" s="28"/>
      <c r="W20" s="28"/>
      <c r="X20" s="28"/>
      <c r="Y20" s="22">
        <f t="shared" si="1"/>
        <v>14020000</v>
      </c>
    </row>
    <row r="21" spans="1:25" ht="24.95" customHeight="1">
      <c r="A21" s="19" t="s">
        <v>42</v>
      </c>
      <c r="B21" s="20" t="s">
        <v>43</v>
      </c>
      <c r="C21" s="20"/>
      <c r="D21" s="27" t="s">
        <v>10</v>
      </c>
      <c r="E21" s="29">
        <f>E22+E23</f>
        <v>9114205.2899999991</v>
      </c>
      <c r="F21" s="29">
        <f t="shared" ref="F21:X21" si="12">F22+F23</f>
        <v>3049042.29</v>
      </c>
      <c r="G21" s="29">
        <f t="shared" si="12"/>
        <v>2509371.42</v>
      </c>
      <c r="H21" s="29">
        <f t="shared" si="12"/>
        <v>3437237.13</v>
      </c>
      <c r="I21" s="29">
        <f t="shared" si="12"/>
        <v>11166962.870000001</v>
      </c>
      <c r="J21" s="29">
        <f t="shared" si="12"/>
        <v>1863798.87</v>
      </c>
      <c r="K21" s="29">
        <f t="shared" si="12"/>
        <v>4402966.29</v>
      </c>
      <c r="L21" s="29">
        <f t="shared" si="12"/>
        <v>1790033.13</v>
      </c>
      <c r="M21" s="29">
        <f t="shared" si="12"/>
        <v>4195731.42</v>
      </c>
      <c r="N21" s="29">
        <f t="shared" si="12"/>
        <v>2689484.58</v>
      </c>
      <c r="O21" s="29">
        <f t="shared" si="12"/>
        <v>1146065.1299999999</v>
      </c>
      <c r="P21" s="29">
        <f t="shared" si="12"/>
        <v>1317464.58</v>
      </c>
      <c r="Q21" s="29">
        <f t="shared" si="12"/>
        <v>832638.87</v>
      </c>
      <c r="R21" s="29">
        <f t="shared" si="12"/>
        <v>1124037.58</v>
      </c>
      <c r="S21" s="29">
        <f t="shared" si="12"/>
        <v>236384.58</v>
      </c>
      <c r="T21" s="29">
        <f t="shared" si="12"/>
        <v>1258028.58</v>
      </c>
      <c r="U21" s="29">
        <f t="shared" si="12"/>
        <v>4011428.58</v>
      </c>
      <c r="V21" s="29">
        <f t="shared" si="12"/>
        <v>519190.29</v>
      </c>
      <c r="W21" s="29">
        <f t="shared" si="12"/>
        <v>2185359.42</v>
      </c>
      <c r="X21" s="29">
        <f t="shared" si="12"/>
        <v>316423.71000000002</v>
      </c>
      <c r="Y21" s="22">
        <f t="shared" si="1"/>
        <v>57165854.609999999</v>
      </c>
    </row>
    <row r="22" spans="1:25" ht="24.95" customHeight="1">
      <c r="A22" s="19" t="s">
        <v>44</v>
      </c>
      <c r="B22" s="20" t="s">
        <v>177</v>
      </c>
      <c r="C22" s="20" t="s">
        <v>45</v>
      </c>
      <c r="D22" s="27" t="s">
        <v>10</v>
      </c>
      <c r="E22" s="29">
        <f>ROUND(E30/0.07*0.09,2)</f>
        <v>6309834.4299999997</v>
      </c>
      <c r="F22" s="29">
        <f t="shared" ref="F22:X22" si="13">ROUND(F30/0.07*0.09,2)</f>
        <v>2110875.4300000002</v>
      </c>
      <c r="G22" s="29">
        <f t="shared" si="13"/>
        <v>1737257.14</v>
      </c>
      <c r="H22" s="29">
        <f t="shared" si="13"/>
        <v>2379625.71</v>
      </c>
      <c r="I22" s="29">
        <f t="shared" si="13"/>
        <v>7730974.29</v>
      </c>
      <c r="J22" s="29">
        <f t="shared" si="13"/>
        <v>1290322.29</v>
      </c>
      <c r="K22" s="29">
        <f t="shared" si="13"/>
        <v>3048207.43</v>
      </c>
      <c r="L22" s="29">
        <f t="shared" si="13"/>
        <v>1239253.71</v>
      </c>
      <c r="M22" s="29">
        <f t="shared" si="13"/>
        <v>2904737.14</v>
      </c>
      <c r="N22" s="29">
        <f t="shared" si="13"/>
        <v>1861950.86</v>
      </c>
      <c r="O22" s="29">
        <f t="shared" si="13"/>
        <v>793429.71</v>
      </c>
      <c r="P22" s="29">
        <f t="shared" si="13"/>
        <v>912090.86</v>
      </c>
      <c r="Q22" s="29">
        <f t="shared" si="13"/>
        <v>576442.29</v>
      </c>
      <c r="R22" s="29">
        <f t="shared" si="13"/>
        <v>778179.86</v>
      </c>
      <c r="S22" s="29">
        <f t="shared" si="13"/>
        <v>163650.85999999999</v>
      </c>
      <c r="T22" s="29">
        <f t="shared" si="13"/>
        <v>870942.86</v>
      </c>
      <c r="U22" s="29">
        <f t="shared" si="13"/>
        <v>2777142.86</v>
      </c>
      <c r="V22" s="29">
        <f t="shared" si="13"/>
        <v>359439.43</v>
      </c>
      <c r="W22" s="29">
        <f t="shared" si="13"/>
        <v>1512941.14</v>
      </c>
      <c r="X22" s="29">
        <f t="shared" si="13"/>
        <v>219062.57</v>
      </c>
      <c r="Y22" s="22">
        <f t="shared" si="1"/>
        <v>39576360.869999997</v>
      </c>
    </row>
    <row r="23" spans="1:25" ht="24.95" customHeight="1">
      <c r="A23" s="19" t="s">
        <v>46</v>
      </c>
      <c r="B23" s="20" t="s">
        <v>178</v>
      </c>
      <c r="C23" s="20" t="s">
        <v>45</v>
      </c>
      <c r="D23" s="27" t="s">
        <v>31</v>
      </c>
      <c r="E23" s="29">
        <f>E24+E25</f>
        <v>2804370.86</v>
      </c>
      <c r="F23" s="29">
        <f t="shared" ref="F23:X23" si="14">F24+F25</f>
        <v>938166.86</v>
      </c>
      <c r="G23" s="29">
        <f t="shared" si="14"/>
        <v>772114.28</v>
      </c>
      <c r="H23" s="29">
        <f t="shared" si="14"/>
        <v>1057611.42</v>
      </c>
      <c r="I23" s="29">
        <f t="shared" si="14"/>
        <v>3435988.58</v>
      </c>
      <c r="J23" s="29">
        <f t="shared" si="14"/>
        <v>573476.57999999996</v>
      </c>
      <c r="K23" s="29">
        <f t="shared" si="14"/>
        <v>1354758.86</v>
      </c>
      <c r="L23" s="29">
        <f t="shared" si="14"/>
        <v>550779.42000000004</v>
      </c>
      <c r="M23" s="29">
        <f t="shared" si="14"/>
        <v>1290994.28</v>
      </c>
      <c r="N23" s="29">
        <f t="shared" si="14"/>
        <v>827533.72</v>
      </c>
      <c r="O23" s="29">
        <f t="shared" si="14"/>
        <v>352635.42</v>
      </c>
      <c r="P23" s="29">
        <f t="shared" si="14"/>
        <v>405373.72</v>
      </c>
      <c r="Q23" s="29">
        <f t="shared" si="14"/>
        <v>256196.58</v>
      </c>
      <c r="R23" s="29">
        <f t="shared" si="14"/>
        <v>345857.72</v>
      </c>
      <c r="S23" s="29">
        <f t="shared" si="14"/>
        <v>72733.72</v>
      </c>
      <c r="T23" s="29">
        <f t="shared" si="14"/>
        <v>387085.72</v>
      </c>
      <c r="U23" s="29">
        <f t="shared" si="14"/>
        <v>1234285.72</v>
      </c>
      <c r="V23" s="29">
        <f t="shared" si="14"/>
        <v>159750.85999999999</v>
      </c>
      <c r="W23" s="29">
        <f t="shared" si="14"/>
        <v>672418.28</v>
      </c>
      <c r="X23" s="29">
        <f t="shared" si="14"/>
        <v>97361.14</v>
      </c>
      <c r="Y23" s="22">
        <f t="shared" si="1"/>
        <v>17589493.740000006</v>
      </c>
    </row>
    <row r="24" spans="1:25" ht="24.95" customHeight="1">
      <c r="A24" s="19" t="s">
        <v>47</v>
      </c>
      <c r="B24" s="20" t="s">
        <v>179</v>
      </c>
      <c r="C24" s="20" t="s">
        <v>45</v>
      </c>
      <c r="D24" s="27" t="s">
        <v>31</v>
      </c>
      <c r="E24" s="29">
        <f>ROUND(E30/0.07*0.02,2)</f>
        <v>1402185.43</v>
      </c>
      <c r="F24" s="29">
        <f t="shared" ref="F24:X24" si="15">ROUND(F30/0.07*0.02,2)</f>
        <v>469083.43</v>
      </c>
      <c r="G24" s="29">
        <f t="shared" si="15"/>
        <v>386057.14</v>
      </c>
      <c r="H24" s="29">
        <f t="shared" si="15"/>
        <v>528805.71</v>
      </c>
      <c r="I24" s="29">
        <f t="shared" si="15"/>
        <v>1717994.29</v>
      </c>
      <c r="J24" s="29">
        <f t="shared" si="15"/>
        <v>286738.28999999998</v>
      </c>
      <c r="K24" s="29">
        <f t="shared" si="15"/>
        <v>677379.43</v>
      </c>
      <c r="L24" s="29">
        <f t="shared" si="15"/>
        <v>275389.71000000002</v>
      </c>
      <c r="M24" s="29">
        <f t="shared" si="15"/>
        <v>645497.14</v>
      </c>
      <c r="N24" s="29">
        <f t="shared" si="15"/>
        <v>413766.86</v>
      </c>
      <c r="O24" s="29">
        <f t="shared" si="15"/>
        <v>176317.71</v>
      </c>
      <c r="P24" s="29">
        <f t="shared" si="15"/>
        <v>202686.86</v>
      </c>
      <c r="Q24" s="29">
        <f t="shared" si="15"/>
        <v>128098.29</v>
      </c>
      <c r="R24" s="29">
        <f t="shared" si="15"/>
        <v>172928.86</v>
      </c>
      <c r="S24" s="29">
        <f t="shared" si="15"/>
        <v>36366.86</v>
      </c>
      <c r="T24" s="29">
        <f t="shared" si="15"/>
        <v>193542.86</v>
      </c>
      <c r="U24" s="29">
        <f t="shared" si="15"/>
        <v>617142.86</v>
      </c>
      <c r="V24" s="29">
        <f t="shared" si="15"/>
        <v>79875.429999999993</v>
      </c>
      <c r="W24" s="29">
        <f t="shared" si="15"/>
        <v>336209.14</v>
      </c>
      <c r="X24" s="29">
        <f t="shared" si="15"/>
        <v>48680.57</v>
      </c>
      <c r="Y24" s="22">
        <f t="shared" si="1"/>
        <v>8794746.8700000029</v>
      </c>
    </row>
    <row r="25" spans="1:25" ht="24.95" customHeight="1">
      <c r="A25" s="19" t="s">
        <v>48</v>
      </c>
      <c r="B25" s="20" t="s">
        <v>180</v>
      </c>
      <c r="C25" s="20" t="s">
        <v>45</v>
      </c>
      <c r="D25" s="27" t="s">
        <v>31</v>
      </c>
      <c r="E25" s="29">
        <f>ROUND(E30/0.07*0.02,2)</f>
        <v>1402185.43</v>
      </c>
      <c r="F25" s="29">
        <f t="shared" ref="F25:X25" si="16">ROUND(F30/0.07*0.02,2)</f>
        <v>469083.43</v>
      </c>
      <c r="G25" s="29">
        <f t="shared" si="16"/>
        <v>386057.14</v>
      </c>
      <c r="H25" s="29">
        <f t="shared" si="16"/>
        <v>528805.71</v>
      </c>
      <c r="I25" s="29">
        <f t="shared" si="16"/>
        <v>1717994.29</v>
      </c>
      <c r="J25" s="29">
        <f t="shared" si="16"/>
        <v>286738.28999999998</v>
      </c>
      <c r="K25" s="29">
        <f t="shared" si="16"/>
        <v>677379.43</v>
      </c>
      <c r="L25" s="29">
        <f t="shared" si="16"/>
        <v>275389.71000000002</v>
      </c>
      <c r="M25" s="29">
        <f t="shared" si="16"/>
        <v>645497.14</v>
      </c>
      <c r="N25" s="29">
        <f t="shared" si="16"/>
        <v>413766.86</v>
      </c>
      <c r="O25" s="29">
        <f t="shared" si="16"/>
        <v>176317.71</v>
      </c>
      <c r="P25" s="29">
        <f t="shared" si="16"/>
        <v>202686.86</v>
      </c>
      <c r="Q25" s="29">
        <f t="shared" si="16"/>
        <v>128098.29</v>
      </c>
      <c r="R25" s="29">
        <f t="shared" si="16"/>
        <v>172928.86</v>
      </c>
      <c r="S25" s="29">
        <f t="shared" si="16"/>
        <v>36366.86</v>
      </c>
      <c r="T25" s="29">
        <f t="shared" si="16"/>
        <v>193542.86</v>
      </c>
      <c r="U25" s="29">
        <f t="shared" si="16"/>
        <v>617142.86</v>
      </c>
      <c r="V25" s="29">
        <f t="shared" si="16"/>
        <v>79875.429999999993</v>
      </c>
      <c r="W25" s="29">
        <f t="shared" si="16"/>
        <v>336209.14</v>
      </c>
      <c r="X25" s="29">
        <f t="shared" si="16"/>
        <v>48680.57</v>
      </c>
      <c r="Y25" s="22">
        <f t="shared" si="1"/>
        <v>8794746.8700000029</v>
      </c>
    </row>
    <row r="26" spans="1:25" ht="24.95" customHeight="1">
      <c r="A26" s="19" t="s">
        <v>49</v>
      </c>
      <c r="B26" s="20" t="s">
        <v>50</v>
      </c>
      <c r="C26" s="20"/>
      <c r="D26" s="21" t="s">
        <v>10</v>
      </c>
      <c r="E26" s="22">
        <f t="shared" ref="E26:X26" si="17">E27</f>
        <v>11217483.43</v>
      </c>
      <c r="F26" s="22">
        <f t="shared" si="17"/>
        <v>3752667.43</v>
      </c>
      <c r="G26" s="22">
        <f t="shared" si="17"/>
        <v>3088457.14</v>
      </c>
      <c r="H26" s="22">
        <f t="shared" si="17"/>
        <v>4230445.71</v>
      </c>
      <c r="I26" s="22">
        <f t="shared" si="17"/>
        <v>13743954.289999999</v>
      </c>
      <c r="J26" s="22">
        <f t="shared" si="17"/>
        <v>2293906.29</v>
      </c>
      <c r="K26" s="22">
        <f t="shared" si="17"/>
        <v>5419035.4299999997</v>
      </c>
      <c r="L26" s="22">
        <f t="shared" si="17"/>
        <v>2203117.71</v>
      </c>
      <c r="M26" s="22">
        <f t="shared" si="17"/>
        <v>5163977.1399999997</v>
      </c>
      <c r="N26" s="22">
        <f t="shared" si="17"/>
        <v>3310134.86</v>
      </c>
      <c r="O26" s="22">
        <f t="shared" si="17"/>
        <v>1410541.71</v>
      </c>
      <c r="P26" s="22">
        <f t="shared" si="17"/>
        <v>1621494.86</v>
      </c>
      <c r="Q26" s="22">
        <f t="shared" si="17"/>
        <v>1024786.29</v>
      </c>
      <c r="R26" s="22">
        <f t="shared" si="17"/>
        <v>1383430.86</v>
      </c>
      <c r="S26" s="22">
        <f t="shared" si="17"/>
        <v>290934.86</v>
      </c>
      <c r="T26" s="22">
        <f t="shared" si="17"/>
        <v>1548342.86</v>
      </c>
      <c r="U26" s="22">
        <f t="shared" si="17"/>
        <v>4937142.8600000003</v>
      </c>
      <c r="V26" s="22">
        <f t="shared" si="17"/>
        <v>639003.43000000005</v>
      </c>
      <c r="W26" s="22">
        <f t="shared" si="17"/>
        <v>2689673.14</v>
      </c>
      <c r="X26" s="22">
        <f t="shared" si="17"/>
        <v>389444.57</v>
      </c>
      <c r="Y26" s="22">
        <f t="shared" si="1"/>
        <v>70357974.86999999</v>
      </c>
    </row>
    <row r="27" spans="1:25" s="2" customFormat="1" ht="24.95" customHeight="1">
      <c r="A27" s="19" t="s">
        <v>51</v>
      </c>
      <c r="B27" s="25" t="s">
        <v>181</v>
      </c>
      <c r="C27" s="25" t="s">
        <v>52</v>
      </c>
      <c r="D27" s="23" t="s">
        <v>31</v>
      </c>
      <c r="E27" s="22">
        <f>ROUND(E30/0.07*0.16,2)</f>
        <v>11217483.43</v>
      </c>
      <c r="F27" s="22">
        <f t="shared" ref="F27:X27" si="18">ROUND(F30/0.07*0.16,2)</f>
        <v>3752667.43</v>
      </c>
      <c r="G27" s="22">
        <f t="shared" si="18"/>
        <v>3088457.14</v>
      </c>
      <c r="H27" s="22">
        <f t="shared" si="18"/>
        <v>4230445.71</v>
      </c>
      <c r="I27" s="22">
        <f t="shared" si="18"/>
        <v>13743954.289999999</v>
      </c>
      <c r="J27" s="22">
        <f t="shared" si="18"/>
        <v>2293906.29</v>
      </c>
      <c r="K27" s="22">
        <f t="shared" si="18"/>
        <v>5419035.4299999997</v>
      </c>
      <c r="L27" s="22">
        <f t="shared" si="18"/>
        <v>2203117.71</v>
      </c>
      <c r="M27" s="22">
        <f t="shared" si="18"/>
        <v>5163977.1399999997</v>
      </c>
      <c r="N27" s="22">
        <f t="shared" si="18"/>
        <v>3310134.86</v>
      </c>
      <c r="O27" s="22">
        <f t="shared" si="18"/>
        <v>1410541.71</v>
      </c>
      <c r="P27" s="22">
        <f t="shared" si="18"/>
        <v>1621494.86</v>
      </c>
      <c r="Q27" s="22">
        <f t="shared" si="18"/>
        <v>1024786.29</v>
      </c>
      <c r="R27" s="22">
        <f t="shared" si="18"/>
        <v>1383430.86</v>
      </c>
      <c r="S27" s="22">
        <f t="shared" si="18"/>
        <v>290934.86</v>
      </c>
      <c r="T27" s="22">
        <f t="shared" si="18"/>
        <v>1548342.86</v>
      </c>
      <c r="U27" s="22">
        <f t="shared" si="18"/>
        <v>4937142.8600000003</v>
      </c>
      <c r="V27" s="22">
        <f t="shared" si="18"/>
        <v>639003.43000000005</v>
      </c>
      <c r="W27" s="22">
        <f t="shared" si="18"/>
        <v>2689673.14</v>
      </c>
      <c r="X27" s="22">
        <f t="shared" si="18"/>
        <v>389444.57</v>
      </c>
      <c r="Y27" s="22">
        <f t="shared" si="1"/>
        <v>70357974.86999999</v>
      </c>
    </row>
    <row r="28" spans="1:25" ht="24.95" customHeight="1">
      <c r="A28" s="19" t="s">
        <v>53</v>
      </c>
      <c r="B28" s="20" t="s">
        <v>54</v>
      </c>
      <c r="C28" s="20"/>
      <c r="D28" s="21" t="s">
        <v>10</v>
      </c>
      <c r="E28" s="22">
        <f t="shared" ref="E28:X28" si="19">E29</f>
        <v>5608741.71</v>
      </c>
      <c r="F28" s="22">
        <f t="shared" si="19"/>
        <v>1876333.71</v>
      </c>
      <c r="G28" s="22">
        <f t="shared" si="19"/>
        <v>1544228.57</v>
      </c>
      <c r="H28" s="22">
        <f t="shared" si="19"/>
        <v>2115222.86</v>
      </c>
      <c r="I28" s="22">
        <f t="shared" si="19"/>
        <v>6871977.1399999997</v>
      </c>
      <c r="J28" s="22">
        <f t="shared" si="19"/>
        <v>1146953.1399999999</v>
      </c>
      <c r="K28" s="22">
        <f t="shared" si="19"/>
        <v>2709517.71</v>
      </c>
      <c r="L28" s="22">
        <f t="shared" si="19"/>
        <v>1101558.8600000001</v>
      </c>
      <c r="M28" s="22">
        <f t="shared" si="19"/>
        <v>2581988.5699999998</v>
      </c>
      <c r="N28" s="22">
        <f t="shared" si="19"/>
        <v>1655067.43</v>
      </c>
      <c r="O28" s="22">
        <f t="shared" si="19"/>
        <v>705270.86</v>
      </c>
      <c r="P28" s="22">
        <f t="shared" si="19"/>
        <v>810747.43</v>
      </c>
      <c r="Q28" s="22">
        <f t="shared" si="19"/>
        <v>512393.14</v>
      </c>
      <c r="R28" s="22">
        <f t="shared" si="19"/>
        <v>691715.43</v>
      </c>
      <c r="S28" s="22">
        <f t="shared" si="19"/>
        <v>145467.43</v>
      </c>
      <c r="T28" s="22">
        <f t="shared" si="19"/>
        <v>774171.43</v>
      </c>
      <c r="U28" s="22">
        <f t="shared" si="19"/>
        <v>2468571.4300000002</v>
      </c>
      <c r="V28" s="22">
        <f t="shared" si="19"/>
        <v>319501.71000000002</v>
      </c>
      <c r="W28" s="22">
        <f t="shared" si="19"/>
        <v>1344836.57</v>
      </c>
      <c r="X28" s="22">
        <f t="shared" si="19"/>
        <v>194722.29</v>
      </c>
      <c r="Y28" s="22">
        <f t="shared" si="1"/>
        <v>35178987.419999994</v>
      </c>
    </row>
    <row r="29" spans="1:25" s="2" customFormat="1" ht="24.95" customHeight="1">
      <c r="A29" s="19" t="s">
        <v>55</v>
      </c>
      <c r="B29" s="25" t="s">
        <v>56</v>
      </c>
      <c r="C29" s="25" t="s">
        <v>57</v>
      </c>
      <c r="D29" s="23" t="s">
        <v>31</v>
      </c>
      <c r="E29" s="22">
        <f>ROUND(E30/0.07*0.08,2)</f>
        <v>5608741.71</v>
      </c>
      <c r="F29" s="22">
        <f t="shared" ref="F29:X29" si="20">ROUND(F30/0.07*0.08,2)</f>
        <v>1876333.71</v>
      </c>
      <c r="G29" s="22">
        <f t="shared" si="20"/>
        <v>1544228.57</v>
      </c>
      <c r="H29" s="22">
        <f t="shared" si="20"/>
        <v>2115222.86</v>
      </c>
      <c r="I29" s="22">
        <f t="shared" si="20"/>
        <v>6871977.1399999997</v>
      </c>
      <c r="J29" s="22">
        <f t="shared" si="20"/>
        <v>1146953.1399999999</v>
      </c>
      <c r="K29" s="22">
        <f t="shared" si="20"/>
        <v>2709517.71</v>
      </c>
      <c r="L29" s="22">
        <f t="shared" si="20"/>
        <v>1101558.8600000001</v>
      </c>
      <c r="M29" s="22">
        <f t="shared" si="20"/>
        <v>2581988.5699999998</v>
      </c>
      <c r="N29" s="22">
        <f t="shared" si="20"/>
        <v>1655067.43</v>
      </c>
      <c r="O29" s="22">
        <f t="shared" si="20"/>
        <v>705270.86</v>
      </c>
      <c r="P29" s="22">
        <f t="shared" si="20"/>
        <v>810747.43</v>
      </c>
      <c r="Q29" s="22">
        <f t="shared" si="20"/>
        <v>512393.14</v>
      </c>
      <c r="R29" s="22">
        <f t="shared" si="20"/>
        <v>691715.43</v>
      </c>
      <c r="S29" s="22">
        <f t="shared" si="20"/>
        <v>145467.43</v>
      </c>
      <c r="T29" s="22">
        <f t="shared" si="20"/>
        <v>774171.43</v>
      </c>
      <c r="U29" s="22">
        <f t="shared" si="20"/>
        <v>2468571.4300000002</v>
      </c>
      <c r="V29" s="22">
        <f t="shared" si="20"/>
        <v>319501.71000000002</v>
      </c>
      <c r="W29" s="22">
        <f t="shared" si="20"/>
        <v>1344836.57</v>
      </c>
      <c r="X29" s="22">
        <f t="shared" si="20"/>
        <v>194722.29</v>
      </c>
      <c r="Y29" s="22">
        <f t="shared" si="1"/>
        <v>35178987.419999994</v>
      </c>
    </row>
    <row r="30" spans="1:25" ht="24.95" customHeight="1">
      <c r="A30" s="19" t="s">
        <v>58</v>
      </c>
      <c r="B30" s="20" t="s">
        <v>182</v>
      </c>
      <c r="C30" s="20" t="s">
        <v>59</v>
      </c>
      <c r="D30" s="21" t="s">
        <v>183</v>
      </c>
      <c r="E30" s="28">
        <v>4907649</v>
      </c>
      <c r="F30" s="28">
        <f>136816*12</f>
        <v>1641792</v>
      </c>
      <c r="G30" s="28">
        <v>1351200</v>
      </c>
      <c r="H30" s="28">
        <f>154235*12</f>
        <v>1850820</v>
      </c>
      <c r="I30" s="28">
        <v>6012980</v>
      </c>
      <c r="J30" s="28">
        <v>1003584</v>
      </c>
      <c r="K30" s="28">
        <f>197569*12</f>
        <v>2370828</v>
      </c>
      <c r="L30" s="28">
        <f>80322*12</f>
        <v>963864</v>
      </c>
      <c r="M30" s="28">
        <f>188270*12</f>
        <v>2259240</v>
      </c>
      <c r="N30" s="28">
        <f>120682*12</f>
        <v>1448184</v>
      </c>
      <c r="O30" s="28">
        <f>51426*12</f>
        <v>617112</v>
      </c>
      <c r="P30" s="28">
        <f>59117*12</f>
        <v>709404</v>
      </c>
      <c r="Q30" s="28">
        <v>448344</v>
      </c>
      <c r="R30" s="28">
        <v>605251</v>
      </c>
      <c r="S30" s="28">
        <v>127284</v>
      </c>
      <c r="T30" s="28">
        <v>677400</v>
      </c>
      <c r="U30" s="28">
        <f>180000*12</f>
        <v>2160000</v>
      </c>
      <c r="V30" s="28">
        <f>23297*12</f>
        <v>279564</v>
      </c>
      <c r="W30" s="28">
        <f>98061*12</f>
        <v>1176732</v>
      </c>
      <c r="X30" s="28">
        <v>170382</v>
      </c>
      <c r="Y30" s="22">
        <f t="shared" si="1"/>
        <v>30781614</v>
      </c>
    </row>
    <row r="31" spans="1:25" ht="24.95" customHeight="1">
      <c r="A31" s="19" t="s">
        <v>60</v>
      </c>
      <c r="B31" s="20" t="s">
        <v>184</v>
      </c>
      <c r="C31" s="26" t="s">
        <v>16</v>
      </c>
      <c r="D31" s="23" t="s">
        <v>185</v>
      </c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2">
        <f t="shared" si="1"/>
        <v>0</v>
      </c>
    </row>
    <row r="32" spans="1:25" ht="24.95" customHeight="1">
      <c r="A32" s="19" t="s">
        <v>61</v>
      </c>
      <c r="B32" s="20" t="s">
        <v>62</v>
      </c>
      <c r="C32" s="20"/>
      <c r="D32" s="21" t="s">
        <v>10</v>
      </c>
      <c r="E32" s="22">
        <f t="shared" ref="E32:O32" si="21">E33+E35</f>
        <v>2438134.2000000002</v>
      </c>
      <c r="F32" s="22">
        <f t="shared" si="21"/>
        <v>990900</v>
      </c>
      <c r="G32" s="22">
        <f t="shared" si="21"/>
        <v>1155540</v>
      </c>
      <c r="H32" s="22">
        <f t="shared" si="21"/>
        <v>45360</v>
      </c>
      <c r="I32" s="22">
        <f t="shared" si="21"/>
        <v>2005145</v>
      </c>
      <c r="J32" s="22">
        <f t="shared" si="21"/>
        <v>604620</v>
      </c>
      <c r="K32" s="22">
        <f t="shared" si="21"/>
        <v>624600</v>
      </c>
      <c r="L32" s="22">
        <f t="shared" si="21"/>
        <v>421500</v>
      </c>
      <c r="M32" s="22">
        <f t="shared" si="21"/>
        <v>64980</v>
      </c>
      <c r="N32" s="22">
        <f t="shared" si="21"/>
        <v>804120</v>
      </c>
      <c r="O32" s="22">
        <f t="shared" si="21"/>
        <v>674100</v>
      </c>
      <c r="P32" s="22">
        <f>P33+P35</f>
        <v>29100</v>
      </c>
      <c r="Q32" s="22">
        <f t="shared" ref="Q32:X32" si="22">Q33+Q35</f>
        <v>1890</v>
      </c>
      <c r="R32" s="22">
        <f t="shared" si="22"/>
        <v>466440</v>
      </c>
      <c r="S32" s="22">
        <f t="shared" si="22"/>
        <v>156720</v>
      </c>
      <c r="T32" s="22">
        <f t="shared" si="22"/>
        <v>3600</v>
      </c>
      <c r="U32" s="22">
        <f t="shared" si="22"/>
        <v>291120</v>
      </c>
      <c r="V32" s="22">
        <f t="shared" si="22"/>
        <v>360</v>
      </c>
      <c r="W32" s="22">
        <f t="shared" si="22"/>
        <v>70080</v>
      </c>
      <c r="X32" s="22">
        <f t="shared" si="22"/>
        <v>780</v>
      </c>
      <c r="Y32" s="22">
        <f t="shared" si="1"/>
        <v>10849089.199999999</v>
      </c>
    </row>
    <row r="33" spans="1:25" ht="24.95" customHeight="1">
      <c r="A33" s="19" t="s">
        <v>63</v>
      </c>
      <c r="B33" s="20" t="s">
        <v>186</v>
      </c>
      <c r="C33" s="20" t="s">
        <v>64</v>
      </c>
      <c r="D33" s="27" t="s">
        <v>187</v>
      </c>
      <c r="E33" s="29">
        <f>E34</f>
        <v>2424244.2000000002</v>
      </c>
      <c r="F33" s="29">
        <f t="shared" ref="F33:X33" si="23">F34</f>
        <v>984420</v>
      </c>
      <c r="G33" s="29">
        <f t="shared" si="23"/>
        <v>1146900</v>
      </c>
      <c r="H33" s="29">
        <f t="shared" si="23"/>
        <v>40680</v>
      </c>
      <c r="I33" s="29">
        <f t="shared" si="23"/>
        <v>1987925</v>
      </c>
      <c r="J33" s="29">
        <f t="shared" si="23"/>
        <v>601740</v>
      </c>
      <c r="K33" s="29">
        <f t="shared" si="23"/>
        <v>620280</v>
      </c>
      <c r="L33" s="29">
        <f t="shared" si="23"/>
        <v>420060</v>
      </c>
      <c r="M33" s="29">
        <f t="shared" si="23"/>
        <v>62880</v>
      </c>
      <c r="N33" s="29">
        <f t="shared" si="23"/>
        <v>798000</v>
      </c>
      <c r="O33" s="29">
        <f t="shared" si="23"/>
        <v>671580</v>
      </c>
      <c r="P33" s="29">
        <f t="shared" si="23"/>
        <v>25860</v>
      </c>
      <c r="Q33" s="29">
        <f t="shared" si="23"/>
        <v>0</v>
      </c>
      <c r="R33" s="29">
        <f t="shared" si="23"/>
        <v>465000</v>
      </c>
      <c r="S33" s="29">
        <f t="shared" si="23"/>
        <v>156360</v>
      </c>
      <c r="T33" s="29">
        <f t="shared" si="23"/>
        <v>0</v>
      </c>
      <c r="U33" s="29">
        <f t="shared" si="23"/>
        <v>286800</v>
      </c>
      <c r="V33" s="29">
        <f t="shared" si="23"/>
        <v>0</v>
      </c>
      <c r="W33" s="29">
        <f t="shared" si="23"/>
        <v>63600</v>
      </c>
      <c r="X33" s="29">
        <f t="shared" si="23"/>
        <v>0</v>
      </c>
      <c r="Y33" s="22">
        <f t="shared" si="1"/>
        <v>10756329.199999999</v>
      </c>
    </row>
    <row r="34" spans="1:25" ht="24.95" customHeight="1">
      <c r="A34" s="19" t="s">
        <v>65</v>
      </c>
      <c r="B34" s="20" t="s">
        <v>188</v>
      </c>
      <c r="C34" s="20" t="s">
        <v>64</v>
      </c>
      <c r="D34" s="27" t="s">
        <v>187</v>
      </c>
      <c r="E34" s="24">
        <v>2424244.2000000002</v>
      </c>
      <c r="F34" s="24">
        <f>82035*12</f>
        <v>984420</v>
      </c>
      <c r="G34" s="24">
        <v>1146900</v>
      </c>
      <c r="H34" s="24">
        <f>3390*12</f>
        <v>40680</v>
      </c>
      <c r="I34" s="24">
        <v>1987925</v>
      </c>
      <c r="J34" s="24">
        <v>601740</v>
      </c>
      <c r="K34" s="24">
        <f>51690*12</f>
        <v>620280</v>
      </c>
      <c r="L34" s="24">
        <f>35005*12</f>
        <v>420060</v>
      </c>
      <c r="M34" s="24">
        <f>5240*12</f>
        <v>62880</v>
      </c>
      <c r="N34" s="24">
        <f>66500*12</f>
        <v>798000</v>
      </c>
      <c r="O34" s="24">
        <f>55965*12</f>
        <v>671580</v>
      </c>
      <c r="P34" s="24">
        <f>2155*12</f>
        <v>25860</v>
      </c>
      <c r="Q34" s="24"/>
      <c r="R34" s="24">
        <v>465000</v>
      </c>
      <c r="S34" s="24">
        <v>156360</v>
      </c>
      <c r="T34" s="24"/>
      <c r="U34" s="24">
        <v>286800</v>
      </c>
      <c r="V34" s="24"/>
      <c r="W34" s="24">
        <f>5300*12</f>
        <v>63600</v>
      </c>
      <c r="X34" s="24"/>
      <c r="Y34" s="22">
        <f t="shared" si="1"/>
        <v>10756329.199999999</v>
      </c>
    </row>
    <row r="35" spans="1:25" ht="24.95" customHeight="1">
      <c r="A35" s="19" t="s">
        <v>66</v>
      </c>
      <c r="B35" s="20" t="s">
        <v>67</v>
      </c>
      <c r="C35" s="20"/>
      <c r="D35" s="21" t="s">
        <v>10</v>
      </c>
      <c r="E35" s="22">
        <f>E36</f>
        <v>13890</v>
      </c>
      <c r="F35" s="22">
        <f t="shared" ref="F35:X35" si="24">F36</f>
        <v>6480</v>
      </c>
      <c r="G35" s="22">
        <f t="shared" si="24"/>
        <v>8640</v>
      </c>
      <c r="H35" s="22">
        <f t="shared" si="24"/>
        <v>4680</v>
      </c>
      <c r="I35" s="22">
        <f t="shared" si="24"/>
        <v>17220</v>
      </c>
      <c r="J35" s="22">
        <f t="shared" si="24"/>
        <v>2880</v>
      </c>
      <c r="K35" s="22">
        <f t="shared" si="24"/>
        <v>4320</v>
      </c>
      <c r="L35" s="22">
        <f t="shared" si="24"/>
        <v>1440</v>
      </c>
      <c r="M35" s="22">
        <f t="shared" si="24"/>
        <v>2100</v>
      </c>
      <c r="N35" s="22">
        <f t="shared" si="24"/>
        <v>6120</v>
      </c>
      <c r="O35" s="22">
        <f t="shared" si="24"/>
        <v>2520</v>
      </c>
      <c r="P35" s="22">
        <f t="shared" si="24"/>
        <v>3240</v>
      </c>
      <c r="Q35" s="22">
        <f t="shared" si="24"/>
        <v>1890</v>
      </c>
      <c r="R35" s="22">
        <f t="shared" si="24"/>
        <v>1440</v>
      </c>
      <c r="S35" s="22">
        <f t="shared" si="24"/>
        <v>360</v>
      </c>
      <c r="T35" s="22">
        <f t="shared" si="24"/>
        <v>3600</v>
      </c>
      <c r="U35" s="22">
        <f t="shared" si="24"/>
        <v>4320</v>
      </c>
      <c r="V35" s="22">
        <f t="shared" si="24"/>
        <v>360</v>
      </c>
      <c r="W35" s="22">
        <f t="shared" si="24"/>
        <v>6480</v>
      </c>
      <c r="X35" s="22">
        <f t="shared" si="24"/>
        <v>780</v>
      </c>
      <c r="Y35" s="22">
        <f t="shared" si="1"/>
        <v>92760</v>
      </c>
    </row>
    <row r="36" spans="1:25" ht="24.95" customHeight="1">
      <c r="A36" s="19" t="s">
        <v>68</v>
      </c>
      <c r="B36" s="20" t="s">
        <v>69</v>
      </c>
      <c r="C36" s="20" t="s">
        <v>16</v>
      </c>
      <c r="D36" s="21" t="s">
        <v>17</v>
      </c>
      <c r="E36" s="24">
        <v>13890</v>
      </c>
      <c r="F36" s="24">
        <f>540*12</f>
        <v>6480</v>
      </c>
      <c r="G36" s="24">
        <v>8640</v>
      </c>
      <c r="H36" s="24">
        <f>390*12</f>
        <v>4680</v>
      </c>
      <c r="I36" s="24">
        <v>17220</v>
      </c>
      <c r="J36" s="24">
        <v>2880</v>
      </c>
      <c r="K36" s="24">
        <f>360*12</f>
        <v>4320</v>
      </c>
      <c r="L36" s="24">
        <f>120*12</f>
        <v>1440</v>
      </c>
      <c r="M36" s="24">
        <v>2100</v>
      </c>
      <c r="N36" s="24">
        <f>510*12</f>
        <v>6120</v>
      </c>
      <c r="O36" s="24">
        <f>210*12</f>
        <v>2520</v>
      </c>
      <c r="P36" s="24">
        <f>270*12</f>
        <v>3240</v>
      </c>
      <c r="Q36" s="24">
        <v>1890</v>
      </c>
      <c r="R36" s="24">
        <v>1440</v>
      </c>
      <c r="S36" s="24">
        <v>360</v>
      </c>
      <c r="T36" s="24">
        <v>3600</v>
      </c>
      <c r="U36" s="24">
        <f>(210+150)*12</f>
        <v>4320</v>
      </c>
      <c r="V36" s="24">
        <f>30*12</f>
        <v>360</v>
      </c>
      <c r="W36" s="24">
        <f>540*12</f>
        <v>6480</v>
      </c>
      <c r="X36" s="24">
        <v>780</v>
      </c>
      <c r="Y36" s="22">
        <f t="shared" si="1"/>
        <v>92760</v>
      </c>
    </row>
    <row r="37" spans="1:25" ht="24.95" customHeight="1">
      <c r="A37" s="19" t="s">
        <v>70</v>
      </c>
      <c r="B37" s="20" t="s">
        <v>73</v>
      </c>
      <c r="C37" s="20"/>
      <c r="D37" s="21" t="s">
        <v>10</v>
      </c>
      <c r="E37" s="22">
        <f>E38+E40+E42+E44+E46+E49+E51+E53+E55+E57</f>
        <v>17766080.879999999</v>
      </c>
      <c r="F37" s="22">
        <f t="shared" ref="F37:X37" si="25">F38+F40+F42+F44+F46+F49+F51+F53+F55+F57</f>
        <v>6661471.4299999997</v>
      </c>
      <c r="G37" s="22">
        <f t="shared" si="25"/>
        <v>5703243.3399999999</v>
      </c>
      <c r="H37" s="22">
        <f t="shared" si="25"/>
        <v>7698205.6600000001</v>
      </c>
      <c r="I37" s="22">
        <f t="shared" si="25"/>
        <v>23065608.890000001</v>
      </c>
      <c r="J37" s="22">
        <f t="shared" si="25"/>
        <v>3368233.74</v>
      </c>
      <c r="K37" s="22">
        <f t="shared" si="25"/>
        <v>9289445.7300000004</v>
      </c>
      <c r="L37" s="22">
        <f t="shared" si="25"/>
        <v>3325463.26</v>
      </c>
      <c r="M37" s="22">
        <f t="shared" si="25"/>
        <v>8316920.29</v>
      </c>
      <c r="N37" s="22">
        <f t="shared" si="25"/>
        <v>4201462.91</v>
      </c>
      <c r="O37" s="22">
        <f t="shared" si="25"/>
        <v>2101007.71</v>
      </c>
      <c r="P37" s="22">
        <f t="shared" si="25"/>
        <v>2582424.56</v>
      </c>
      <c r="Q37" s="22">
        <f t="shared" si="25"/>
        <v>1327745.0900000001</v>
      </c>
      <c r="R37" s="22">
        <f t="shared" si="25"/>
        <v>1906244.8599999999</v>
      </c>
      <c r="S37" s="22">
        <f t="shared" si="25"/>
        <v>337966.86</v>
      </c>
      <c r="T37" s="22">
        <f t="shared" si="25"/>
        <v>1759619.6600000001</v>
      </c>
      <c r="U37" s="22">
        <f t="shared" si="25"/>
        <v>9219775.2599999998</v>
      </c>
      <c r="V37" s="22">
        <f t="shared" si="25"/>
        <v>1195565.23</v>
      </c>
      <c r="W37" s="22">
        <f t="shared" si="25"/>
        <v>2643989.14</v>
      </c>
      <c r="X37" s="22">
        <f t="shared" si="25"/>
        <v>1122260.17</v>
      </c>
      <c r="Y37" s="22">
        <f t="shared" si="1"/>
        <v>113592734.67000002</v>
      </c>
    </row>
    <row r="38" spans="1:25" ht="24.95" customHeight="1">
      <c r="A38" s="19" t="s">
        <v>71</v>
      </c>
      <c r="B38" s="20" t="s">
        <v>75</v>
      </c>
      <c r="C38" s="20"/>
      <c r="D38" s="21" t="s">
        <v>76</v>
      </c>
      <c r="E38" s="24">
        <v>13763750</v>
      </c>
      <c r="F38" s="24">
        <v>5220600</v>
      </c>
      <c r="G38" s="24">
        <v>4427500</v>
      </c>
      <c r="H38" s="24">
        <v>6406400</v>
      </c>
      <c r="I38" s="24">
        <v>18406140</v>
      </c>
      <c r="J38" s="24">
        <v>2500590</v>
      </c>
      <c r="K38" s="24">
        <v>7524240</v>
      </c>
      <c r="L38" s="24">
        <v>2462070</v>
      </c>
      <c r="M38" s="24">
        <v>6718530</v>
      </c>
      <c r="N38" s="24">
        <v>2891460</v>
      </c>
      <c r="O38" s="24">
        <v>1430000</v>
      </c>
      <c r="P38" s="24">
        <v>1861860</v>
      </c>
      <c r="Q38" s="24">
        <v>958100</v>
      </c>
      <c r="R38" s="24">
        <v>1287000</v>
      </c>
      <c r="S38" s="24">
        <v>156800</v>
      </c>
      <c r="T38" s="24">
        <v>1208000</v>
      </c>
      <c r="U38" s="24">
        <v>7288760</v>
      </c>
      <c r="V38" s="24">
        <v>858000</v>
      </c>
      <c r="W38" s="24">
        <v>1673820</v>
      </c>
      <c r="X38" s="24">
        <v>858000</v>
      </c>
      <c r="Y38" s="22">
        <f t="shared" si="1"/>
        <v>87901620</v>
      </c>
    </row>
    <row r="39" spans="1:25" ht="24.95" customHeight="1">
      <c r="A39" s="19" t="s">
        <v>72</v>
      </c>
      <c r="B39" s="20" t="s">
        <v>189</v>
      </c>
      <c r="C39" s="20" t="s">
        <v>190</v>
      </c>
      <c r="D39" s="30" t="s">
        <v>191</v>
      </c>
      <c r="E39" s="24">
        <v>688187.5</v>
      </c>
      <c r="F39" s="24">
        <v>261030</v>
      </c>
      <c r="G39" s="24">
        <v>221375</v>
      </c>
      <c r="H39" s="24">
        <v>320320</v>
      </c>
      <c r="I39" s="24">
        <v>920307</v>
      </c>
      <c r="J39" s="24">
        <v>125029.5</v>
      </c>
      <c r="K39" s="24">
        <v>376212</v>
      </c>
      <c r="L39" s="24">
        <v>123103.5</v>
      </c>
      <c r="M39" s="24">
        <v>335926.5</v>
      </c>
      <c r="N39" s="24">
        <v>123409</v>
      </c>
      <c r="O39" s="24">
        <v>52338</v>
      </c>
      <c r="P39" s="24">
        <v>83369</v>
      </c>
      <c r="Q39" s="24">
        <v>47905</v>
      </c>
      <c r="R39" s="24">
        <v>51480</v>
      </c>
      <c r="S39" s="24">
        <v>7840</v>
      </c>
      <c r="T39" s="24">
        <v>53250</v>
      </c>
      <c r="U39" s="24">
        <v>364438</v>
      </c>
      <c r="V39" s="24">
        <v>29458</v>
      </c>
      <c r="W39" s="24">
        <v>83691</v>
      </c>
      <c r="X39" s="24">
        <v>32461</v>
      </c>
      <c r="Y39" s="22">
        <f t="shared" si="1"/>
        <v>4301130</v>
      </c>
    </row>
    <row r="40" spans="1:25" ht="24.95" customHeight="1">
      <c r="A40" s="19" t="s">
        <v>74</v>
      </c>
      <c r="B40" s="20" t="s">
        <v>79</v>
      </c>
      <c r="C40" s="20"/>
      <c r="D40" s="21"/>
      <c r="E40" s="22">
        <f>E41</f>
        <v>107200</v>
      </c>
      <c r="F40" s="22">
        <f t="shared" ref="F40:X40" si="26">F41</f>
        <v>36400</v>
      </c>
      <c r="G40" s="22">
        <f t="shared" si="26"/>
        <v>31600</v>
      </c>
      <c r="H40" s="22">
        <f t="shared" si="26"/>
        <v>42400</v>
      </c>
      <c r="I40" s="22">
        <f t="shared" si="26"/>
        <v>143600</v>
      </c>
      <c r="J40" s="22">
        <f t="shared" si="26"/>
        <v>23600</v>
      </c>
      <c r="K40" s="22">
        <f t="shared" si="26"/>
        <v>54000</v>
      </c>
      <c r="L40" s="22">
        <f t="shared" si="26"/>
        <v>22400</v>
      </c>
      <c r="M40" s="22">
        <f t="shared" si="26"/>
        <v>52000</v>
      </c>
      <c r="N40" s="22">
        <f t="shared" si="26"/>
        <v>36800</v>
      </c>
      <c r="O40" s="22">
        <f t="shared" si="26"/>
        <v>16400</v>
      </c>
      <c r="P40" s="22">
        <f t="shared" si="26"/>
        <v>19200</v>
      </c>
      <c r="Q40" s="22">
        <f t="shared" si="26"/>
        <v>11600</v>
      </c>
      <c r="R40" s="22">
        <f t="shared" si="26"/>
        <v>16400</v>
      </c>
      <c r="S40" s="22">
        <f t="shared" si="26"/>
        <v>2800</v>
      </c>
      <c r="T40" s="22">
        <f t="shared" si="26"/>
        <v>17600</v>
      </c>
      <c r="U40" s="22">
        <f t="shared" si="26"/>
        <v>47600</v>
      </c>
      <c r="V40" s="22">
        <f t="shared" si="26"/>
        <v>7600</v>
      </c>
      <c r="W40" s="22">
        <f t="shared" si="26"/>
        <v>29200</v>
      </c>
      <c r="X40" s="22">
        <f t="shared" si="26"/>
        <v>5600</v>
      </c>
      <c r="Y40" s="22">
        <f t="shared" si="1"/>
        <v>724000</v>
      </c>
    </row>
    <row r="41" spans="1:25" s="2" customFormat="1" ht="24.95" customHeight="1">
      <c r="A41" s="19" t="s">
        <v>77</v>
      </c>
      <c r="B41" s="25" t="s">
        <v>81</v>
      </c>
      <c r="C41" s="25" t="s">
        <v>16</v>
      </c>
      <c r="D41" s="31" t="s">
        <v>82</v>
      </c>
      <c r="E41" s="22">
        <f>E60*400</f>
        <v>107200</v>
      </c>
      <c r="F41" s="22">
        <f t="shared" ref="F41:X41" si="27">F60*400</f>
        <v>36400</v>
      </c>
      <c r="G41" s="22">
        <f t="shared" si="27"/>
        <v>31600</v>
      </c>
      <c r="H41" s="22">
        <f t="shared" si="27"/>
        <v>42400</v>
      </c>
      <c r="I41" s="22">
        <f t="shared" si="27"/>
        <v>143600</v>
      </c>
      <c r="J41" s="22">
        <f t="shared" si="27"/>
        <v>23600</v>
      </c>
      <c r="K41" s="22">
        <f t="shared" si="27"/>
        <v>54000</v>
      </c>
      <c r="L41" s="22">
        <f t="shared" si="27"/>
        <v>22400</v>
      </c>
      <c r="M41" s="22">
        <f t="shared" si="27"/>
        <v>52000</v>
      </c>
      <c r="N41" s="22">
        <f t="shared" si="27"/>
        <v>36800</v>
      </c>
      <c r="O41" s="22">
        <f t="shared" si="27"/>
        <v>16400</v>
      </c>
      <c r="P41" s="22">
        <f t="shared" si="27"/>
        <v>19200</v>
      </c>
      <c r="Q41" s="22">
        <f t="shared" si="27"/>
        <v>11600</v>
      </c>
      <c r="R41" s="22">
        <f t="shared" si="27"/>
        <v>16400</v>
      </c>
      <c r="S41" s="22">
        <f t="shared" si="27"/>
        <v>2800</v>
      </c>
      <c r="T41" s="22">
        <f t="shared" si="27"/>
        <v>17600</v>
      </c>
      <c r="U41" s="22">
        <f t="shared" si="27"/>
        <v>47600</v>
      </c>
      <c r="V41" s="22">
        <f t="shared" si="27"/>
        <v>7600</v>
      </c>
      <c r="W41" s="22">
        <f t="shared" si="27"/>
        <v>29200</v>
      </c>
      <c r="X41" s="22">
        <f t="shared" si="27"/>
        <v>5600</v>
      </c>
      <c r="Y41" s="22">
        <f t="shared" si="1"/>
        <v>724000</v>
      </c>
    </row>
    <row r="42" spans="1:25" ht="24.95" customHeight="1">
      <c r="A42" s="19" t="s">
        <v>78</v>
      </c>
      <c r="B42" s="20" t="s">
        <v>84</v>
      </c>
      <c r="C42" s="20"/>
      <c r="D42" s="21" t="s">
        <v>10</v>
      </c>
      <c r="E42" s="22">
        <f>E43</f>
        <v>517599.44999999995</v>
      </c>
      <c r="F42" s="22">
        <f t="shared" ref="F42:X42" si="28">F43</f>
        <v>197400</v>
      </c>
      <c r="G42" s="22">
        <f t="shared" si="28"/>
        <v>134278.19999999998</v>
      </c>
      <c r="H42" s="22">
        <f t="shared" si="28"/>
        <v>170335.94999999998</v>
      </c>
      <c r="I42" s="22">
        <f t="shared" si="28"/>
        <v>570432.6</v>
      </c>
      <c r="J42" s="22">
        <f t="shared" si="28"/>
        <v>69477.45</v>
      </c>
      <c r="K42" s="22">
        <f t="shared" si="28"/>
        <v>191346.3</v>
      </c>
      <c r="L42" s="22">
        <f t="shared" si="28"/>
        <v>139283.54999999999</v>
      </c>
      <c r="M42" s="22">
        <f t="shared" si="28"/>
        <v>215373.15</v>
      </c>
      <c r="N42" s="22">
        <f t="shared" si="28"/>
        <v>147436.04999999999</v>
      </c>
      <c r="O42" s="22">
        <f t="shared" si="28"/>
        <v>64290</v>
      </c>
      <c r="P42" s="22">
        <f t="shared" si="28"/>
        <v>200240.1</v>
      </c>
      <c r="Q42" s="22">
        <f t="shared" si="28"/>
        <v>55978.8</v>
      </c>
      <c r="R42" s="22">
        <f t="shared" si="28"/>
        <v>69180</v>
      </c>
      <c r="S42" s="22">
        <f t="shared" si="28"/>
        <v>42000</v>
      </c>
      <c r="T42" s="22">
        <f t="shared" si="28"/>
        <v>97500</v>
      </c>
      <c r="U42" s="22">
        <f t="shared" si="28"/>
        <v>484158</v>
      </c>
      <c r="V42" s="22">
        <f t="shared" si="28"/>
        <v>104925</v>
      </c>
      <c r="W42" s="22">
        <f t="shared" si="28"/>
        <v>198000</v>
      </c>
      <c r="X42" s="22">
        <f t="shared" si="28"/>
        <v>99000</v>
      </c>
      <c r="Y42" s="22">
        <f t="shared" si="1"/>
        <v>3768234.5999999996</v>
      </c>
    </row>
    <row r="43" spans="1:25" s="2" customFormat="1" ht="24.95" customHeight="1">
      <c r="A43" s="19" t="s">
        <v>80</v>
      </c>
      <c r="B43" s="25" t="s">
        <v>86</v>
      </c>
      <c r="C43" s="25" t="s">
        <v>16</v>
      </c>
      <c r="D43" s="31" t="s">
        <v>87</v>
      </c>
      <c r="E43" s="22">
        <f>E71*15</f>
        <v>517599.44999999995</v>
      </c>
      <c r="F43" s="22">
        <f t="shared" ref="F43:X43" si="29">F71*15</f>
        <v>197400</v>
      </c>
      <c r="G43" s="22">
        <f t="shared" si="29"/>
        <v>134278.19999999998</v>
      </c>
      <c r="H43" s="22">
        <f t="shared" si="29"/>
        <v>170335.94999999998</v>
      </c>
      <c r="I43" s="22">
        <f t="shared" si="29"/>
        <v>570432.6</v>
      </c>
      <c r="J43" s="22">
        <f t="shared" si="29"/>
        <v>69477.45</v>
      </c>
      <c r="K43" s="22">
        <f t="shared" si="29"/>
        <v>191346.3</v>
      </c>
      <c r="L43" s="22">
        <f t="shared" si="29"/>
        <v>139283.54999999999</v>
      </c>
      <c r="M43" s="22">
        <f t="shared" si="29"/>
        <v>215373.15</v>
      </c>
      <c r="N43" s="22">
        <f t="shared" si="29"/>
        <v>147436.04999999999</v>
      </c>
      <c r="O43" s="22">
        <f t="shared" si="29"/>
        <v>64290</v>
      </c>
      <c r="P43" s="22">
        <f t="shared" si="29"/>
        <v>200240.1</v>
      </c>
      <c r="Q43" s="22">
        <f t="shared" si="29"/>
        <v>55978.8</v>
      </c>
      <c r="R43" s="22">
        <f t="shared" si="29"/>
        <v>69180</v>
      </c>
      <c r="S43" s="22">
        <f t="shared" si="29"/>
        <v>42000</v>
      </c>
      <c r="T43" s="22">
        <f t="shared" si="29"/>
        <v>97500</v>
      </c>
      <c r="U43" s="22">
        <f t="shared" si="29"/>
        <v>484158</v>
      </c>
      <c r="V43" s="22">
        <f t="shared" si="29"/>
        <v>104925</v>
      </c>
      <c r="W43" s="22">
        <f t="shared" si="29"/>
        <v>198000</v>
      </c>
      <c r="X43" s="22">
        <f t="shared" si="29"/>
        <v>99000</v>
      </c>
      <c r="Y43" s="22">
        <f t="shared" si="1"/>
        <v>3768234.5999999996</v>
      </c>
    </row>
    <row r="44" spans="1:25" ht="24.95" customHeight="1">
      <c r="A44" s="19" t="s">
        <v>83</v>
      </c>
      <c r="B44" s="20" t="s">
        <v>89</v>
      </c>
      <c r="C44" s="20"/>
      <c r="D44" s="21" t="s">
        <v>10</v>
      </c>
      <c r="E44" s="22">
        <f>E45</f>
        <v>139576</v>
      </c>
      <c r="F44" s="22">
        <f t="shared" ref="F44:X44" si="30">F45</f>
        <v>69528</v>
      </c>
      <c r="G44" s="22">
        <f t="shared" si="30"/>
        <v>51968</v>
      </c>
      <c r="H44" s="22">
        <f t="shared" si="30"/>
        <v>32584</v>
      </c>
      <c r="I44" s="22">
        <f t="shared" si="30"/>
        <v>98712</v>
      </c>
      <c r="J44" s="22">
        <f t="shared" si="30"/>
        <v>25808</v>
      </c>
      <c r="K44" s="22">
        <f t="shared" si="30"/>
        <v>52960</v>
      </c>
      <c r="L44" s="22">
        <f t="shared" si="30"/>
        <v>28680</v>
      </c>
      <c r="M44" s="22">
        <f t="shared" si="30"/>
        <v>63040</v>
      </c>
      <c r="N44" s="22">
        <f t="shared" si="30"/>
        <v>42640</v>
      </c>
      <c r="O44" s="22">
        <f t="shared" si="30"/>
        <v>18800</v>
      </c>
      <c r="P44" s="22">
        <f t="shared" si="30"/>
        <v>48357.599999999999</v>
      </c>
      <c r="Q44" s="22">
        <f t="shared" si="30"/>
        <v>14288</v>
      </c>
      <c r="R44" s="22">
        <f t="shared" si="30"/>
        <v>13736</v>
      </c>
      <c r="S44" s="22">
        <f t="shared" si="30"/>
        <v>0</v>
      </c>
      <c r="T44" s="22">
        <f t="shared" si="30"/>
        <v>18496.8</v>
      </c>
      <c r="U44" s="22">
        <f t="shared" si="30"/>
        <v>137634.4</v>
      </c>
      <c r="V44" s="22">
        <f t="shared" si="30"/>
        <v>29584.799999999999</v>
      </c>
      <c r="W44" s="22">
        <f t="shared" si="30"/>
        <v>32800</v>
      </c>
      <c r="X44" s="22">
        <f t="shared" si="30"/>
        <v>18499.599999999999</v>
      </c>
      <c r="Y44" s="22">
        <f t="shared" si="1"/>
        <v>937693.20000000007</v>
      </c>
    </row>
    <row r="45" spans="1:25" s="2" customFormat="1" ht="24.95" customHeight="1">
      <c r="A45" s="19" t="s">
        <v>85</v>
      </c>
      <c r="B45" s="25" t="s">
        <v>91</v>
      </c>
      <c r="C45" s="25" t="s">
        <v>16</v>
      </c>
      <c r="D45" s="31" t="s">
        <v>92</v>
      </c>
      <c r="E45" s="22">
        <f>E72*8</f>
        <v>139576</v>
      </c>
      <c r="F45" s="22">
        <f t="shared" ref="F45:X45" si="31">F72*8</f>
        <v>69528</v>
      </c>
      <c r="G45" s="22">
        <f t="shared" si="31"/>
        <v>51968</v>
      </c>
      <c r="H45" s="22">
        <f t="shared" si="31"/>
        <v>32584</v>
      </c>
      <c r="I45" s="22">
        <f t="shared" si="31"/>
        <v>98712</v>
      </c>
      <c r="J45" s="22">
        <f t="shared" si="31"/>
        <v>25808</v>
      </c>
      <c r="K45" s="22">
        <f t="shared" si="31"/>
        <v>52960</v>
      </c>
      <c r="L45" s="22">
        <f t="shared" si="31"/>
        <v>28680</v>
      </c>
      <c r="M45" s="22">
        <f t="shared" si="31"/>
        <v>63040</v>
      </c>
      <c r="N45" s="22">
        <f t="shared" si="31"/>
        <v>42640</v>
      </c>
      <c r="O45" s="22">
        <f t="shared" si="31"/>
        <v>18800</v>
      </c>
      <c r="P45" s="22">
        <f t="shared" si="31"/>
        <v>48357.599999999999</v>
      </c>
      <c r="Q45" s="22">
        <f t="shared" si="31"/>
        <v>14288</v>
      </c>
      <c r="R45" s="22">
        <f t="shared" si="31"/>
        <v>13736</v>
      </c>
      <c r="S45" s="22">
        <f t="shared" si="31"/>
        <v>0</v>
      </c>
      <c r="T45" s="22">
        <f t="shared" si="31"/>
        <v>18496.8</v>
      </c>
      <c r="U45" s="22">
        <f t="shared" si="31"/>
        <v>137634.4</v>
      </c>
      <c r="V45" s="22">
        <f t="shared" si="31"/>
        <v>29584.799999999999</v>
      </c>
      <c r="W45" s="22">
        <f t="shared" si="31"/>
        <v>32800</v>
      </c>
      <c r="X45" s="22">
        <f t="shared" si="31"/>
        <v>18499.599999999999</v>
      </c>
      <c r="Y45" s="22">
        <f t="shared" si="1"/>
        <v>937693.20000000007</v>
      </c>
    </row>
    <row r="46" spans="1:25" ht="24.95" customHeight="1">
      <c r="A46" s="19" t="s">
        <v>88</v>
      </c>
      <c r="B46" s="20" t="s">
        <v>192</v>
      </c>
      <c r="C46" s="20"/>
      <c r="D46" s="21" t="s">
        <v>10</v>
      </c>
      <c r="E46" s="22">
        <f>E47+E48</f>
        <v>1732320</v>
      </c>
      <c r="F46" s="22">
        <f t="shared" ref="F46:X46" si="32">F47+F48</f>
        <v>617760</v>
      </c>
      <c r="G46" s="22">
        <f t="shared" si="32"/>
        <v>613440</v>
      </c>
      <c r="H46" s="22">
        <f t="shared" si="32"/>
        <v>470880</v>
      </c>
      <c r="I46" s="22">
        <f t="shared" si="32"/>
        <v>2026080</v>
      </c>
      <c r="J46" s="22">
        <f t="shared" si="32"/>
        <v>414720</v>
      </c>
      <c r="K46" s="22">
        <f t="shared" si="32"/>
        <v>738720</v>
      </c>
      <c r="L46" s="22">
        <f t="shared" si="32"/>
        <v>354240</v>
      </c>
      <c r="M46" s="22">
        <f t="shared" si="32"/>
        <v>578880</v>
      </c>
      <c r="N46" s="22">
        <f t="shared" si="32"/>
        <v>596160</v>
      </c>
      <c r="O46" s="22">
        <f t="shared" si="32"/>
        <v>345600</v>
      </c>
      <c r="P46" s="22">
        <f t="shared" si="32"/>
        <v>211680</v>
      </c>
      <c r="Q46" s="22">
        <f t="shared" si="32"/>
        <v>125280</v>
      </c>
      <c r="R46" s="22">
        <f t="shared" si="32"/>
        <v>302400</v>
      </c>
      <c r="S46" s="22">
        <f t="shared" si="32"/>
        <v>64800</v>
      </c>
      <c r="T46" s="22">
        <f t="shared" si="32"/>
        <v>190080</v>
      </c>
      <c r="U46" s="22">
        <f t="shared" si="32"/>
        <v>600480</v>
      </c>
      <c r="V46" s="22">
        <f t="shared" si="32"/>
        <v>82080</v>
      </c>
      <c r="W46" s="22">
        <f t="shared" si="32"/>
        <v>336960</v>
      </c>
      <c r="X46" s="22">
        <f t="shared" si="32"/>
        <v>60480</v>
      </c>
      <c r="Y46" s="22">
        <f t="shared" si="1"/>
        <v>10463040</v>
      </c>
    </row>
    <row r="47" spans="1:25" s="2" customFormat="1" ht="24.95" customHeight="1">
      <c r="A47" s="19" t="s">
        <v>90</v>
      </c>
      <c r="B47" s="25" t="s">
        <v>193</v>
      </c>
      <c r="C47" s="25" t="s">
        <v>16</v>
      </c>
      <c r="D47" s="31" t="s">
        <v>95</v>
      </c>
      <c r="E47" s="22">
        <f>E60*4320</f>
        <v>1157760</v>
      </c>
      <c r="F47" s="22">
        <f t="shared" ref="F47:X47" si="33">F60*4320</f>
        <v>393120</v>
      </c>
      <c r="G47" s="22">
        <f t="shared" si="33"/>
        <v>341280</v>
      </c>
      <c r="H47" s="22">
        <f t="shared" si="33"/>
        <v>457920</v>
      </c>
      <c r="I47" s="22">
        <f t="shared" si="33"/>
        <v>1550880</v>
      </c>
      <c r="J47" s="22">
        <f t="shared" si="33"/>
        <v>254880</v>
      </c>
      <c r="K47" s="22">
        <f t="shared" si="33"/>
        <v>583200</v>
      </c>
      <c r="L47" s="22">
        <f t="shared" si="33"/>
        <v>241920</v>
      </c>
      <c r="M47" s="22">
        <f t="shared" si="33"/>
        <v>561600</v>
      </c>
      <c r="N47" s="22">
        <f t="shared" si="33"/>
        <v>397440</v>
      </c>
      <c r="O47" s="22">
        <f t="shared" si="33"/>
        <v>177120</v>
      </c>
      <c r="P47" s="22">
        <f t="shared" si="33"/>
        <v>207360</v>
      </c>
      <c r="Q47" s="22">
        <f t="shared" si="33"/>
        <v>125280</v>
      </c>
      <c r="R47" s="22">
        <f t="shared" si="33"/>
        <v>177120</v>
      </c>
      <c r="S47" s="22">
        <f t="shared" si="33"/>
        <v>30240</v>
      </c>
      <c r="T47" s="22">
        <f t="shared" si="33"/>
        <v>190080</v>
      </c>
      <c r="U47" s="22">
        <f t="shared" si="33"/>
        <v>514080</v>
      </c>
      <c r="V47" s="22">
        <f t="shared" si="33"/>
        <v>82080</v>
      </c>
      <c r="W47" s="22">
        <f t="shared" si="33"/>
        <v>315360</v>
      </c>
      <c r="X47" s="22">
        <f t="shared" si="33"/>
        <v>60480</v>
      </c>
      <c r="Y47" s="22">
        <f t="shared" si="1"/>
        <v>7819200</v>
      </c>
    </row>
    <row r="48" spans="1:25" s="2" customFormat="1" ht="24.95" customHeight="1">
      <c r="A48" s="19" t="s">
        <v>93</v>
      </c>
      <c r="B48" s="25" t="s">
        <v>194</v>
      </c>
      <c r="C48" s="25" t="s">
        <v>16</v>
      </c>
      <c r="D48" s="31" t="s">
        <v>195</v>
      </c>
      <c r="E48" s="22">
        <f>E70*4320</f>
        <v>574560</v>
      </c>
      <c r="F48" s="22">
        <f t="shared" ref="F48:X48" si="34">F70*4320</f>
        <v>224640</v>
      </c>
      <c r="G48" s="22">
        <f t="shared" si="34"/>
        <v>272160</v>
      </c>
      <c r="H48" s="22">
        <f t="shared" si="34"/>
        <v>12960</v>
      </c>
      <c r="I48" s="22">
        <f t="shared" si="34"/>
        <v>475200</v>
      </c>
      <c r="J48" s="22">
        <f t="shared" si="34"/>
        <v>159840</v>
      </c>
      <c r="K48" s="22">
        <f t="shared" si="34"/>
        <v>155520</v>
      </c>
      <c r="L48" s="22">
        <f t="shared" si="34"/>
        <v>112320</v>
      </c>
      <c r="M48" s="22">
        <f t="shared" si="34"/>
        <v>17280</v>
      </c>
      <c r="N48" s="22">
        <f t="shared" si="34"/>
        <v>198720</v>
      </c>
      <c r="O48" s="22">
        <f t="shared" si="34"/>
        <v>168480</v>
      </c>
      <c r="P48" s="22">
        <f t="shared" si="34"/>
        <v>4320</v>
      </c>
      <c r="Q48" s="22">
        <f t="shared" si="34"/>
        <v>0</v>
      </c>
      <c r="R48" s="22">
        <f t="shared" si="34"/>
        <v>125280</v>
      </c>
      <c r="S48" s="22">
        <f t="shared" si="34"/>
        <v>34560</v>
      </c>
      <c r="T48" s="22">
        <f t="shared" si="34"/>
        <v>0</v>
      </c>
      <c r="U48" s="22">
        <f t="shared" si="34"/>
        <v>86400</v>
      </c>
      <c r="V48" s="22">
        <f t="shared" si="34"/>
        <v>0</v>
      </c>
      <c r="W48" s="22">
        <f t="shared" si="34"/>
        <v>21600</v>
      </c>
      <c r="X48" s="22">
        <f t="shared" si="34"/>
        <v>0</v>
      </c>
      <c r="Y48" s="22">
        <f t="shared" si="1"/>
        <v>2643840</v>
      </c>
    </row>
    <row r="49" spans="1:25" ht="24.95" customHeight="1">
      <c r="A49" s="19" t="s">
        <v>94</v>
      </c>
      <c r="B49" s="20" t="s">
        <v>196</v>
      </c>
      <c r="C49" s="20"/>
      <c r="D49" s="21" t="s">
        <v>10</v>
      </c>
      <c r="E49" s="22">
        <f>E50</f>
        <v>1402185.43</v>
      </c>
      <c r="F49" s="22">
        <f t="shared" ref="F49:X49" si="35">F50</f>
        <v>469083.43</v>
      </c>
      <c r="G49" s="22">
        <f t="shared" si="35"/>
        <v>386057.14</v>
      </c>
      <c r="H49" s="22">
        <f t="shared" si="35"/>
        <v>528805.71</v>
      </c>
      <c r="I49" s="22">
        <f t="shared" si="35"/>
        <v>1717994.29</v>
      </c>
      <c r="J49" s="22">
        <f t="shared" si="35"/>
        <v>286738.28999999998</v>
      </c>
      <c r="K49" s="22">
        <f t="shared" si="35"/>
        <v>677379.43</v>
      </c>
      <c r="L49" s="22">
        <f t="shared" si="35"/>
        <v>275389.71000000002</v>
      </c>
      <c r="M49" s="22">
        <f t="shared" si="35"/>
        <v>645497.14</v>
      </c>
      <c r="N49" s="22">
        <f t="shared" si="35"/>
        <v>413766.86</v>
      </c>
      <c r="O49" s="22">
        <f t="shared" si="35"/>
        <v>176317.71</v>
      </c>
      <c r="P49" s="22">
        <f t="shared" si="35"/>
        <v>202686.86</v>
      </c>
      <c r="Q49" s="22">
        <f t="shared" si="35"/>
        <v>128098.29</v>
      </c>
      <c r="R49" s="22">
        <f t="shared" si="35"/>
        <v>172928.86</v>
      </c>
      <c r="S49" s="22">
        <f t="shared" si="35"/>
        <v>36366.86</v>
      </c>
      <c r="T49" s="22">
        <f t="shared" si="35"/>
        <v>193542.86</v>
      </c>
      <c r="U49" s="22">
        <f t="shared" si="35"/>
        <v>617142.86</v>
      </c>
      <c r="V49" s="22">
        <f t="shared" si="35"/>
        <v>79875.429999999993</v>
      </c>
      <c r="W49" s="22">
        <f t="shared" si="35"/>
        <v>336209.14</v>
      </c>
      <c r="X49" s="22">
        <f t="shared" si="35"/>
        <v>48680.57</v>
      </c>
      <c r="Y49" s="22">
        <f t="shared" si="1"/>
        <v>8794746.8700000029</v>
      </c>
    </row>
    <row r="50" spans="1:25" s="2" customFormat="1" ht="24.95" customHeight="1">
      <c r="A50" s="19" t="s">
        <v>96</v>
      </c>
      <c r="B50" s="25" t="s">
        <v>99</v>
      </c>
      <c r="C50" s="25" t="s">
        <v>16</v>
      </c>
      <c r="D50" s="23" t="s">
        <v>31</v>
      </c>
      <c r="E50" s="22">
        <f>ROUND(E30/0.07*0.02,2)</f>
        <v>1402185.43</v>
      </c>
      <c r="F50" s="22">
        <f t="shared" ref="F50:X50" si="36">ROUND(F30/0.07*0.02,2)</f>
        <v>469083.43</v>
      </c>
      <c r="G50" s="22">
        <f t="shared" si="36"/>
        <v>386057.14</v>
      </c>
      <c r="H50" s="22">
        <f t="shared" si="36"/>
        <v>528805.71</v>
      </c>
      <c r="I50" s="22">
        <f t="shared" si="36"/>
        <v>1717994.29</v>
      </c>
      <c r="J50" s="22">
        <f t="shared" si="36"/>
        <v>286738.28999999998</v>
      </c>
      <c r="K50" s="22">
        <f t="shared" si="36"/>
        <v>677379.43</v>
      </c>
      <c r="L50" s="22">
        <f t="shared" si="36"/>
        <v>275389.71000000002</v>
      </c>
      <c r="M50" s="22">
        <f t="shared" si="36"/>
        <v>645497.14</v>
      </c>
      <c r="N50" s="22">
        <f t="shared" si="36"/>
        <v>413766.86</v>
      </c>
      <c r="O50" s="22">
        <f t="shared" si="36"/>
        <v>176317.71</v>
      </c>
      <c r="P50" s="22">
        <f t="shared" si="36"/>
        <v>202686.86</v>
      </c>
      <c r="Q50" s="22">
        <f t="shared" si="36"/>
        <v>128098.29</v>
      </c>
      <c r="R50" s="22">
        <f t="shared" si="36"/>
        <v>172928.86</v>
      </c>
      <c r="S50" s="22">
        <f t="shared" si="36"/>
        <v>36366.86</v>
      </c>
      <c r="T50" s="22">
        <f t="shared" si="36"/>
        <v>193542.86</v>
      </c>
      <c r="U50" s="22">
        <f t="shared" si="36"/>
        <v>617142.86</v>
      </c>
      <c r="V50" s="22">
        <f t="shared" si="36"/>
        <v>79875.429999999993</v>
      </c>
      <c r="W50" s="22">
        <f t="shared" si="36"/>
        <v>336209.14</v>
      </c>
      <c r="X50" s="22">
        <f t="shared" si="36"/>
        <v>48680.57</v>
      </c>
      <c r="Y50" s="22">
        <f t="shared" si="1"/>
        <v>8794746.8700000029</v>
      </c>
    </row>
    <row r="51" spans="1:25" ht="24.95" customHeight="1">
      <c r="A51" s="19" t="s">
        <v>97</v>
      </c>
      <c r="B51" s="20" t="s">
        <v>197</v>
      </c>
      <c r="C51" s="20"/>
      <c r="D51" s="21" t="s">
        <v>10</v>
      </c>
      <c r="E51" s="22">
        <f>E52</f>
        <v>32000</v>
      </c>
      <c r="F51" s="22">
        <f t="shared" ref="F51:X51" si="37">F52</f>
        <v>25000</v>
      </c>
      <c r="G51" s="22">
        <f t="shared" si="37"/>
        <v>32000</v>
      </c>
      <c r="H51" s="22">
        <f t="shared" si="37"/>
        <v>32000</v>
      </c>
      <c r="I51" s="22">
        <f t="shared" si="37"/>
        <v>25000</v>
      </c>
      <c r="J51" s="22">
        <f t="shared" si="37"/>
        <v>32000</v>
      </c>
      <c r="K51" s="22">
        <f t="shared" si="37"/>
        <v>0</v>
      </c>
      <c r="L51" s="22">
        <f t="shared" si="37"/>
        <v>32000</v>
      </c>
      <c r="M51" s="22">
        <f t="shared" si="37"/>
        <v>32000</v>
      </c>
      <c r="N51" s="22">
        <f t="shared" si="37"/>
        <v>32000</v>
      </c>
      <c r="O51" s="22">
        <f t="shared" si="37"/>
        <v>0</v>
      </c>
      <c r="P51" s="22">
        <f t="shared" si="37"/>
        <v>0</v>
      </c>
      <c r="Q51" s="22">
        <f t="shared" si="37"/>
        <v>32000</v>
      </c>
      <c r="R51" s="22">
        <f t="shared" si="37"/>
        <v>0</v>
      </c>
      <c r="S51" s="22">
        <f t="shared" si="37"/>
        <v>0</v>
      </c>
      <c r="T51" s="22">
        <f t="shared" si="37"/>
        <v>0</v>
      </c>
      <c r="U51" s="22">
        <f t="shared" si="37"/>
        <v>0</v>
      </c>
      <c r="V51" s="22">
        <f t="shared" si="37"/>
        <v>0</v>
      </c>
      <c r="W51" s="22">
        <f t="shared" si="37"/>
        <v>0</v>
      </c>
      <c r="X51" s="22">
        <f t="shared" si="37"/>
        <v>0</v>
      </c>
      <c r="Y51" s="22">
        <f t="shared" si="1"/>
        <v>306000</v>
      </c>
    </row>
    <row r="52" spans="1:25" ht="24.95" customHeight="1">
      <c r="A52" s="19" t="s">
        <v>98</v>
      </c>
      <c r="B52" s="20" t="s">
        <v>102</v>
      </c>
      <c r="C52" s="20" t="s">
        <v>16</v>
      </c>
      <c r="D52" s="30" t="s">
        <v>103</v>
      </c>
      <c r="E52" s="24">
        <v>32000</v>
      </c>
      <c r="F52" s="94">
        <f>32000-7000</f>
        <v>25000</v>
      </c>
      <c r="G52" s="24">
        <v>32000</v>
      </c>
      <c r="H52" s="24">
        <v>32000</v>
      </c>
      <c r="I52" s="94">
        <f>32000-7000</f>
        <v>25000</v>
      </c>
      <c r="J52" s="24">
        <v>32000</v>
      </c>
      <c r="K52" s="24"/>
      <c r="L52" s="24">
        <v>32000</v>
      </c>
      <c r="M52" s="24">
        <v>32000</v>
      </c>
      <c r="N52" s="24">
        <v>32000</v>
      </c>
      <c r="O52" s="24"/>
      <c r="P52" s="24"/>
      <c r="Q52" s="24">
        <v>32000</v>
      </c>
      <c r="R52" s="24"/>
      <c r="S52" s="24"/>
      <c r="T52" s="24"/>
      <c r="U52" s="24"/>
      <c r="V52" s="24"/>
      <c r="W52" s="24"/>
      <c r="X52" s="24"/>
      <c r="Y52" s="22">
        <f t="shared" si="1"/>
        <v>306000</v>
      </c>
    </row>
    <row r="53" spans="1:25" ht="24.95" customHeight="1">
      <c r="A53" s="19" t="s">
        <v>100</v>
      </c>
      <c r="B53" s="20" t="s">
        <v>149</v>
      </c>
      <c r="C53" s="20"/>
      <c r="D53" s="21" t="s">
        <v>10</v>
      </c>
      <c r="E53" s="22">
        <f>E54</f>
        <v>53200</v>
      </c>
      <c r="F53" s="22">
        <f t="shared" ref="F53:X53" si="38">F54</f>
        <v>20800</v>
      </c>
      <c r="G53" s="22">
        <f t="shared" si="38"/>
        <v>25200</v>
      </c>
      <c r="H53" s="22">
        <f t="shared" si="38"/>
        <v>1200</v>
      </c>
      <c r="I53" s="22">
        <f t="shared" si="38"/>
        <v>44000</v>
      </c>
      <c r="J53" s="22">
        <f t="shared" si="38"/>
        <v>14800</v>
      </c>
      <c r="K53" s="22">
        <f t="shared" si="38"/>
        <v>14400</v>
      </c>
      <c r="L53" s="22">
        <f t="shared" si="38"/>
        <v>10400</v>
      </c>
      <c r="M53" s="22">
        <f t="shared" si="38"/>
        <v>1600</v>
      </c>
      <c r="N53" s="22">
        <f t="shared" si="38"/>
        <v>18400</v>
      </c>
      <c r="O53" s="22">
        <f t="shared" si="38"/>
        <v>15600</v>
      </c>
      <c r="P53" s="22">
        <f t="shared" si="38"/>
        <v>400</v>
      </c>
      <c r="Q53" s="22">
        <f t="shared" si="38"/>
        <v>0</v>
      </c>
      <c r="R53" s="22">
        <f t="shared" si="38"/>
        <v>11600</v>
      </c>
      <c r="S53" s="22">
        <f t="shared" si="38"/>
        <v>3200</v>
      </c>
      <c r="T53" s="22">
        <f t="shared" si="38"/>
        <v>0</v>
      </c>
      <c r="U53" s="22">
        <f t="shared" si="38"/>
        <v>8000</v>
      </c>
      <c r="V53" s="22">
        <f t="shared" si="38"/>
        <v>0</v>
      </c>
      <c r="W53" s="22">
        <f t="shared" si="38"/>
        <v>2000</v>
      </c>
      <c r="X53" s="22">
        <f t="shared" si="38"/>
        <v>0</v>
      </c>
      <c r="Y53" s="22">
        <f t="shared" si="1"/>
        <v>244800</v>
      </c>
    </row>
    <row r="54" spans="1:25" s="2" customFormat="1" ht="24.95" customHeight="1">
      <c r="A54" s="19" t="s">
        <v>101</v>
      </c>
      <c r="B54" s="25" t="s">
        <v>150</v>
      </c>
      <c r="C54" s="25" t="s">
        <v>16</v>
      </c>
      <c r="D54" s="31" t="s">
        <v>198</v>
      </c>
      <c r="E54" s="22">
        <f>E70*400</f>
        <v>53200</v>
      </c>
      <c r="F54" s="22">
        <f t="shared" ref="F54:X54" si="39">F70*400</f>
        <v>20800</v>
      </c>
      <c r="G54" s="22">
        <f t="shared" si="39"/>
        <v>25200</v>
      </c>
      <c r="H54" s="22">
        <f t="shared" si="39"/>
        <v>1200</v>
      </c>
      <c r="I54" s="22">
        <f t="shared" si="39"/>
        <v>44000</v>
      </c>
      <c r="J54" s="22">
        <f t="shared" si="39"/>
        <v>14800</v>
      </c>
      <c r="K54" s="22">
        <f t="shared" si="39"/>
        <v>14400</v>
      </c>
      <c r="L54" s="22">
        <f t="shared" si="39"/>
        <v>10400</v>
      </c>
      <c r="M54" s="22">
        <f t="shared" si="39"/>
        <v>1600</v>
      </c>
      <c r="N54" s="22">
        <f t="shared" si="39"/>
        <v>18400</v>
      </c>
      <c r="O54" s="22">
        <f t="shared" si="39"/>
        <v>15600</v>
      </c>
      <c r="P54" s="22">
        <f t="shared" si="39"/>
        <v>400</v>
      </c>
      <c r="Q54" s="22">
        <f t="shared" si="39"/>
        <v>0</v>
      </c>
      <c r="R54" s="22">
        <f t="shared" si="39"/>
        <v>11600</v>
      </c>
      <c r="S54" s="22">
        <f t="shared" si="39"/>
        <v>3200</v>
      </c>
      <c r="T54" s="22">
        <f t="shared" si="39"/>
        <v>0</v>
      </c>
      <c r="U54" s="22">
        <f t="shared" si="39"/>
        <v>8000</v>
      </c>
      <c r="V54" s="22">
        <f t="shared" si="39"/>
        <v>0</v>
      </c>
      <c r="W54" s="22">
        <f t="shared" si="39"/>
        <v>2000</v>
      </c>
      <c r="X54" s="22">
        <f t="shared" si="39"/>
        <v>0</v>
      </c>
      <c r="Y54" s="22">
        <f t="shared" si="1"/>
        <v>244800</v>
      </c>
    </row>
    <row r="55" spans="1:25" s="2" customFormat="1" ht="24.95" customHeight="1">
      <c r="A55" s="19" t="s">
        <v>104</v>
      </c>
      <c r="B55" s="20" t="s">
        <v>145</v>
      </c>
      <c r="C55" s="25"/>
      <c r="D55" s="31"/>
      <c r="E55" s="22">
        <f>E56</f>
        <v>8250</v>
      </c>
      <c r="F55" s="22">
        <f t="shared" ref="F55:X55" si="40">F56</f>
        <v>4900</v>
      </c>
      <c r="G55" s="22">
        <f t="shared" si="40"/>
        <v>1200</v>
      </c>
      <c r="H55" s="22">
        <f t="shared" si="40"/>
        <v>3600</v>
      </c>
      <c r="I55" s="22">
        <f t="shared" si="40"/>
        <v>13650</v>
      </c>
      <c r="J55" s="22">
        <f t="shared" si="40"/>
        <v>500</v>
      </c>
      <c r="K55" s="22">
        <f t="shared" si="40"/>
        <v>4400</v>
      </c>
      <c r="L55" s="22">
        <f t="shared" si="40"/>
        <v>1000</v>
      </c>
      <c r="M55" s="22">
        <f t="shared" si="40"/>
        <v>10000</v>
      </c>
      <c r="N55" s="22">
        <f t="shared" si="40"/>
        <v>2800</v>
      </c>
      <c r="O55" s="22">
        <f t="shared" si="40"/>
        <v>2000</v>
      </c>
      <c r="P55" s="22">
        <f t="shared" si="40"/>
        <v>6000</v>
      </c>
      <c r="Q55" s="22">
        <f t="shared" si="40"/>
        <v>2400</v>
      </c>
      <c r="R55" s="22">
        <f t="shared" si="40"/>
        <v>1000</v>
      </c>
      <c r="S55" s="22">
        <f t="shared" si="40"/>
        <v>0</v>
      </c>
      <c r="T55" s="22">
        <f t="shared" si="40"/>
        <v>2400</v>
      </c>
      <c r="U55" s="22">
        <f t="shared" si="40"/>
        <v>4000</v>
      </c>
      <c r="V55" s="22">
        <f t="shared" si="40"/>
        <v>1500</v>
      </c>
      <c r="W55" s="22">
        <f t="shared" si="40"/>
        <v>3000</v>
      </c>
      <c r="X55" s="22">
        <f t="shared" si="40"/>
        <v>0</v>
      </c>
      <c r="Y55" s="22">
        <f t="shared" si="1"/>
        <v>72600</v>
      </c>
    </row>
    <row r="56" spans="1:25" ht="24.95" customHeight="1">
      <c r="A56" s="19" t="s">
        <v>105</v>
      </c>
      <c r="B56" s="20" t="s">
        <v>146</v>
      </c>
      <c r="C56" s="20" t="s">
        <v>16</v>
      </c>
      <c r="D56" s="30" t="s">
        <v>108</v>
      </c>
      <c r="E56" s="32">
        <v>8250</v>
      </c>
      <c r="F56" s="32">
        <v>4900</v>
      </c>
      <c r="G56" s="32">
        <v>1200</v>
      </c>
      <c r="H56" s="32">
        <v>3600</v>
      </c>
      <c r="I56" s="32">
        <v>13650</v>
      </c>
      <c r="J56" s="32">
        <v>500</v>
      </c>
      <c r="K56" s="32">
        <v>4400</v>
      </c>
      <c r="L56" s="32">
        <v>1000</v>
      </c>
      <c r="M56" s="32">
        <v>10000</v>
      </c>
      <c r="N56" s="32">
        <v>2800</v>
      </c>
      <c r="O56" s="32">
        <v>2000</v>
      </c>
      <c r="P56" s="32">
        <v>6000</v>
      </c>
      <c r="Q56" s="32">
        <v>2400</v>
      </c>
      <c r="R56" s="32">
        <v>1000</v>
      </c>
      <c r="S56" s="32"/>
      <c r="T56" s="32">
        <v>2400</v>
      </c>
      <c r="U56" s="32">
        <v>4000</v>
      </c>
      <c r="V56" s="32">
        <v>1500</v>
      </c>
      <c r="W56" s="32">
        <v>3000</v>
      </c>
      <c r="X56" s="32"/>
      <c r="Y56" s="22">
        <f t="shared" si="1"/>
        <v>72600</v>
      </c>
    </row>
    <row r="57" spans="1:25" ht="24.95" customHeight="1">
      <c r="A57" s="19" t="s">
        <v>106</v>
      </c>
      <c r="B57" s="20" t="s">
        <v>147</v>
      </c>
      <c r="C57" s="20"/>
      <c r="D57" s="21" t="s">
        <v>10</v>
      </c>
      <c r="E57" s="22">
        <f>E58</f>
        <v>10000</v>
      </c>
      <c r="F57" s="22">
        <f t="shared" ref="F57:X57" si="41">F58</f>
        <v>0</v>
      </c>
      <c r="G57" s="22">
        <f t="shared" si="41"/>
        <v>0</v>
      </c>
      <c r="H57" s="22">
        <f t="shared" si="41"/>
        <v>10000</v>
      </c>
      <c r="I57" s="22">
        <f t="shared" si="41"/>
        <v>20000</v>
      </c>
      <c r="J57" s="22">
        <f t="shared" si="41"/>
        <v>0</v>
      </c>
      <c r="K57" s="22">
        <f t="shared" si="41"/>
        <v>32000</v>
      </c>
      <c r="L57" s="22">
        <f t="shared" si="41"/>
        <v>0</v>
      </c>
      <c r="M57" s="22">
        <f t="shared" si="41"/>
        <v>0</v>
      </c>
      <c r="N57" s="22">
        <f t="shared" si="41"/>
        <v>20000</v>
      </c>
      <c r="O57" s="22">
        <f t="shared" si="41"/>
        <v>32000</v>
      </c>
      <c r="P57" s="22">
        <f t="shared" si="41"/>
        <v>32000</v>
      </c>
      <c r="Q57" s="22">
        <f t="shared" si="41"/>
        <v>0</v>
      </c>
      <c r="R57" s="22">
        <f t="shared" si="41"/>
        <v>32000</v>
      </c>
      <c r="S57" s="22">
        <f t="shared" si="41"/>
        <v>32000</v>
      </c>
      <c r="T57" s="22">
        <f t="shared" si="41"/>
        <v>32000</v>
      </c>
      <c r="U57" s="22">
        <f t="shared" si="41"/>
        <v>32000</v>
      </c>
      <c r="V57" s="22">
        <f t="shared" si="41"/>
        <v>32000</v>
      </c>
      <c r="W57" s="22">
        <f t="shared" si="41"/>
        <v>32000</v>
      </c>
      <c r="X57" s="22">
        <f t="shared" si="41"/>
        <v>32000</v>
      </c>
      <c r="Y57" s="22">
        <f t="shared" si="1"/>
        <v>380000</v>
      </c>
    </row>
    <row r="58" spans="1:25" ht="24.95" customHeight="1" thickBot="1">
      <c r="A58" s="19" t="s">
        <v>107</v>
      </c>
      <c r="B58" s="3" t="s">
        <v>148</v>
      </c>
      <c r="C58" s="20" t="s">
        <v>16</v>
      </c>
      <c r="D58" s="4" t="s">
        <v>199</v>
      </c>
      <c r="E58" s="5">
        <v>10000</v>
      </c>
      <c r="F58" s="5"/>
      <c r="G58" s="5"/>
      <c r="H58" s="5">
        <v>10000</v>
      </c>
      <c r="I58" s="5">
        <v>20000</v>
      </c>
      <c r="J58" s="5"/>
      <c r="K58" s="5">
        <v>32000</v>
      </c>
      <c r="L58" s="5"/>
      <c r="M58" s="5"/>
      <c r="N58" s="5">
        <v>20000</v>
      </c>
      <c r="O58" s="5">
        <v>32000</v>
      </c>
      <c r="P58" s="5">
        <v>32000</v>
      </c>
      <c r="Q58" s="5"/>
      <c r="R58" s="5">
        <v>32000</v>
      </c>
      <c r="S58" s="5">
        <v>32000</v>
      </c>
      <c r="T58" s="5">
        <v>32000</v>
      </c>
      <c r="U58" s="5">
        <v>32000</v>
      </c>
      <c r="V58" s="5">
        <v>32000</v>
      </c>
      <c r="W58" s="5">
        <v>32000</v>
      </c>
      <c r="X58" s="5">
        <v>32000</v>
      </c>
      <c r="Y58" s="22">
        <f t="shared" si="1"/>
        <v>380000</v>
      </c>
    </row>
    <row r="59" spans="1:25" ht="24.95" customHeight="1" thickTop="1">
      <c r="A59" s="19" t="s">
        <v>109</v>
      </c>
      <c r="B59" s="6" t="s">
        <v>112</v>
      </c>
      <c r="C59" s="6"/>
      <c r="D59" s="7"/>
      <c r="E59" s="8"/>
      <c r="F59" s="8"/>
      <c r="G59" s="8"/>
      <c r="H59" s="8"/>
      <c r="I59" s="8"/>
      <c r="J59" s="8"/>
      <c r="K59" s="8"/>
      <c r="L59" s="8"/>
      <c r="M59" s="8"/>
      <c r="N59" s="8"/>
      <c r="O59" s="8"/>
      <c r="P59" s="8"/>
      <c r="Q59" s="8"/>
      <c r="R59" s="8"/>
      <c r="S59" s="8"/>
      <c r="T59" s="8"/>
      <c r="U59" s="8"/>
      <c r="V59" s="8"/>
      <c r="W59" s="8"/>
      <c r="X59" s="8"/>
      <c r="Y59" s="22">
        <f t="shared" si="1"/>
        <v>0</v>
      </c>
    </row>
    <row r="60" spans="1:25" ht="24.95" customHeight="1">
      <c r="A60" s="19" t="s">
        <v>110</v>
      </c>
      <c r="B60" s="20" t="s">
        <v>114</v>
      </c>
      <c r="C60" s="20"/>
      <c r="D60" s="21" t="s">
        <v>200</v>
      </c>
      <c r="E60" s="22">
        <f>E61+E62+E63+E64</f>
        <v>268</v>
      </c>
      <c r="F60" s="22">
        <f t="shared" ref="F60:X60" si="42">F61+F62+F63+F64</f>
        <v>91</v>
      </c>
      <c r="G60" s="22">
        <f t="shared" si="42"/>
        <v>79</v>
      </c>
      <c r="H60" s="22">
        <f t="shared" si="42"/>
        <v>106</v>
      </c>
      <c r="I60" s="22">
        <f t="shared" si="42"/>
        <v>359</v>
      </c>
      <c r="J60" s="22">
        <f t="shared" si="42"/>
        <v>59</v>
      </c>
      <c r="K60" s="22">
        <f t="shared" si="42"/>
        <v>135</v>
      </c>
      <c r="L60" s="22">
        <f t="shared" si="42"/>
        <v>56</v>
      </c>
      <c r="M60" s="22">
        <f t="shared" si="42"/>
        <v>130</v>
      </c>
      <c r="N60" s="22">
        <f t="shared" si="42"/>
        <v>92</v>
      </c>
      <c r="O60" s="22">
        <f t="shared" si="42"/>
        <v>41</v>
      </c>
      <c r="P60" s="22">
        <f t="shared" si="42"/>
        <v>48</v>
      </c>
      <c r="Q60" s="22">
        <f t="shared" si="42"/>
        <v>29</v>
      </c>
      <c r="R60" s="22">
        <f t="shared" si="42"/>
        <v>41</v>
      </c>
      <c r="S60" s="22">
        <f t="shared" si="42"/>
        <v>7</v>
      </c>
      <c r="T60" s="22">
        <f t="shared" si="42"/>
        <v>44</v>
      </c>
      <c r="U60" s="22">
        <f t="shared" si="42"/>
        <v>119</v>
      </c>
      <c r="V60" s="22">
        <f t="shared" si="42"/>
        <v>19</v>
      </c>
      <c r="W60" s="22">
        <f t="shared" si="42"/>
        <v>73</v>
      </c>
      <c r="X60" s="22">
        <f t="shared" si="42"/>
        <v>14</v>
      </c>
      <c r="Y60" s="22">
        <f t="shared" si="1"/>
        <v>1810</v>
      </c>
    </row>
    <row r="61" spans="1:25" ht="24.95" customHeight="1">
      <c r="A61" s="19" t="s">
        <v>111</v>
      </c>
      <c r="B61" s="33" t="s">
        <v>116</v>
      </c>
      <c r="C61" s="33"/>
      <c r="D61" s="27"/>
      <c r="E61" s="28">
        <v>268</v>
      </c>
      <c r="F61" s="28">
        <v>91</v>
      </c>
      <c r="G61" s="28">
        <v>79</v>
      </c>
      <c r="H61" s="28">
        <v>106</v>
      </c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>
        <v>85</v>
      </c>
      <c r="V61" s="28"/>
      <c r="W61" s="28"/>
      <c r="X61" s="28"/>
      <c r="Y61" s="22">
        <f t="shared" si="1"/>
        <v>629</v>
      </c>
    </row>
    <row r="62" spans="1:25" ht="24.95" customHeight="1">
      <c r="A62" s="19" t="s">
        <v>113</v>
      </c>
      <c r="B62" s="33" t="s">
        <v>118</v>
      </c>
      <c r="C62" s="33"/>
      <c r="D62" s="21"/>
      <c r="E62" s="24"/>
      <c r="F62" s="24"/>
      <c r="G62" s="24"/>
      <c r="H62" s="24"/>
      <c r="I62" s="24">
        <v>359</v>
      </c>
      <c r="J62" s="24">
        <v>59</v>
      </c>
      <c r="K62" s="24">
        <v>135</v>
      </c>
      <c r="L62" s="24">
        <v>56</v>
      </c>
      <c r="M62" s="24">
        <v>130</v>
      </c>
      <c r="N62" s="24"/>
      <c r="O62" s="24"/>
      <c r="P62" s="24"/>
      <c r="Q62" s="24"/>
      <c r="R62" s="24"/>
      <c r="S62" s="24"/>
      <c r="T62" s="24"/>
      <c r="U62" s="24">
        <v>34</v>
      </c>
      <c r="V62" s="24"/>
      <c r="W62" s="24"/>
      <c r="X62" s="24"/>
      <c r="Y62" s="22">
        <f t="shared" si="1"/>
        <v>773</v>
      </c>
    </row>
    <row r="63" spans="1:25" ht="24.95" customHeight="1">
      <c r="A63" s="19" t="s">
        <v>115</v>
      </c>
      <c r="B63" s="33" t="s">
        <v>120</v>
      </c>
      <c r="C63" s="33"/>
      <c r="D63" s="27"/>
      <c r="E63" s="28"/>
      <c r="F63" s="28"/>
      <c r="G63" s="28"/>
      <c r="H63" s="28"/>
      <c r="I63" s="28"/>
      <c r="J63" s="28"/>
      <c r="K63" s="28"/>
      <c r="L63" s="28"/>
      <c r="M63" s="28"/>
      <c r="N63" s="28">
        <v>92</v>
      </c>
      <c r="O63" s="28">
        <v>41</v>
      </c>
      <c r="P63" s="28">
        <v>48</v>
      </c>
      <c r="Q63" s="28">
        <v>29</v>
      </c>
      <c r="R63" s="28">
        <v>41</v>
      </c>
      <c r="S63" s="28"/>
      <c r="T63" s="28">
        <v>44</v>
      </c>
      <c r="U63" s="28"/>
      <c r="V63" s="28">
        <v>19</v>
      </c>
      <c r="W63" s="28">
        <v>73</v>
      </c>
      <c r="X63" s="28">
        <v>14</v>
      </c>
      <c r="Y63" s="22">
        <f t="shared" si="1"/>
        <v>401</v>
      </c>
    </row>
    <row r="64" spans="1:25" ht="24.95" customHeight="1">
      <c r="A64" s="19" t="s">
        <v>117</v>
      </c>
      <c r="B64" s="33" t="s">
        <v>122</v>
      </c>
      <c r="C64" s="33"/>
      <c r="D64" s="27"/>
      <c r="E64" s="28"/>
      <c r="F64" s="28"/>
      <c r="G64" s="28"/>
      <c r="H64" s="28"/>
      <c r="I64" s="28"/>
      <c r="J64" s="28"/>
      <c r="K64" s="28"/>
      <c r="L64" s="28"/>
      <c r="M64" s="28"/>
      <c r="N64" s="28"/>
      <c r="O64" s="28"/>
      <c r="P64" s="28"/>
      <c r="Q64" s="28"/>
      <c r="R64" s="28"/>
      <c r="S64" s="28">
        <v>7</v>
      </c>
      <c r="T64" s="28"/>
      <c r="U64" s="28"/>
      <c r="V64" s="28"/>
      <c r="W64" s="28"/>
      <c r="X64" s="28"/>
      <c r="Y64" s="22">
        <f t="shared" si="1"/>
        <v>7</v>
      </c>
    </row>
    <row r="65" spans="1:25" ht="24.95" customHeight="1">
      <c r="A65" s="19" t="s">
        <v>119</v>
      </c>
      <c r="B65" s="20" t="s">
        <v>124</v>
      </c>
      <c r="C65" s="20"/>
      <c r="D65" s="21" t="s">
        <v>201</v>
      </c>
      <c r="E65" s="22">
        <f>E66+E67+E68+E69</f>
        <v>3575</v>
      </c>
      <c r="F65" s="22">
        <f t="shared" ref="F65:X65" si="43">F66+F67+F68+F69</f>
        <v>1356</v>
      </c>
      <c r="G65" s="22">
        <f t="shared" si="43"/>
        <v>1150</v>
      </c>
      <c r="H65" s="22">
        <f t="shared" si="43"/>
        <v>1664</v>
      </c>
      <c r="I65" s="22">
        <f t="shared" si="43"/>
        <v>5734</v>
      </c>
      <c r="J65" s="22">
        <f t="shared" si="43"/>
        <v>779</v>
      </c>
      <c r="K65" s="22">
        <f t="shared" si="43"/>
        <v>2344</v>
      </c>
      <c r="L65" s="22">
        <f t="shared" si="43"/>
        <v>767</v>
      </c>
      <c r="M65" s="22">
        <f t="shared" si="43"/>
        <v>2093</v>
      </c>
      <c r="N65" s="22">
        <f t="shared" si="43"/>
        <v>863</v>
      </c>
      <c r="O65" s="22">
        <f t="shared" si="43"/>
        <v>366</v>
      </c>
      <c r="P65" s="22">
        <f t="shared" si="43"/>
        <v>583</v>
      </c>
      <c r="Q65" s="22">
        <f t="shared" si="43"/>
        <v>335</v>
      </c>
      <c r="R65" s="22">
        <f t="shared" si="43"/>
        <v>360</v>
      </c>
      <c r="S65" s="22">
        <f t="shared" si="43"/>
        <v>0</v>
      </c>
      <c r="T65" s="22">
        <f t="shared" si="43"/>
        <v>285</v>
      </c>
      <c r="U65" s="22">
        <f t="shared" si="43"/>
        <v>2028</v>
      </c>
      <c r="V65" s="22">
        <f t="shared" si="43"/>
        <v>206</v>
      </c>
      <c r="W65" s="22">
        <f t="shared" si="43"/>
        <v>547</v>
      </c>
      <c r="X65" s="22">
        <f t="shared" si="43"/>
        <v>227</v>
      </c>
      <c r="Y65" s="22">
        <f t="shared" si="1"/>
        <v>25262</v>
      </c>
    </row>
    <row r="66" spans="1:25" ht="24.95" customHeight="1">
      <c r="A66" s="19" t="s">
        <v>121</v>
      </c>
      <c r="B66" s="33" t="s">
        <v>116</v>
      </c>
      <c r="C66" s="33"/>
      <c r="D66" s="27"/>
      <c r="E66" s="28">
        <v>3575</v>
      </c>
      <c r="F66" s="28">
        <v>1356</v>
      </c>
      <c r="G66" s="28">
        <v>1150</v>
      </c>
      <c r="H66" s="28">
        <v>1664</v>
      </c>
      <c r="I66" s="28"/>
      <c r="J66" s="28"/>
      <c r="K66" s="28"/>
      <c r="L66" s="28"/>
      <c r="M66" s="28"/>
      <c r="N66" s="28"/>
      <c r="O66" s="28"/>
      <c r="P66" s="28"/>
      <c r="Q66" s="28"/>
      <c r="R66" s="28"/>
      <c r="S66" s="28"/>
      <c r="T66" s="28"/>
      <c r="U66" s="28">
        <v>1217</v>
      </c>
      <c r="V66" s="28"/>
      <c r="W66" s="28"/>
      <c r="X66" s="28"/>
      <c r="Y66" s="22">
        <f t="shared" si="1"/>
        <v>8962</v>
      </c>
    </row>
    <row r="67" spans="1:25" ht="24.95" customHeight="1">
      <c r="A67" s="19" t="s">
        <v>123</v>
      </c>
      <c r="B67" s="33" t="s">
        <v>118</v>
      </c>
      <c r="C67" s="33"/>
      <c r="D67" s="21"/>
      <c r="E67" s="24"/>
      <c r="F67" s="24"/>
      <c r="G67" s="24"/>
      <c r="H67" s="24"/>
      <c r="I67" s="24">
        <v>5734</v>
      </c>
      <c r="J67" s="24">
        <v>779</v>
      </c>
      <c r="K67" s="24">
        <v>2344</v>
      </c>
      <c r="L67" s="24">
        <v>767</v>
      </c>
      <c r="M67" s="24">
        <v>2093</v>
      </c>
      <c r="N67" s="24"/>
      <c r="O67" s="24"/>
      <c r="P67" s="24"/>
      <c r="Q67" s="24"/>
      <c r="R67" s="24"/>
      <c r="S67" s="24"/>
      <c r="T67" s="24"/>
      <c r="U67" s="24">
        <v>811</v>
      </c>
      <c r="V67" s="24"/>
      <c r="W67" s="24"/>
      <c r="X67" s="24"/>
      <c r="Y67" s="22">
        <f t="shared" si="1"/>
        <v>12528</v>
      </c>
    </row>
    <row r="68" spans="1:25" ht="24.95" customHeight="1">
      <c r="A68" s="19" t="s">
        <v>125</v>
      </c>
      <c r="B68" s="33" t="s">
        <v>120</v>
      </c>
      <c r="C68" s="33"/>
      <c r="D68" s="27"/>
      <c r="E68" s="28"/>
      <c r="F68" s="28"/>
      <c r="G68" s="28"/>
      <c r="H68" s="28"/>
      <c r="I68" s="28"/>
      <c r="J68" s="28"/>
      <c r="K68" s="28"/>
      <c r="L68" s="28"/>
      <c r="M68" s="28"/>
      <c r="N68" s="28">
        <v>863</v>
      </c>
      <c r="O68" s="28">
        <v>366</v>
      </c>
      <c r="P68" s="28">
        <v>583</v>
      </c>
      <c r="Q68" s="28">
        <v>335</v>
      </c>
      <c r="R68" s="28">
        <v>360</v>
      </c>
      <c r="S68" s="28"/>
      <c r="T68" s="28">
        <v>285</v>
      </c>
      <c r="U68" s="28"/>
      <c r="V68" s="28">
        <v>206</v>
      </c>
      <c r="W68" s="28">
        <v>547</v>
      </c>
      <c r="X68" s="28">
        <v>227</v>
      </c>
      <c r="Y68" s="22">
        <f t="shared" ref="Y68:Y72" si="44">SUM(E68:X68)</f>
        <v>3772</v>
      </c>
    </row>
    <row r="69" spans="1:25" ht="24.95" customHeight="1">
      <c r="A69" s="19" t="s">
        <v>126</v>
      </c>
      <c r="B69" s="33" t="s">
        <v>122</v>
      </c>
      <c r="C69" s="33"/>
      <c r="D69" s="27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28"/>
      <c r="Q69" s="28"/>
      <c r="R69" s="28"/>
      <c r="S69" s="28"/>
      <c r="T69" s="28"/>
      <c r="U69" s="28"/>
      <c r="V69" s="28"/>
      <c r="W69" s="28"/>
      <c r="X69" s="28"/>
      <c r="Y69" s="22">
        <f t="shared" si="44"/>
        <v>0</v>
      </c>
    </row>
    <row r="70" spans="1:25" ht="24.95" customHeight="1">
      <c r="A70" s="19" t="s">
        <v>127</v>
      </c>
      <c r="B70" s="20" t="s">
        <v>202</v>
      </c>
      <c r="C70" s="20"/>
      <c r="D70" s="21"/>
      <c r="E70" s="24">
        <v>133</v>
      </c>
      <c r="F70" s="24">
        <v>52</v>
      </c>
      <c r="G70" s="24">
        <v>63</v>
      </c>
      <c r="H70" s="24">
        <v>3</v>
      </c>
      <c r="I70" s="24">
        <v>110</v>
      </c>
      <c r="J70" s="24">
        <v>37</v>
      </c>
      <c r="K70" s="24">
        <v>36</v>
      </c>
      <c r="L70" s="24">
        <v>26</v>
      </c>
      <c r="M70" s="24">
        <v>4</v>
      </c>
      <c r="N70" s="24">
        <v>46</v>
      </c>
      <c r="O70" s="24">
        <v>39</v>
      </c>
      <c r="P70" s="24">
        <v>1</v>
      </c>
      <c r="Q70" s="24"/>
      <c r="R70" s="24">
        <v>29</v>
      </c>
      <c r="S70" s="24">
        <v>8</v>
      </c>
      <c r="T70" s="24"/>
      <c r="U70" s="24">
        <v>20</v>
      </c>
      <c r="V70" s="24"/>
      <c r="W70" s="24">
        <v>5</v>
      </c>
      <c r="X70" s="24"/>
      <c r="Y70" s="22">
        <f t="shared" si="44"/>
        <v>612</v>
      </c>
    </row>
    <row r="71" spans="1:25" ht="24.95" customHeight="1">
      <c r="A71" s="19" t="s">
        <v>128</v>
      </c>
      <c r="B71" s="33" t="s">
        <v>203</v>
      </c>
      <c r="C71" s="33"/>
      <c r="D71" s="30"/>
      <c r="E71" s="24">
        <v>34506.629999999997</v>
      </c>
      <c r="F71" s="24">
        <v>13160</v>
      </c>
      <c r="G71" s="24">
        <v>8951.8799999999992</v>
      </c>
      <c r="H71" s="24">
        <v>11355.73</v>
      </c>
      <c r="I71" s="24">
        <v>38028.839999999997</v>
      </c>
      <c r="J71" s="24">
        <v>4631.83</v>
      </c>
      <c r="K71" s="24">
        <v>12756.42</v>
      </c>
      <c r="L71" s="24">
        <v>9285.57</v>
      </c>
      <c r="M71" s="24">
        <v>14358.21</v>
      </c>
      <c r="N71" s="24">
        <v>9829.07</v>
      </c>
      <c r="O71" s="24">
        <v>4286</v>
      </c>
      <c r="P71" s="24">
        <v>13349.34</v>
      </c>
      <c r="Q71" s="24">
        <v>3731.92</v>
      </c>
      <c r="R71" s="24">
        <v>4612</v>
      </c>
      <c r="S71" s="24">
        <v>2800</v>
      </c>
      <c r="T71" s="24">
        <v>6500</v>
      </c>
      <c r="U71" s="24">
        <v>32277.200000000001</v>
      </c>
      <c r="V71" s="24">
        <v>6995</v>
      </c>
      <c r="W71" s="24">
        <v>13200</v>
      </c>
      <c r="X71" s="24">
        <v>6600</v>
      </c>
      <c r="Y71" s="22">
        <f t="shared" si="44"/>
        <v>251215.64</v>
      </c>
    </row>
    <row r="72" spans="1:25" ht="24.95" customHeight="1">
      <c r="A72" s="19" t="s">
        <v>129</v>
      </c>
      <c r="B72" s="33" t="s">
        <v>204</v>
      </c>
      <c r="C72" s="33"/>
      <c r="D72" s="30"/>
      <c r="E72" s="24">
        <v>17447</v>
      </c>
      <c r="F72" s="24">
        <v>8691</v>
      </c>
      <c r="G72" s="24">
        <v>6496</v>
      </c>
      <c r="H72" s="24">
        <v>4073</v>
      </c>
      <c r="I72" s="24">
        <v>12339</v>
      </c>
      <c r="J72" s="24">
        <v>3226</v>
      </c>
      <c r="K72" s="24">
        <v>6620</v>
      </c>
      <c r="L72" s="24">
        <v>3585</v>
      </c>
      <c r="M72" s="24">
        <v>7880</v>
      </c>
      <c r="N72" s="24">
        <v>5330</v>
      </c>
      <c r="O72" s="24">
        <v>2350</v>
      </c>
      <c r="P72" s="24">
        <v>6044.7</v>
      </c>
      <c r="Q72" s="24">
        <v>1786</v>
      </c>
      <c r="R72" s="24">
        <v>1717</v>
      </c>
      <c r="S72" s="24"/>
      <c r="T72" s="24">
        <v>2312.1</v>
      </c>
      <c r="U72" s="24">
        <v>17204.3</v>
      </c>
      <c r="V72" s="24">
        <v>3698.1</v>
      </c>
      <c r="W72" s="24">
        <v>4100</v>
      </c>
      <c r="X72" s="24">
        <v>2312.4499999999998</v>
      </c>
      <c r="Y72" s="22">
        <f t="shared" si="44"/>
        <v>117211.65000000001</v>
      </c>
    </row>
    <row r="73" spans="1:25">
      <c r="E73" s="1">
        <f t="shared" ref="E73:Y73" si="45">E5/E60</f>
        <v>386103.28787313431</v>
      </c>
      <c r="F73" s="1">
        <f t="shared" si="45"/>
        <v>384855.02362637362</v>
      </c>
      <c r="G73" s="1">
        <f t="shared" si="45"/>
        <v>378694.12291139242</v>
      </c>
      <c r="H73" s="1">
        <f t="shared" si="45"/>
        <v>375761.96754716977</v>
      </c>
      <c r="I73" s="1">
        <f t="shared" si="45"/>
        <v>362170.38284122566</v>
      </c>
      <c r="J73" s="1">
        <f t="shared" si="45"/>
        <v>367766.8718644068</v>
      </c>
      <c r="K73" s="1">
        <f t="shared" si="45"/>
        <v>364208.95725925924</v>
      </c>
      <c r="L73" s="1">
        <f t="shared" si="45"/>
        <v>368072.79571428569</v>
      </c>
      <c r="M73" s="1">
        <f t="shared" si="45"/>
        <v>363662.35561538464</v>
      </c>
      <c r="N73" s="1">
        <f t="shared" si="45"/>
        <v>328500.85097826086</v>
      </c>
      <c r="O73" s="1">
        <f t="shared" si="45"/>
        <v>324888.11121951218</v>
      </c>
      <c r="P73" s="1">
        <f t="shared" si="45"/>
        <v>315890.71437499998</v>
      </c>
      <c r="Q73" s="1">
        <f t="shared" si="45"/>
        <v>322816.51172413793</v>
      </c>
      <c r="R73" s="1">
        <f t="shared" si="45"/>
        <v>321722.6595121951</v>
      </c>
      <c r="S73" s="1">
        <f t="shared" si="45"/>
        <v>378165.75571428571</v>
      </c>
      <c r="T73" s="1">
        <f t="shared" si="45"/>
        <v>323207.59749999997</v>
      </c>
      <c r="U73" s="1">
        <f t="shared" si="45"/>
        <v>375936.23773109243</v>
      </c>
      <c r="V73" s="1">
        <f t="shared" si="45"/>
        <v>314973.32368421048</v>
      </c>
      <c r="W73" s="1">
        <f t="shared" si="45"/>
        <v>330747.20150684932</v>
      </c>
      <c r="X73" s="1">
        <f t="shared" si="45"/>
        <v>293083.7035714286</v>
      </c>
      <c r="Y73" s="1">
        <f t="shared" si="45"/>
        <v>361388.60114364635</v>
      </c>
    </row>
    <row r="74" spans="1:25">
      <c r="E74" s="1">
        <f t="shared" ref="E74:Y74" si="46">E34/E70</f>
        <v>18227.400000000001</v>
      </c>
      <c r="F74" s="1">
        <f t="shared" si="46"/>
        <v>18931.153846153848</v>
      </c>
      <c r="G74" s="1">
        <f t="shared" si="46"/>
        <v>18204.761904761905</v>
      </c>
      <c r="H74" s="1">
        <f t="shared" si="46"/>
        <v>13560</v>
      </c>
      <c r="I74" s="1">
        <f t="shared" si="46"/>
        <v>18072.045454545456</v>
      </c>
      <c r="J74" s="1">
        <f t="shared" si="46"/>
        <v>16263.243243243243</v>
      </c>
      <c r="K74" s="1">
        <f t="shared" si="46"/>
        <v>17230</v>
      </c>
      <c r="L74" s="1">
        <f t="shared" si="46"/>
        <v>16156.153846153846</v>
      </c>
      <c r="M74" s="1">
        <f t="shared" si="46"/>
        <v>15720</v>
      </c>
      <c r="N74" s="1">
        <f t="shared" si="46"/>
        <v>17347.82608695652</v>
      </c>
      <c r="O74" s="1">
        <f t="shared" si="46"/>
        <v>17220</v>
      </c>
      <c r="P74" s="1">
        <f t="shared" si="46"/>
        <v>25860</v>
      </c>
      <c r="Q74" s="1" t="e">
        <f t="shared" si="46"/>
        <v>#DIV/0!</v>
      </c>
      <c r="R74" s="1">
        <f t="shared" si="46"/>
        <v>16034.48275862069</v>
      </c>
      <c r="S74" s="1">
        <f t="shared" si="46"/>
        <v>19545</v>
      </c>
      <c r="T74" s="1" t="e">
        <f t="shared" si="46"/>
        <v>#DIV/0!</v>
      </c>
      <c r="U74" s="1">
        <f t="shared" si="46"/>
        <v>14340</v>
      </c>
      <c r="V74" s="1" t="e">
        <f t="shared" si="46"/>
        <v>#DIV/0!</v>
      </c>
      <c r="W74" s="1">
        <f t="shared" si="46"/>
        <v>12720</v>
      </c>
      <c r="X74" s="1" t="e">
        <f t="shared" si="46"/>
        <v>#DIV/0!</v>
      </c>
      <c r="Y74" s="1">
        <f t="shared" si="46"/>
        <v>17575.701307189542</v>
      </c>
    </row>
  </sheetData>
  <protectedRanges>
    <protectedRange password="E9C1" sqref="D30 C31 A5:D6 B7:D29 Y5:Y72 A4:Y4 B32:D72 A7:A72 Y3 A3:D3 A2:Y2" name="区域1_1"/>
    <protectedRange password="E9C1" sqref="B30:C30 B31" name="区域1_1_1"/>
    <protectedRange password="E9C1" sqref="D31" name="区域1_2"/>
  </protectedRanges>
  <mergeCells count="6">
    <mergeCell ref="A1:Y1"/>
    <mergeCell ref="A2:A3"/>
    <mergeCell ref="B2:B3"/>
    <mergeCell ref="C2:C3"/>
    <mergeCell ref="D2:D3"/>
    <mergeCell ref="Y2:Y3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8" scale="75" orientation="landscape" r:id="rId1"/>
  <headerFooter>
    <oddFooter>第 &amp;P 页，共 &amp;N 页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4"/>
  <sheetViews>
    <sheetView topLeftCell="B2" workbookViewId="0">
      <selection activeCell="I3" sqref="I1:I1048576"/>
    </sheetView>
  </sheetViews>
  <sheetFormatPr defaultRowHeight="13.5"/>
  <cols>
    <col min="1" max="1" width="0" style="95" hidden="1" customWidth="1"/>
    <col min="2" max="2" width="25.625" style="95" customWidth="1"/>
    <col min="3" max="3" width="6.5" style="95" hidden="1" customWidth="1"/>
    <col min="4" max="5" width="0" style="95" hidden="1" customWidth="1"/>
    <col min="6" max="7" width="12.625" style="95" customWidth="1"/>
    <col min="8" max="8" width="14.125" style="95" customWidth="1"/>
    <col min="9" max="17" width="12.625" style="95" customWidth="1"/>
    <col min="18" max="16384" width="9" style="95"/>
  </cols>
  <sheetData>
    <row r="1" spans="1:17" ht="20.25">
      <c r="A1" s="146" t="s">
        <v>342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7"/>
      <c r="M1" s="147"/>
      <c r="N1" s="147"/>
      <c r="O1" s="147"/>
      <c r="P1" s="147"/>
      <c r="Q1" s="147"/>
    </row>
    <row r="2" spans="1:17">
      <c r="A2" s="148" t="s">
        <v>266</v>
      </c>
      <c r="B2" s="150" t="s">
        <v>343</v>
      </c>
      <c r="C2" s="150" t="s">
        <v>3</v>
      </c>
      <c r="D2" s="148" t="s">
        <v>344</v>
      </c>
      <c r="E2" s="151" t="s">
        <v>345</v>
      </c>
      <c r="F2" s="152" t="s">
        <v>346</v>
      </c>
      <c r="G2" s="153"/>
      <c r="H2" s="153"/>
      <c r="I2" s="153"/>
      <c r="J2" s="152" t="s">
        <v>347</v>
      </c>
      <c r="K2" s="153"/>
      <c r="L2" s="153"/>
      <c r="M2" s="153"/>
      <c r="N2" s="152" t="s">
        <v>348</v>
      </c>
      <c r="O2" s="153"/>
      <c r="P2" s="153"/>
      <c r="Q2" s="153"/>
    </row>
    <row r="3" spans="1:17" ht="22.5">
      <c r="A3" s="149"/>
      <c r="B3" s="149"/>
      <c r="C3" s="149"/>
      <c r="D3" s="149"/>
      <c r="E3" s="149"/>
      <c r="F3" s="96" t="s">
        <v>349</v>
      </c>
      <c r="G3" s="97" t="s">
        <v>350</v>
      </c>
      <c r="H3" s="98" t="s">
        <v>369</v>
      </c>
      <c r="I3" s="98" t="s">
        <v>351</v>
      </c>
      <c r="J3" s="96" t="s">
        <v>349</v>
      </c>
      <c r="K3" s="97" t="s">
        <v>350</v>
      </c>
      <c r="L3" s="98" t="s">
        <v>352</v>
      </c>
      <c r="M3" s="98" t="s">
        <v>351</v>
      </c>
      <c r="N3" s="96" t="s">
        <v>349</v>
      </c>
      <c r="O3" s="97" t="s">
        <v>350</v>
      </c>
      <c r="P3" s="98" t="s">
        <v>369</v>
      </c>
      <c r="Q3" s="98" t="s">
        <v>351</v>
      </c>
    </row>
    <row r="4" spans="1:17" s="100" customFormat="1" ht="20.100000000000001" customHeight="1">
      <c r="A4" s="101" t="s">
        <v>2</v>
      </c>
      <c r="B4" s="50" t="s">
        <v>130</v>
      </c>
      <c r="C4" s="50">
        <v>1</v>
      </c>
      <c r="D4" s="50" t="s">
        <v>353</v>
      </c>
      <c r="E4" s="50" t="s">
        <v>359</v>
      </c>
      <c r="F4" s="48">
        <v>14843507</v>
      </c>
      <c r="G4" s="48">
        <v>526464</v>
      </c>
      <c r="H4" s="67">
        <v>1192503</v>
      </c>
      <c r="I4" s="67">
        <f t="shared" ref="I4:I23" si="0">F4+H4</f>
        <v>16036010</v>
      </c>
      <c r="J4" s="99">
        <v>15187018</v>
      </c>
      <c r="K4" s="99">
        <v>478464</v>
      </c>
      <c r="L4" s="99">
        <v>1285859.25</v>
      </c>
      <c r="M4" s="99">
        <f t="shared" ref="M4:M23" si="1">J4+L4</f>
        <v>16472877.25</v>
      </c>
      <c r="N4" s="99">
        <f t="shared" ref="N4:Q23" si="2">F4-J4</f>
        <v>-343511</v>
      </c>
      <c r="O4" s="99">
        <f t="shared" ref="O4:Q7" si="3">G4-K4</f>
        <v>48000</v>
      </c>
      <c r="P4" s="99">
        <f t="shared" si="3"/>
        <v>-93356.25</v>
      </c>
      <c r="Q4" s="99">
        <f t="shared" si="3"/>
        <v>-436867.25</v>
      </c>
    </row>
    <row r="5" spans="1:17" s="100" customFormat="1" ht="20.100000000000001" customHeight="1">
      <c r="A5" s="101" t="s">
        <v>2</v>
      </c>
      <c r="B5" s="50" t="s">
        <v>131</v>
      </c>
      <c r="C5" s="50">
        <v>2</v>
      </c>
      <c r="D5" s="50" t="s">
        <v>353</v>
      </c>
      <c r="E5" s="50" t="s">
        <v>359</v>
      </c>
      <c r="F5" s="48">
        <v>51814138</v>
      </c>
      <c r="G5" s="48">
        <v>716578</v>
      </c>
      <c r="H5" s="67">
        <v>4058729</v>
      </c>
      <c r="I5" s="67">
        <f t="shared" si="0"/>
        <v>55872867</v>
      </c>
      <c r="J5" s="99">
        <v>53154563</v>
      </c>
      <c r="K5" s="99">
        <v>651624</v>
      </c>
      <c r="L5" s="99">
        <v>5187203.7</v>
      </c>
      <c r="M5" s="99">
        <f t="shared" si="1"/>
        <v>58341766.700000003</v>
      </c>
      <c r="N5" s="99">
        <f t="shared" si="2"/>
        <v>-1340425</v>
      </c>
      <c r="O5" s="99">
        <f t="shared" si="3"/>
        <v>64954</v>
      </c>
      <c r="P5" s="99">
        <f t="shared" si="3"/>
        <v>-1128474.7000000002</v>
      </c>
      <c r="Q5" s="99">
        <f t="shared" si="3"/>
        <v>-2468899.700000003</v>
      </c>
    </row>
    <row r="6" spans="1:17" s="100" customFormat="1" ht="20.100000000000001" customHeight="1">
      <c r="A6" s="101" t="s">
        <v>2</v>
      </c>
      <c r="B6" s="50" t="s">
        <v>132</v>
      </c>
      <c r="C6" s="50">
        <v>3</v>
      </c>
      <c r="D6" s="50" t="s">
        <v>353</v>
      </c>
      <c r="E6" s="50" t="s">
        <v>359</v>
      </c>
      <c r="F6" s="48">
        <v>17888471</v>
      </c>
      <c r="G6" s="48">
        <v>279216</v>
      </c>
      <c r="H6" s="67">
        <v>1036842.75</v>
      </c>
      <c r="I6" s="67">
        <f t="shared" si="0"/>
        <v>18925313.75</v>
      </c>
      <c r="J6" s="99">
        <v>18046911</v>
      </c>
      <c r="K6" s="99">
        <v>255216</v>
      </c>
      <c r="L6" s="99">
        <v>1114783.5</v>
      </c>
      <c r="M6" s="99">
        <f t="shared" si="1"/>
        <v>19161694.5</v>
      </c>
      <c r="N6" s="99">
        <f t="shared" si="2"/>
        <v>-158440</v>
      </c>
      <c r="O6" s="99">
        <f t="shared" si="3"/>
        <v>24000</v>
      </c>
      <c r="P6" s="99">
        <f t="shared" si="3"/>
        <v>-77940.75</v>
      </c>
      <c r="Q6" s="99">
        <f t="shared" si="3"/>
        <v>-236380.75</v>
      </c>
    </row>
    <row r="7" spans="1:17" s="100" customFormat="1" ht="20.100000000000001" customHeight="1">
      <c r="A7" s="101" t="s">
        <v>2</v>
      </c>
      <c r="B7" s="50" t="s">
        <v>133</v>
      </c>
      <c r="C7" s="50">
        <v>4</v>
      </c>
      <c r="D7" s="50" t="s">
        <v>353</v>
      </c>
      <c r="E7" s="50" t="s">
        <v>359</v>
      </c>
      <c r="F7" s="48">
        <v>20403273</v>
      </c>
      <c r="G7" s="48">
        <v>328268</v>
      </c>
      <c r="H7" s="67">
        <v>1690566</v>
      </c>
      <c r="I7" s="67">
        <f t="shared" si="0"/>
        <v>22093839</v>
      </c>
      <c r="J7" s="99">
        <v>20315102</v>
      </c>
      <c r="K7" s="99">
        <v>304268</v>
      </c>
      <c r="L7" s="99">
        <v>2067699</v>
      </c>
      <c r="M7" s="99">
        <f t="shared" si="1"/>
        <v>22382801</v>
      </c>
      <c r="N7" s="99">
        <f t="shared" si="2"/>
        <v>88171</v>
      </c>
      <c r="O7" s="99">
        <f t="shared" si="3"/>
        <v>24000</v>
      </c>
      <c r="P7" s="99">
        <f t="shared" si="3"/>
        <v>-377133</v>
      </c>
      <c r="Q7" s="99">
        <f t="shared" si="3"/>
        <v>-288962</v>
      </c>
    </row>
    <row r="8" spans="1:17" s="100" customFormat="1" ht="20.100000000000001" customHeight="1">
      <c r="A8" s="101" t="s">
        <v>2</v>
      </c>
      <c r="B8" s="50" t="s">
        <v>141</v>
      </c>
      <c r="C8" s="50">
        <v>5</v>
      </c>
      <c r="D8" s="50" t="s">
        <v>353</v>
      </c>
      <c r="E8" s="50" t="s">
        <v>354</v>
      </c>
      <c r="F8" s="48">
        <v>18912243</v>
      </c>
      <c r="G8" s="48">
        <v>273028</v>
      </c>
      <c r="H8" s="67">
        <v>1449794.5</v>
      </c>
      <c r="I8" s="67">
        <f t="shared" si="0"/>
        <v>20362037.5</v>
      </c>
      <c r="J8" s="99">
        <v>19920634</v>
      </c>
      <c r="K8" s="99">
        <v>248428</v>
      </c>
      <c r="L8" s="99">
        <v>1313589.75</v>
      </c>
      <c r="M8" s="99">
        <f t="shared" si="1"/>
        <v>21234223.75</v>
      </c>
      <c r="N8" s="99">
        <f t="shared" si="2"/>
        <v>-1008391</v>
      </c>
      <c r="O8" s="99">
        <f t="shared" si="2"/>
        <v>24600</v>
      </c>
      <c r="P8" s="99">
        <f t="shared" si="2"/>
        <v>136204.75</v>
      </c>
      <c r="Q8" s="99">
        <f t="shared" si="2"/>
        <v>-872186.25</v>
      </c>
    </row>
    <row r="9" spans="1:17" s="100" customFormat="1" ht="20.100000000000001" customHeight="1">
      <c r="A9" s="101" t="s">
        <v>2</v>
      </c>
      <c r="B9" s="50" t="s">
        <v>134</v>
      </c>
      <c r="C9" s="50">
        <v>6</v>
      </c>
      <c r="D9" s="50" t="s">
        <v>353</v>
      </c>
      <c r="E9" s="50" t="s">
        <v>358</v>
      </c>
      <c r="F9" s="48">
        <v>10160836</v>
      </c>
      <c r="G9" s="48">
        <v>275535</v>
      </c>
      <c r="H9" s="67">
        <v>474534.5</v>
      </c>
      <c r="I9" s="67">
        <f t="shared" si="0"/>
        <v>10635370.5</v>
      </c>
      <c r="J9" s="99">
        <v>10542787</v>
      </c>
      <c r="K9" s="99">
        <v>251535</v>
      </c>
      <c r="L9" s="99">
        <v>543674.5</v>
      </c>
      <c r="M9" s="99">
        <f t="shared" si="1"/>
        <v>11086461.5</v>
      </c>
      <c r="N9" s="99">
        <f t="shared" si="2"/>
        <v>-381951</v>
      </c>
      <c r="O9" s="99">
        <f t="shared" si="2"/>
        <v>24000</v>
      </c>
      <c r="P9" s="99">
        <f t="shared" si="2"/>
        <v>-69140</v>
      </c>
      <c r="Q9" s="99">
        <f t="shared" si="2"/>
        <v>-451091</v>
      </c>
    </row>
    <row r="10" spans="1:17" s="100" customFormat="1" ht="20.100000000000001" customHeight="1">
      <c r="A10" s="101" t="s">
        <v>2</v>
      </c>
      <c r="B10" s="50" t="s">
        <v>135</v>
      </c>
      <c r="C10" s="50">
        <v>7</v>
      </c>
      <c r="D10" s="50" t="s">
        <v>353</v>
      </c>
      <c r="E10" s="50" t="s">
        <v>358</v>
      </c>
      <c r="F10" s="48">
        <v>65891003</v>
      </c>
      <c r="G10" s="48">
        <v>746384</v>
      </c>
      <c r="H10" s="67">
        <v>3084066</v>
      </c>
      <c r="I10" s="67">
        <f t="shared" si="0"/>
        <v>68975069</v>
      </c>
      <c r="J10" s="99">
        <v>66708785</v>
      </c>
      <c r="K10" s="99">
        <v>678708</v>
      </c>
      <c r="L10" s="99">
        <v>3251283</v>
      </c>
      <c r="M10" s="99">
        <f t="shared" si="1"/>
        <v>69960068</v>
      </c>
      <c r="N10" s="99">
        <f t="shared" si="2"/>
        <v>-817782</v>
      </c>
      <c r="O10" s="99">
        <f t="shared" si="2"/>
        <v>67676</v>
      </c>
      <c r="P10" s="99">
        <f t="shared" si="2"/>
        <v>-167217</v>
      </c>
      <c r="Q10" s="99">
        <f t="shared" si="2"/>
        <v>-984999</v>
      </c>
    </row>
    <row r="11" spans="1:17" s="100" customFormat="1" ht="20.100000000000001" customHeight="1">
      <c r="A11" s="101" t="s">
        <v>2</v>
      </c>
      <c r="B11" s="50" t="s">
        <v>136</v>
      </c>
      <c r="C11" s="50">
        <v>8</v>
      </c>
      <c r="D11" s="50" t="s">
        <v>353</v>
      </c>
      <c r="E11" s="50" t="s">
        <v>358</v>
      </c>
      <c r="F11" s="48">
        <v>11053527</v>
      </c>
      <c r="G11" s="48">
        <v>535352</v>
      </c>
      <c r="H11" s="67">
        <v>444975</v>
      </c>
      <c r="I11" s="67">
        <f t="shared" si="0"/>
        <v>11498502</v>
      </c>
      <c r="J11" s="99">
        <v>11102581</v>
      </c>
      <c r="K11" s="99">
        <v>448352</v>
      </c>
      <c r="L11" s="99">
        <v>446696.25</v>
      </c>
      <c r="M11" s="99">
        <f t="shared" si="1"/>
        <v>11549277.25</v>
      </c>
      <c r="N11" s="99">
        <f t="shared" si="2"/>
        <v>-49054</v>
      </c>
      <c r="O11" s="99">
        <f t="shared" si="2"/>
        <v>87000</v>
      </c>
      <c r="P11" s="99">
        <f t="shared" si="2"/>
        <v>-1721.25</v>
      </c>
      <c r="Q11" s="99">
        <f t="shared" si="2"/>
        <v>-50775.25</v>
      </c>
    </row>
    <row r="12" spans="1:17" s="100" customFormat="1" ht="20.100000000000001" customHeight="1">
      <c r="A12" s="101" t="s">
        <v>2</v>
      </c>
      <c r="B12" s="50" t="s">
        <v>137</v>
      </c>
      <c r="C12" s="50">
        <v>9</v>
      </c>
      <c r="D12" s="50" t="s">
        <v>353</v>
      </c>
      <c r="E12" s="50" t="s">
        <v>358</v>
      </c>
      <c r="F12" s="48">
        <v>24991005</v>
      </c>
      <c r="G12" s="48">
        <v>642084</v>
      </c>
      <c r="H12" s="67">
        <v>1562176</v>
      </c>
      <c r="I12" s="67">
        <f t="shared" si="0"/>
        <v>26553181</v>
      </c>
      <c r="J12" s="99">
        <v>25004132</v>
      </c>
      <c r="K12" s="99">
        <v>594084</v>
      </c>
      <c r="L12" s="99">
        <v>1723843.25</v>
      </c>
      <c r="M12" s="99">
        <f t="shared" si="1"/>
        <v>26727975.25</v>
      </c>
      <c r="N12" s="99">
        <f t="shared" si="2"/>
        <v>-13127</v>
      </c>
      <c r="O12" s="99">
        <f t="shared" si="2"/>
        <v>48000</v>
      </c>
      <c r="P12" s="99">
        <f t="shared" si="2"/>
        <v>-161667.25</v>
      </c>
      <c r="Q12" s="99">
        <f t="shared" si="2"/>
        <v>-174794.25</v>
      </c>
    </row>
    <row r="13" spans="1:17" s="100" customFormat="1" ht="20.100000000000001" customHeight="1">
      <c r="A13" s="101" t="s">
        <v>2</v>
      </c>
      <c r="B13" s="50" t="s">
        <v>304</v>
      </c>
      <c r="C13" s="50">
        <v>10</v>
      </c>
      <c r="D13" s="50" t="s">
        <v>353</v>
      </c>
      <c r="E13" s="50" t="s">
        <v>358</v>
      </c>
      <c r="F13" s="48">
        <v>23648221</v>
      </c>
      <c r="G13" s="48">
        <v>293636</v>
      </c>
      <c r="H13" s="67">
        <v>1122814.5</v>
      </c>
      <c r="I13" s="67">
        <f t="shared" si="0"/>
        <v>24771035.5</v>
      </c>
      <c r="J13" s="99">
        <v>24071142</v>
      </c>
      <c r="K13" s="99">
        <v>269636</v>
      </c>
      <c r="L13" s="99">
        <v>1748827.5</v>
      </c>
      <c r="M13" s="99">
        <f t="shared" si="1"/>
        <v>25819969.5</v>
      </c>
      <c r="N13" s="99">
        <f t="shared" si="2"/>
        <v>-422921</v>
      </c>
      <c r="O13" s="99">
        <f t="shared" si="2"/>
        <v>24000</v>
      </c>
      <c r="P13" s="99">
        <f t="shared" si="2"/>
        <v>-626013</v>
      </c>
      <c r="Q13" s="99">
        <f t="shared" si="2"/>
        <v>-1048934</v>
      </c>
    </row>
    <row r="14" spans="1:17" s="100" customFormat="1" ht="20.100000000000001" customHeight="1">
      <c r="A14" s="101" t="s">
        <v>2</v>
      </c>
      <c r="B14" s="50" t="s">
        <v>314</v>
      </c>
      <c r="C14" s="50">
        <v>11</v>
      </c>
      <c r="D14" s="50" t="s">
        <v>355</v>
      </c>
      <c r="E14" s="50" t="s">
        <v>356</v>
      </c>
      <c r="F14" s="48">
        <v>1417780</v>
      </c>
      <c r="G14" s="48">
        <v>0</v>
      </c>
      <c r="H14" s="67"/>
      <c r="I14" s="67">
        <f t="shared" si="0"/>
        <v>1417780</v>
      </c>
      <c r="J14" s="99">
        <v>1389682</v>
      </c>
      <c r="K14" s="99"/>
      <c r="L14" s="99"/>
      <c r="M14" s="99">
        <f t="shared" si="1"/>
        <v>1389682</v>
      </c>
      <c r="N14" s="99">
        <f t="shared" si="2"/>
        <v>28098</v>
      </c>
      <c r="O14" s="99">
        <f t="shared" si="2"/>
        <v>0</v>
      </c>
      <c r="P14" s="99">
        <f t="shared" si="2"/>
        <v>0</v>
      </c>
      <c r="Q14" s="99">
        <f t="shared" si="2"/>
        <v>28098</v>
      </c>
    </row>
    <row r="15" spans="1:17" s="100" customFormat="1" ht="20.100000000000001" customHeight="1">
      <c r="A15" s="101" t="s">
        <v>2</v>
      </c>
      <c r="B15" s="50" t="s">
        <v>360</v>
      </c>
      <c r="C15" s="50">
        <v>12</v>
      </c>
      <c r="D15" s="50" t="s">
        <v>355</v>
      </c>
      <c r="E15" s="50" t="s">
        <v>357</v>
      </c>
      <c r="F15" s="48">
        <v>6793861</v>
      </c>
      <c r="G15" s="48">
        <v>246704</v>
      </c>
      <c r="H15" s="67"/>
      <c r="I15" s="67">
        <f t="shared" si="0"/>
        <v>6793861</v>
      </c>
      <c r="J15" s="99">
        <v>6984616</v>
      </c>
      <c r="K15" s="99">
        <v>222704</v>
      </c>
      <c r="L15" s="99"/>
      <c r="M15" s="99">
        <f t="shared" si="1"/>
        <v>6984616</v>
      </c>
      <c r="N15" s="99">
        <f t="shared" si="2"/>
        <v>-190755</v>
      </c>
      <c r="O15" s="99">
        <f t="shared" si="2"/>
        <v>24000</v>
      </c>
      <c r="P15" s="99">
        <f t="shared" si="2"/>
        <v>0</v>
      </c>
      <c r="Q15" s="99">
        <f t="shared" si="2"/>
        <v>-190755</v>
      </c>
    </row>
    <row r="16" spans="1:17" s="100" customFormat="1" ht="20.100000000000001" customHeight="1">
      <c r="A16" s="101" t="s">
        <v>2</v>
      </c>
      <c r="B16" s="50" t="s">
        <v>287</v>
      </c>
      <c r="C16" s="50">
        <v>13</v>
      </c>
      <c r="D16" s="50" t="s">
        <v>355</v>
      </c>
      <c r="E16" s="50" t="s">
        <v>357</v>
      </c>
      <c r="F16" s="48">
        <v>15953411</v>
      </c>
      <c r="G16" s="48">
        <v>330427</v>
      </c>
      <c r="H16" s="67"/>
      <c r="I16" s="67">
        <f t="shared" si="0"/>
        <v>15953411</v>
      </c>
      <c r="J16" s="99">
        <v>15820576</v>
      </c>
      <c r="K16" s="99">
        <v>290684</v>
      </c>
      <c r="L16" s="99"/>
      <c r="M16" s="99">
        <f t="shared" si="1"/>
        <v>15820576</v>
      </c>
      <c r="N16" s="99">
        <f t="shared" si="2"/>
        <v>132835</v>
      </c>
      <c r="O16" s="99">
        <f t="shared" si="2"/>
        <v>39743</v>
      </c>
      <c r="P16" s="99">
        <f t="shared" si="2"/>
        <v>0</v>
      </c>
      <c r="Q16" s="99">
        <f t="shared" si="2"/>
        <v>132835</v>
      </c>
    </row>
    <row r="17" spans="1:17" s="100" customFormat="1" ht="20.100000000000001" customHeight="1">
      <c r="A17" s="101" t="s">
        <v>2</v>
      </c>
      <c r="B17" s="50" t="s">
        <v>361</v>
      </c>
      <c r="C17" s="50">
        <v>14</v>
      </c>
      <c r="D17" s="50" t="s">
        <v>355</v>
      </c>
      <c r="E17" s="50" t="s">
        <v>357</v>
      </c>
      <c r="F17" s="48">
        <v>6966087</v>
      </c>
      <c r="G17" s="48">
        <v>246116</v>
      </c>
      <c r="H17" s="67"/>
      <c r="I17" s="67">
        <f t="shared" si="0"/>
        <v>6966087</v>
      </c>
      <c r="J17" s="99">
        <v>7152920</v>
      </c>
      <c r="K17" s="99">
        <v>222116</v>
      </c>
      <c r="L17" s="99"/>
      <c r="M17" s="99">
        <f t="shared" si="1"/>
        <v>7152920</v>
      </c>
      <c r="N17" s="99">
        <f t="shared" si="2"/>
        <v>-186833</v>
      </c>
      <c r="O17" s="99">
        <f t="shared" si="2"/>
        <v>24000</v>
      </c>
      <c r="P17" s="99">
        <f t="shared" si="2"/>
        <v>0</v>
      </c>
      <c r="Q17" s="99">
        <f t="shared" si="2"/>
        <v>-186833</v>
      </c>
    </row>
    <row r="18" spans="1:17" s="100" customFormat="1" ht="20.100000000000001" customHeight="1">
      <c r="A18" s="101" t="s">
        <v>2</v>
      </c>
      <c r="B18" s="50" t="s">
        <v>362</v>
      </c>
      <c r="C18" s="50">
        <v>15</v>
      </c>
      <c r="D18" s="50" t="s">
        <v>355</v>
      </c>
      <c r="E18" s="50" t="s">
        <v>357</v>
      </c>
      <c r="F18" s="48">
        <v>7984864</v>
      </c>
      <c r="G18" s="48">
        <v>246104</v>
      </c>
      <c r="H18" s="67"/>
      <c r="I18" s="67">
        <f t="shared" si="0"/>
        <v>7984864</v>
      </c>
      <c r="J18" s="99">
        <v>8078592</v>
      </c>
      <c r="K18" s="99">
        <v>222104</v>
      </c>
      <c r="L18" s="99"/>
      <c r="M18" s="99">
        <f t="shared" si="1"/>
        <v>8078592</v>
      </c>
      <c r="N18" s="99">
        <f t="shared" si="2"/>
        <v>-93728</v>
      </c>
      <c r="O18" s="99">
        <f t="shared" si="2"/>
        <v>24000</v>
      </c>
      <c r="P18" s="99">
        <f t="shared" si="2"/>
        <v>0</v>
      </c>
      <c r="Q18" s="99">
        <f t="shared" si="2"/>
        <v>-93728</v>
      </c>
    </row>
    <row r="19" spans="1:17" s="100" customFormat="1" ht="20.100000000000001" customHeight="1">
      <c r="A19" s="101" t="s">
        <v>2</v>
      </c>
      <c r="B19" s="50" t="s">
        <v>363</v>
      </c>
      <c r="C19" s="50">
        <v>16</v>
      </c>
      <c r="D19" s="50" t="s">
        <v>355</v>
      </c>
      <c r="E19" s="50" t="s">
        <v>357</v>
      </c>
      <c r="F19" s="48">
        <v>4742916</v>
      </c>
      <c r="G19" s="48">
        <v>246476</v>
      </c>
      <c r="H19" s="67"/>
      <c r="I19" s="67">
        <f t="shared" si="0"/>
        <v>4742916</v>
      </c>
      <c r="J19" s="99">
        <v>4880816</v>
      </c>
      <c r="K19" s="99">
        <v>221276</v>
      </c>
      <c r="L19" s="99"/>
      <c r="M19" s="99">
        <f t="shared" si="1"/>
        <v>4880816</v>
      </c>
      <c r="N19" s="99">
        <f t="shared" si="2"/>
        <v>-137900</v>
      </c>
      <c r="O19" s="99">
        <f t="shared" si="2"/>
        <v>25200</v>
      </c>
      <c r="P19" s="99">
        <f t="shared" si="2"/>
        <v>0</v>
      </c>
      <c r="Q19" s="99">
        <f t="shared" si="2"/>
        <v>-137900</v>
      </c>
    </row>
    <row r="20" spans="1:17" s="100" customFormat="1" ht="20.100000000000001" customHeight="1">
      <c r="A20" s="101" t="s">
        <v>2</v>
      </c>
      <c r="B20" s="96" t="s">
        <v>364</v>
      </c>
      <c r="C20" s="50">
        <v>17</v>
      </c>
      <c r="D20" s="50" t="s">
        <v>355</v>
      </c>
      <c r="E20" s="50" t="s">
        <v>357</v>
      </c>
      <c r="F20" s="48">
        <v>5107831</v>
      </c>
      <c r="G20" s="48">
        <v>88852</v>
      </c>
      <c r="H20" s="67"/>
      <c r="I20" s="67">
        <f t="shared" si="0"/>
        <v>5107831</v>
      </c>
      <c r="J20" s="99">
        <v>5554032</v>
      </c>
      <c r="K20" s="99">
        <v>58052</v>
      </c>
      <c r="L20" s="99"/>
      <c r="M20" s="99">
        <f t="shared" si="1"/>
        <v>5554032</v>
      </c>
      <c r="N20" s="99">
        <f t="shared" si="2"/>
        <v>-446201</v>
      </c>
      <c r="O20" s="99">
        <f t="shared" si="2"/>
        <v>30800</v>
      </c>
      <c r="P20" s="99">
        <f t="shared" si="2"/>
        <v>0</v>
      </c>
      <c r="Q20" s="99">
        <f t="shared" si="2"/>
        <v>-446201</v>
      </c>
    </row>
    <row r="21" spans="1:17" s="100" customFormat="1" ht="20.100000000000001" customHeight="1">
      <c r="A21" s="101" t="s">
        <v>2</v>
      </c>
      <c r="B21" s="96" t="s">
        <v>365</v>
      </c>
      <c r="C21" s="50">
        <v>18</v>
      </c>
      <c r="D21" s="50" t="s">
        <v>355</v>
      </c>
      <c r="E21" s="50" t="s">
        <v>357</v>
      </c>
      <c r="F21" s="48">
        <v>3218756</v>
      </c>
      <c r="G21" s="48">
        <v>229316</v>
      </c>
      <c r="H21" s="67"/>
      <c r="I21" s="67">
        <f t="shared" si="0"/>
        <v>3218756</v>
      </c>
      <c r="J21" s="99">
        <v>3197776</v>
      </c>
      <c r="K21" s="99">
        <v>205316</v>
      </c>
      <c r="L21" s="99"/>
      <c r="M21" s="99">
        <f t="shared" si="1"/>
        <v>3197776</v>
      </c>
      <c r="N21" s="99">
        <f t="shared" si="2"/>
        <v>20980</v>
      </c>
      <c r="O21" s="99">
        <f t="shared" si="2"/>
        <v>24000</v>
      </c>
      <c r="P21" s="99">
        <f t="shared" si="2"/>
        <v>0</v>
      </c>
      <c r="Q21" s="99">
        <f t="shared" si="2"/>
        <v>20980</v>
      </c>
    </row>
    <row r="22" spans="1:17" s="100" customFormat="1" ht="20.100000000000001" customHeight="1">
      <c r="A22" s="101" t="s">
        <v>2</v>
      </c>
      <c r="B22" s="96" t="s">
        <v>366</v>
      </c>
      <c r="C22" s="50">
        <v>19</v>
      </c>
      <c r="D22" s="50" t="s">
        <v>355</v>
      </c>
      <c r="E22" s="50" t="s">
        <v>357</v>
      </c>
      <c r="F22" s="48">
        <v>12298585</v>
      </c>
      <c r="G22" s="48">
        <v>0</v>
      </c>
      <c r="H22" s="67"/>
      <c r="I22" s="67">
        <f t="shared" si="0"/>
        <v>12298585</v>
      </c>
      <c r="J22" s="99">
        <v>12622800</v>
      </c>
      <c r="K22" s="99"/>
      <c r="L22" s="99"/>
      <c r="M22" s="99">
        <f t="shared" si="1"/>
        <v>12622800</v>
      </c>
      <c r="N22" s="99">
        <f t="shared" si="2"/>
        <v>-324215</v>
      </c>
      <c r="O22" s="99">
        <f t="shared" si="2"/>
        <v>0</v>
      </c>
      <c r="P22" s="99">
        <f t="shared" si="2"/>
        <v>0</v>
      </c>
      <c r="Q22" s="99">
        <f t="shared" si="2"/>
        <v>-324215</v>
      </c>
    </row>
    <row r="23" spans="1:17" s="100" customFormat="1" ht="20.100000000000001" customHeight="1">
      <c r="A23" s="101" t="s">
        <v>2</v>
      </c>
      <c r="B23" s="96" t="s">
        <v>367</v>
      </c>
      <c r="C23" s="50">
        <v>20</v>
      </c>
      <c r="D23" s="50" t="s">
        <v>355</v>
      </c>
      <c r="E23" s="50" t="s">
        <v>357</v>
      </c>
      <c r="F23" s="48">
        <v>2009279</v>
      </c>
      <c r="G23" s="48">
        <v>230756</v>
      </c>
      <c r="H23" s="67"/>
      <c r="I23" s="67">
        <f t="shared" si="0"/>
        <v>2009279</v>
      </c>
      <c r="J23" s="99">
        <v>2019648</v>
      </c>
      <c r="K23" s="99">
        <v>206756</v>
      </c>
      <c r="L23" s="99"/>
      <c r="M23" s="99">
        <f t="shared" si="1"/>
        <v>2019648</v>
      </c>
      <c r="N23" s="99">
        <f t="shared" si="2"/>
        <v>-10369</v>
      </c>
      <c r="O23" s="99">
        <f t="shared" si="2"/>
        <v>24000</v>
      </c>
      <c r="P23" s="99">
        <f t="shared" si="2"/>
        <v>0</v>
      </c>
      <c r="Q23" s="99">
        <f t="shared" si="2"/>
        <v>-10369</v>
      </c>
    </row>
    <row r="24" spans="1:17" s="100" customFormat="1" ht="20.100000000000001" customHeight="1">
      <c r="A24" s="101"/>
      <c r="B24" s="96" t="s">
        <v>368</v>
      </c>
      <c r="C24" s="50"/>
      <c r="D24" s="50"/>
      <c r="E24" s="50"/>
      <c r="F24" s="48">
        <f>SUM(F4:F23)</f>
        <v>326099594</v>
      </c>
      <c r="G24" s="48">
        <f t="shared" ref="G24:Q24" si="4">SUM(G4:G23)</f>
        <v>6481296</v>
      </c>
      <c r="H24" s="48">
        <f t="shared" si="4"/>
        <v>16117001.25</v>
      </c>
      <c r="I24" s="48">
        <f t="shared" si="4"/>
        <v>342216595.25</v>
      </c>
      <c r="J24" s="48">
        <f t="shared" si="4"/>
        <v>331755113</v>
      </c>
      <c r="K24" s="48">
        <f t="shared" si="4"/>
        <v>5829323</v>
      </c>
      <c r="L24" s="48">
        <f t="shared" si="4"/>
        <v>18683459.699999999</v>
      </c>
      <c r="M24" s="48">
        <f t="shared" si="4"/>
        <v>350438572.69999999</v>
      </c>
      <c r="N24" s="48">
        <f t="shared" si="4"/>
        <v>-5655519</v>
      </c>
      <c r="O24" s="48">
        <f t="shared" si="4"/>
        <v>651973</v>
      </c>
      <c r="P24" s="48">
        <f t="shared" si="4"/>
        <v>-2566458.4500000002</v>
      </c>
      <c r="Q24" s="48">
        <f t="shared" si="4"/>
        <v>-8221977.450000003</v>
      </c>
    </row>
  </sheetData>
  <mergeCells count="9">
    <mergeCell ref="A1:Q1"/>
    <mergeCell ref="A2:A3"/>
    <mergeCell ref="B2:B3"/>
    <mergeCell ref="C2:C3"/>
    <mergeCell ref="D2:D3"/>
    <mergeCell ref="E2:E3"/>
    <mergeCell ref="F2:I2"/>
    <mergeCell ref="J2:M2"/>
    <mergeCell ref="N2:Q2"/>
  </mergeCells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D4"/>
  <sheetViews>
    <sheetView workbookViewId="0">
      <selection activeCell="I3" sqref="I1:I1048576"/>
    </sheetView>
  </sheetViews>
  <sheetFormatPr defaultRowHeight="13.5" outlineLevelRow="2"/>
  <cols>
    <col min="1" max="1" width="28.125" customWidth="1"/>
    <col min="2" max="2" width="21.25" customWidth="1"/>
    <col min="3" max="3" width="15.875" customWidth="1"/>
    <col min="4" max="4" width="16.25" customWidth="1"/>
    <col min="11" max="11" width="9.5" bestFit="1" customWidth="1"/>
  </cols>
  <sheetData>
    <row r="1" spans="1:4" ht="30" customHeight="1">
      <c r="A1" s="154" t="s">
        <v>413</v>
      </c>
      <c r="B1" s="155"/>
      <c r="C1" s="155"/>
      <c r="D1" s="155"/>
    </row>
    <row r="2" spans="1:4" s="102" customFormat="1" ht="30" customHeight="1">
      <c r="A2" s="131" t="s">
        <v>414</v>
      </c>
      <c r="B2" s="132" t="s">
        <v>138</v>
      </c>
      <c r="C2" s="133" t="s">
        <v>415</v>
      </c>
      <c r="D2" s="133" t="s">
        <v>416</v>
      </c>
    </row>
    <row r="3" spans="1:4" s="102" customFormat="1" ht="30" customHeight="1" outlineLevel="2">
      <c r="A3" s="133" t="s">
        <v>417</v>
      </c>
      <c r="B3" s="133" t="s">
        <v>418</v>
      </c>
      <c r="C3" s="133">
        <v>9600</v>
      </c>
      <c r="D3" s="133">
        <v>0</v>
      </c>
    </row>
    <row r="4" spans="1:4" s="102" customFormat="1" ht="30" customHeight="1" outlineLevel="1">
      <c r="A4" s="133"/>
      <c r="B4" s="134" t="s">
        <v>139</v>
      </c>
      <c r="C4" s="133">
        <f>SUBTOTAL(9,C3:C3)</f>
        <v>9600</v>
      </c>
      <c r="D4" s="133">
        <f>SUBTOTAL(9,D3:D3)</f>
        <v>0</v>
      </c>
    </row>
  </sheetData>
  <mergeCells count="1">
    <mergeCell ref="A1:D1"/>
  </mergeCells>
  <phoneticPr fontId="1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J5"/>
  <sheetViews>
    <sheetView topLeftCell="B1" workbookViewId="0">
      <selection activeCell="I3" sqref="I1:I1048576"/>
    </sheetView>
  </sheetViews>
  <sheetFormatPr defaultRowHeight="14.25"/>
  <cols>
    <col min="1" max="1" width="0" style="112" hidden="1" customWidth="1"/>
    <col min="2" max="2" width="28.5" style="112" customWidth="1"/>
    <col min="3" max="3" width="10.25" style="112" customWidth="1"/>
    <col min="4" max="4" width="7.5" style="112" customWidth="1"/>
    <col min="5" max="5" width="21.375" style="112" customWidth="1"/>
    <col min="6" max="6" width="13.625" style="112" customWidth="1"/>
    <col min="7" max="7" width="9" style="112"/>
    <col min="8" max="8" width="6.375" style="112" customWidth="1"/>
    <col min="9" max="9" width="6.75" style="112" customWidth="1"/>
    <col min="10" max="10" width="12.5" style="122" customWidth="1"/>
    <col min="11" max="11" width="9" style="112"/>
    <col min="12" max="12" width="21.25" style="112" customWidth="1"/>
    <col min="13" max="16384" width="9" style="112"/>
  </cols>
  <sheetData>
    <row r="1" spans="1:10" ht="18.75">
      <c r="A1" s="156" t="s">
        <v>377</v>
      </c>
      <c r="B1" s="156"/>
      <c r="C1" s="156"/>
      <c r="D1" s="156"/>
      <c r="E1" s="156"/>
      <c r="F1" s="156"/>
      <c r="G1" s="156"/>
      <c r="H1" s="156"/>
      <c r="I1" s="156"/>
      <c r="J1" s="156"/>
    </row>
    <row r="2" spans="1:10" s="116" customFormat="1" ht="85.5">
      <c r="A2" s="113" t="s">
        <v>3</v>
      </c>
      <c r="B2" s="113" t="s">
        <v>378</v>
      </c>
      <c r="C2" s="113" t="s">
        <v>379</v>
      </c>
      <c r="D2" s="113" t="s">
        <v>380</v>
      </c>
      <c r="E2" s="114" t="s">
        <v>381</v>
      </c>
      <c r="F2" s="115" t="s">
        <v>382</v>
      </c>
      <c r="G2" s="113" t="s">
        <v>383</v>
      </c>
      <c r="H2" s="113" t="s">
        <v>384</v>
      </c>
      <c r="I2" s="113" t="s">
        <v>385</v>
      </c>
      <c r="J2" s="114" t="s">
        <v>386</v>
      </c>
    </row>
    <row r="3" spans="1:10" s="116" customFormat="1">
      <c r="A3" s="117">
        <v>6</v>
      </c>
      <c r="B3" s="118" t="s">
        <v>360</v>
      </c>
      <c r="C3" s="118" t="s">
        <v>388</v>
      </c>
      <c r="D3" s="117" t="s">
        <v>389</v>
      </c>
      <c r="E3" s="118" t="s">
        <v>390</v>
      </c>
      <c r="F3" s="120">
        <v>43160</v>
      </c>
      <c r="G3" s="117" t="s">
        <v>387</v>
      </c>
      <c r="H3" s="117" t="s">
        <v>391</v>
      </c>
      <c r="I3" s="117" t="s">
        <v>392</v>
      </c>
      <c r="J3" s="121">
        <v>157133.14000000001</v>
      </c>
    </row>
    <row r="4" spans="1:10" s="116" customFormat="1">
      <c r="A4" s="117">
        <v>7</v>
      </c>
      <c r="B4" s="118" t="s">
        <v>363</v>
      </c>
      <c r="C4" s="118" t="s">
        <v>388</v>
      </c>
      <c r="D4" s="117" t="s">
        <v>393</v>
      </c>
      <c r="E4" s="119" t="s">
        <v>394</v>
      </c>
      <c r="F4" s="120">
        <v>43525</v>
      </c>
      <c r="G4" s="117" t="s">
        <v>387</v>
      </c>
      <c r="H4" s="117" t="s">
        <v>395</v>
      </c>
      <c r="I4" s="117" t="s">
        <v>396</v>
      </c>
      <c r="J4" s="121">
        <v>372457.01</v>
      </c>
    </row>
    <row r="5" spans="1:10" s="116" customFormat="1">
      <c r="A5" s="117"/>
      <c r="B5" s="118"/>
      <c r="C5" s="118" t="s">
        <v>397</v>
      </c>
      <c r="D5" s="117"/>
      <c r="E5" s="119"/>
      <c r="F5" s="120"/>
      <c r="G5" s="117"/>
      <c r="H5" s="117"/>
      <c r="I5" s="117"/>
      <c r="J5" s="121">
        <f>SUM(J3:J4)</f>
        <v>529590.15</v>
      </c>
    </row>
  </sheetData>
  <mergeCells count="1">
    <mergeCell ref="A1:J1"/>
  </mergeCells>
  <phoneticPr fontId="1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E23"/>
  <sheetViews>
    <sheetView topLeftCell="A7" workbookViewId="0">
      <selection activeCell="I3" sqref="I1:I1048576"/>
    </sheetView>
  </sheetViews>
  <sheetFormatPr defaultColWidth="9" defaultRowHeight="13.5" outlineLevelRow="2"/>
  <cols>
    <col min="1" max="1" width="20.875" style="63" customWidth="1"/>
    <col min="2" max="2" width="35" style="63" customWidth="1"/>
    <col min="3" max="3" width="15.625" style="63" customWidth="1"/>
    <col min="4" max="4" width="20.625" style="63" customWidth="1"/>
    <col min="5" max="5" width="24.75" style="63" customWidth="1"/>
    <col min="6" max="16384" width="9" style="63"/>
  </cols>
  <sheetData>
    <row r="1" spans="1:5" s="54" customFormat="1" ht="20.25">
      <c r="A1" s="157" t="s">
        <v>298</v>
      </c>
      <c r="B1" s="158"/>
      <c r="C1" s="158"/>
      <c r="D1" s="158"/>
      <c r="E1" s="158"/>
    </row>
    <row r="2" spans="1:5" s="56" customFormat="1" ht="17.100000000000001" customHeight="1">
      <c r="A2" s="55" t="s">
        <v>299</v>
      </c>
      <c r="B2" s="55" t="s">
        <v>300</v>
      </c>
      <c r="C2" s="55" t="s">
        <v>325</v>
      </c>
      <c r="D2" s="55" t="s">
        <v>301</v>
      </c>
      <c r="E2" s="55" t="s">
        <v>302</v>
      </c>
    </row>
    <row r="3" spans="1:5" s="56" customFormat="1" ht="17.100000000000001" customHeight="1" outlineLevel="2">
      <c r="A3" s="35" t="s">
        <v>303</v>
      </c>
      <c r="B3" s="61" t="s">
        <v>131</v>
      </c>
      <c r="C3" s="61" t="s">
        <v>329</v>
      </c>
      <c r="D3" s="57">
        <v>865549.6</v>
      </c>
      <c r="E3" s="57">
        <f t="shared" ref="E3:E22" si="0">ROUND(D3*1.1,2)</f>
        <v>952104.56</v>
      </c>
    </row>
    <row r="4" spans="1:5" s="56" customFormat="1" ht="17.100000000000001" customHeight="1" outlineLevel="2">
      <c r="A4" s="35" t="s">
        <v>303</v>
      </c>
      <c r="B4" s="61" t="s">
        <v>132</v>
      </c>
      <c r="C4" s="61" t="s">
        <v>330</v>
      </c>
      <c r="D4" s="57">
        <v>295481.5</v>
      </c>
      <c r="E4" s="57">
        <f t="shared" si="0"/>
        <v>325029.65000000002</v>
      </c>
    </row>
    <row r="5" spans="1:5" s="56" customFormat="1" ht="17.100000000000001" customHeight="1" outlineLevel="2">
      <c r="A5" s="35" t="s">
        <v>303</v>
      </c>
      <c r="B5" s="61" t="s">
        <v>130</v>
      </c>
      <c r="C5" s="61" t="s">
        <v>330</v>
      </c>
      <c r="D5" s="57">
        <v>246474.3</v>
      </c>
      <c r="E5" s="57">
        <f t="shared" si="0"/>
        <v>271121.73</v>
      </c>
    </row>
    <row r="6" spans="1:5" s="56" customFormat="1" ht="17.100000000000001" customHeight="1" outlineLevel="2">
      <c r="A6" s="35" t="s">
        <v>303</v>
      </c>
      <c r="B6" s="61" t="s">
        <v>133</v>
      </c>
      <c r="C6" s="61" t="s">
        <v>330</v>
      </c>
      <c r="D6" s="57">
        <v>314137.90000000002</v>
      </c>
      <c r="E6" s="57">
        <f t="shared" si="0"/>
        <v>345551.69</v>
      </c>
    </row>
    <row r="7" spans="1:5" s="56" customFormat="1" ht="17.100000000000001" customHeight="1" outlineLevel="2">
      <c r="A7" s="35" t="s">
        <v>303</v>
      </c>
      <c r="B7" s="61" t="s">
        <v>135</v>
      </c>
      <c r="C7" s="61" t="s">
        <v>331</v>
      </c>
      <c r="D7" s="57">
        <v>1068709.5</v>
      </c>
      <c r="E7" s="57">
        <f t="shared" si="0"/>
        <v>1175580.45</v>
      </c>
    </row>
    <row r="8" spans="1:5" s="56" customFormat="1" ht="17.100000000000001" customHeight="1" outlineLevel="2">
      <c r="A8" s="35" t="s">
        <v>303</v>
      </c>
      <c r="B8" s="61" t="s">
        <v>136</v>
      </c>
      <c r="C8" s="61" t="s">
        <v>327</v>
      </c>
      <c r="D8" s="57">
        <v>190081.3</v>
      </c>
      <c r="E8" s="57">
        <f t="shared" si="0"/>
        <v>209089.43</v>
      </c>
    </row>
    <row r="9" spans="1:5" s="56" customFormat="1" ht="17.100000000000001" customHeight="1" outlineLevel="2">
      <c r="A9" s="35" t="s">
        <v>303</v>
      </c>
      <c r="B9" s="61" t="s">
        <v>137</v>
      </c>
      <c r="C9" s="61" t="s">
        <v>327</v>
      </c>
      <c r="D9" s="57">
        <v>415048.9</v>
      </c>
      <c r="E9" s="57">
        <f t="shared" si="0"/>
        <v>456553.79</v>
      </c>
    </row>
    <row r="10" spans="1:5" s="56" customFormat="1" ht="17.100000000000001" customHeight="1" outlineLevel="2">
      <c r="A10" s="35" t="s">
        <v>303</v>
      </c>
      <c r="B10" s="61" t="s">
        <v>134</v>
      </c>
      <c r="C10" s="61" t="s">
        <v>327</v>
      </c>
      <c r="D10" s="57">
        <v>179132.4</v>
      </c>
      <c r="E10" s="57">
        <f t="shared" si="0"/>
        <v>197045.64</v>
      </c>
    </row>
    <row r="11" spans="1:5" s="56" customFormat="1" ht="17.100000000000001" customHeight="1" outlineLevel="2">
      <c r="A11" s="35" t="s">
        <v>303</v>
      </c>
      <c r="B11" s="61" t="s">
        <v>304</v>
      </c>
      <c r="C11" s="61" t="s">
        <v>327</v>
      </c>
      <c r="D11" s="57">
        <v>384835.5</v>
      </c>
      <c r="E11" s="57">
        <f t="shared" si="0"/>
        <v>423319.05</v>
      </c>
    </row>
    <row r="12" spans="1:5" s="56" customFormat="1" ht="17.100000000000001" customHeight="1" outlineLevel="2">
      <c r="A12" s="35" t="s">
        <v>303</v>
      </c>
      <c r="B12" s="62" t="s">
        <v>305</v>
      </c>
      <c r="C12" s="62" t="s">
        <v>328</v>
      </c>
      <c r="D12" s="57">
        <v>267909</v>
      </c>
      <c r="E12" s="57">
        <f t="shared" si="0"/>
        <v>294699.90000000002</v>
      </c>
    </row>
    <row r="13" spans="1:5" s="56" customFormat="1" ht="17.100000000000001" customHeight="1" outlineLevel="2">
      <c r="A13" s="35" t="s">
        <v>303</v>
      </c>
      <c r="B13" s="62" t="s">
        <v>306</v>
      </c>
      <c r="C13" s="62" t="s">
        <v>328</v>
      </c>
      <c r="D13" s="57">
        <v>124082.2</v>
      </c>
      <c r="E13" s="57">
        <f t="shared" si="0"/>
        <v>136490.42000000001</v>
      </c>
    </row>
    <row r="14" spans="1:5" s="56" customFormat="1" ht="17.100000000000001" customHeight="1" outlineLevel="2">
      <c r="A14" s="35" t="s">
        <v>303</v>
      </c>
      <c r="B14" s="62" t="s">
        <v>307</v>
      </c>
      <c r="C14" s="62" t="s">
        <v>328</v>
      </c>
      <c r="D14" s="57">
        <v>125060.4</v>
      </c>
      <c r="E14" s="57">
        <f t="shared" si="0"/>
        <v>137566.44</v>
      </c>
    </row>
    <row r="15" spans="1:5" s="56" customFormat="1" ht="17.100000000000001" customHeight="1" outlineLevel="2">
      <c r="A15" s="35" t="s">
        <v>303</v>
      </c>
      <c r="B15" s="62" t="s">
        <v>308</v>
      </c>
      <c r="C15" s="62" t="s">
        <v>328</v>
      </c>
      <c r="D15" s="57">
        <v>82606.600000000006</v>
      </c>
      <c r="E15" s="57">
        <f t="shared" si="0"/>
        <v>90867.26</v>
      </c>
    </row>
    <row r="16" spans="1:5" s="56" customFormat="1" ht="17.100000000000001" customHeight="1" outlineLevel="2">
      <c r="A16" s="35" t="s">
        <v>303</v>
      </c>
      <c r="B16" s="62" t="s">
        <v>309</v>
      </c>
      <c r="C16" s="62" t="s">
        <v>328</v>
      </c>
      <c r="D16" s="57">
        <v>115195</v>
      </c>
      <c r="E16" s="57">
        <f t="shared" si="0"/>
        <v>126714.5</v>
      </c>
    </row>
    <row r="17" spans="1:5" s="56" customFormat="1" ht="17.100000000000001" customHeight="1" outlineLevel="2">
      <c r="A17" s="35" t="s">
        <v>303</v>
      </c>
      <c r="B17" s="62" t="s">
        <v>310</v>
      </c>
      <c r="C17" s="62" t="s">
        <v>328</v>
      </c>
      <c r="D17" s="57">
        <v>55772.3</v>
      </c>
      <c r="E17" s="57">
        <f t="shared" si="0"/>
        <v>61349.53</v>
      </c>
    </row>
    <row r="18" spans="1:5" s="56" customFormat="1" ht="17.100000000000001" customHeight="1" outlineLevel="2">
      <c r="A18" s="35" t="s">
        <v>303</v>
      </c>
      <c r="B18" s="62" t="s">
        <v>311</v>
      </c>
      <c r="C18" s="62" t="s">
        <v>328</v>
      </c>
      <c r="D18" s="57">
        <v>46494.9</v>
      </c>
      <c r="E18" s="57">
        <f t="shared" si="0"/>
        <v>51144.39</v>
      </c>
    </row>
    <row r="19" spans="1:5" s="56" customFormat="1" ht="17.100000000000001" customHeight="1" outlineLevel="2">
      <c r="A19" s="35" t="s">
        <v>303</v>
      </c>
      <c r="B19" s="62" t="s">
        <v>312</v>
      </c>
      <c r="C19" s="62" t="s">
        <v>328</v>
      </c>
      <c r="D19" s="57">
        <v>225245.2</v>
      </c>
      <c r="E19" s="57">
        <f t="shared" si="0"/>
        <v>247769.72</v>
      </c>
    </row>
    <row r="20" spans="1:5" s="56" customFormat="1" ht="17.100000000000001" customHeight="1" outlineLevel="2">
      <c r="A20" s="35" t="s">
        <v>303</v>
      </c>
      <c r="B20" s="62" t="s">
        <v>313</v>
      </c>
      <c r="C20" s="62" t="s">
        <v>328</v>
      </c>
      <c r="D20" s="57">
        <v>26357</v>
      </c>
      <c r="E20" s="57">
        <f t="shared" si="0"/>
        <v>28992.7</v>
      </c>
    </row>
    <row r="21" spans="1:5" s="56" customFormat="1" ht="17.100000000000001" customHeight="1" outlineLevel="2">
      <c r="A21" s="35" t="s">
        <v>303</v>
      </c>
      <c r="B21" s="62" t="s">
        <v>141</v>
      </c>
      <c r="C21" s="62" t="s">
        <v>326</v>
      </c>
      <c r="D21" s="57">
        <v>166267.35999999999</v>
      </c>
      <c r="E21" s="57">
        <f t="shared" si="0"/>
        <v>182894.1</v>
      </c>
    </row>
    <row r="22" spans="1:5" s="56" customFormat="1" ht="17.100000000000001" customHeight="1" outlineLevel="2">
      <c r="A22" s="35" t="s">
        <v>303</v>
      </c>
      <c r="B22" s="62" t="s">
        <v>314</v>
      </c>
      <c r="C22" s="62" t="s">
        <v>332</v>
      </c>
      <c r="D22" s="57">
        <v>23315</v>
      </c>
      <c r="E22" s="57">
        <f t="shared" si="0"/>
        <v>25646.5</v>
      </c>
    </row>
    <row r="23" spans="1:5" s="56" customFormat="1" ht="17.100000000000001" customHeight="1" outlineLevel="1">
      <c r="A23" s="58" t="s">
        <v>139</v>
      </c>
      <c r="B23" s="59"/>
      <c r="C23" s="59"/>
      <c r="D23" s="60">
        <f>SUM(D3:D22)</f>
        <v>5217755.8600000013</v>
      </c>
      <c r="E23" s="60">
        <f>SUM(E3:E22)</f>
        <v>5739531.4500000002</v>
      </c>
    </row>
  </sheetData>
  <autoFilter ref="A2:E23"/>
  <mergeCells count="1">
    <mergeCell ref="A1:E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5" orientation="landscape" verticalDpi="0" r:id="rId1"/>
  <headerFooter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:C4"/>
  <sheetViews>
    <sheetView workbookViewId="0">
      <selection activeCell="I3" sqref="I1:I1048576"/>
    </sheetView>
  </sheetViews>
  <sheetFormatPr defaultRowHeight="13.5"/>
  <cols>
    <col min="1" max="1" width="24.5" customWidth="1"/>
    <col min="2" max="2" width="25" customWidth="1"/>
    <col min="3" max="3" width="23.125" customWidth="1"/>
  </cols>
  <sheetData>
    <row r="1" spans="1:3" ht="20.25">
      <c r="A1" s="159" t="s">
        <v>316</v>
      </c>
      <c r="B1" s="159"/>
      <c r="C1" s="159"/>
    </row>
    <row r="2" spans="1:3" ht="24.95" customHeight="1">
      <c r="A2" s="13" t="s">
        <v>138</v>
      </c>
      <c r="B2" s="13" t="s">
        <v>143</v>
      </c>
      <c r="C2" s="13" t="s">
        <v>144</v>
      </c>
    </row>
    <row r="3" spans="1:3" ht="24.95" customHeight="1">
      <c r="A3" s="14" t="s">
        <v>2</v>
      </c>
      <c r="B3" s="15">
        <v>276368</v>
      </c>
      <c r="C3" s="12">
        <f t="shared" ref="C3" si="0">B3*3</f>
        <v>829104</v>
      </c>
    </row>
    <row r="4" spans="1:3" ht="24.95" customHeight="1">
      <c r="A4" s="16" t="s">
        <v>142</v>
      </c>
      <c r="B4" s="17">
        <f>SUM(B3:B3)</f>
        <v>276368</v>
      </c>
      <c r="C4" s="17">
        <f>SUM(C3:C3)</f>
        <v>829104</v>
      </c>
    </row>
  </sheetData>
  <mergeCells count="1"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  <headerFooter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:J34"/>
  <sheetViews>
    <sheetView topLeftCell="A14" workbookViewId="0">
      <selection activeCell="I3" sqref="I1:I1048576"/>
    </sheetView>
  </sheetViews>
  <sheetFormatPr defaultRowHeight="14.25" outlineLevelRow="2"/>
  <cols>
    <col min="1" max="1" width="37.5" style="70" customWidth="1"/>
    <col min="2" max="2" width="11.625" style="71" customWidth="1"/>
    <col min="3" max="3" width="13.5" style="11" customWidth="1"/>
    <col min="4" max="5" width="7.625" style="11" customWidth="1"/>
    <col min="6" max="6" width="12.625" style="73" customWidth="1"/>
    <col min="7" max="7" width="15.75" style="74" customWidth="1"/>
    <col min="8" max="8" width="6.25" style="11" hidden="1" customWidth="1"/>
    <col min="9" max="9" width="25.875" style="11" hidden="1" customWidth="1"/>
    <col min="10" max="10" width="31.25" style="72" customWidth="1"/>
    <col min="11" max="16384" width="9" style="11"/>
  </cols>
  <sheetData>
    <row r="1" spans="1:10" ht="32.1" customHeight="1">
      <c r="A1" s="160" t="s">
        <v>324</v>
      </c>
      <c r="B1" s="160"/>
      <c r="C1" s="160"/>
      <c r="D1" s="160"/>
      <c r="E1" s="160"/>
      <c r="F1" s="160"/>
      <c r="G1" s="160"/>
      <c r="H1" s="160"/>
      <c r="I1" s="160"/>
      <c r="J1" s="160"/>
    </row>
    <row r="2" spans="1:10" ht="14.1" customHeight="1">
      <c r="A2" s="75" t="s">
        <v>210</v>
      </c>
      <c r="B2" s="75" t="s">
        <v>211</v>
      </c>
      <c r="C2" s="76" t="s">
        <v>212</v>
      </c>
      <c r="D2" s="75" t="s">
        <v>213</v>
      </c>
      <c r="E2" s="75" t="s">
        <v>214</v>
      </c>
      <c r="F2" s="77" t="s">
        <v>215</v>
      </c>
      <c r="G2" s="78" t="s">
        <v>216</v>
      </c>
      <c r="H2" s="75" t="s">
        <v>217</v>
      </c>
      <c r="I2" s="79" t="s">
        <v>218</v>
      </c>
      <c r="J2" s="76" t="s">
        <v>218</v>
      </c>
    </row>
    <row r="3" spans="1:10" s="36" customFormat="1" ht="14.1" customHeight="1" outlineLevel="2">
      <c r="A3" s="80" t="s">
        <v>246</v>
      </c>
      <c r="B3" s="81" t="s">
        <v>245</v>
      </c>
      <c r="C3" s="82" t="s">
        <v>220</v>
      </c>
      <c r="D3" s="83">
        <v>2</v>
      </c>
      <c r="E3" s="83">
        <v>10</v>
      </c>
      <c r="F3" s="84">
        <v>105000</v>
      </c>
      <c r="G3" s="84">
        <f t="shared" ref="G3:G33" si="0">ROUND(F3*E3,2)</f>
        <v>1050000</v>
      </c>
      <c r="H3" s="37" t="s">
        <v>221</v>
      </c>
      <c r="I3" s="85" t="s">
        <v>247</v>
      </c>
      <c r="J3" s="38"/>
    </row>
    <row r="4" spans="1:10" s="36" customFormat="1" ht="14.1" customHeight="1" outlineLevel="2">
      <c r="A4" s="80" t="s">
        <v>248</v>
      </c>
      <c r="B4" s="81" t="s">
        <v>245</v>
      </c>
      <c r="C4" s="82" t="s">
        <v>220</v>
      </c>
      <c r="D4" s="83">
        <v>1</v>
      </c>
      <c r="E4" s="83">
        <v>5</v>
      </c>
      <c r="F4" s="84">
        <v>105000</v>
      </c>
      <c r="G4" s="84">
        <f t="shared" si="0"/>
        <v>525000</v>
      </c>
      <c r="H4" s="37" t="s">
        <v>228</v>
      </c>
      <c r="I4" s="85"/>
      <c r="J4" s="38"/>
    </row>
    <row r="5" spans="1:10" s="36" customFormat="1" ht="14.1" customHeight="1" outlineLevel="2">
      <c r="A5" s="80" t="s">
        <v>249</v>
      </c>
      <c r="B5" s="81" t="s">
        <v>244</v>
      </c>
      <c r="C5" s="82" t="s">
        <v>220</v>
      </c>
      <c r="D5" s="83">
        <v>2</v>
      </c>
      <c r="E5" s="83">
        <v>11</v>
      </c>
      <c r="F5" s="84">
        <v>105000</v>
      </c>
      <c r="G5" s="84">
        <f t="shared" si="0"/>
        <v>1155000</v>
      </c>
      <c r="H5" s="37" t="s">
        <v>221</v>
      </c>
      <c r="I5" s="85" t="s">
        <v>250</v>
      </c>
      <c r="J5" s="38"/>
    </row>
    <row r="6" spans="1:10" s="36" customFormat="1" ht="14.1" customHeight="1" outlineLevel="2">
      <c r="A6" s="80" t="s">
        <v>251</v>
      </c>
      <c r="B6" s="81" t="s">
        <v>244</v>
      </c>
      <c r="C6" s="82" t="s">
        <v>220</v>
      </c>
      <c r="D6" s="83">
        <v>1</v>
      </c>
      <c r="E6" s="83">
        <v>7</v>
      </c>
      <c r="F6" s="84">
        <v>105000</v>
      </c>
      <c r="G6" s="84">
        <f t="shared" si="0"/>
        <v>735000</v>
      </c>
      <c r="H6" s="37" t="s">
        <v>221</v>
      </c>
      <c r="I6" s="85" t="s">
        <v>252</v>
      </c>
      <c r="J6" s="38"/>
    </row>
    <row r="7" spans="1:10" s="36" customFormat="1" ht="14.1" customHeight="1" outlineLevel="2">
      <c r="A7" s="86" t="s">
        <v>253</v>
      </c>
      <c r="B7" s="81" t="s">
        <v>244</v>
      </c>
      <c r="C7" s="82" t="s">
        <v>220</v>
      </c>
      <c r="D7" s="83">
        <v>1</v>
      </c>
      <c r="E7" s="83">
        <v>5</v>
      </c>
      <c r="F7" s="84">
        <v>105000</v>
      </c>
      <c r="G7" s="84">
        <f t="shared" si="0"/>
        <v>525000</v>
      </c>
      <c r="H7" s="37"/>
      <c r="I7" s="85"/>
      <c r="J7" s="38" t="s">
        <v>254</v>
      </c>
    </row>
    <row r="8" spans="1:10" s="36" customFormat="1" ht="14.1" customHeight="1" outlineLevel="2">
      <c r="A8" s="80" t="s">
        <v>255</v>
      </c>
      <c r="B8" s="81" t="s">
        <v>244</v>
      </c>
      <c r="C8" s="82" t="s">
        <v>220</v>
      </c>
      <c r="D8" s="83">
        <v>1</v>
      </c>
      <c r="E8" s="83">
        <v>5</v>
      </c>
      <c r="F8" s="84">
        <v>105000</v>
      </c>
      <c r="G8" s="84">
        <f t="shared" si="0"/>
        <v>525000</v>
      </c>
      <c r="H8" s="37" t="s">
        <v>221</v>
      </c>
      <c r="I8" s="85"/>
      <c r="J8" s="38"/>
    </row>
    <row r="9" spans="1:10" s="36" customFormat="1" ht="14.1" customHeight="1" outlineLevel="2">
      <c r="A9" s="80" t="s">
        <v>256</v>
      </c>
      <c r="B9" s="81" t="s">
        <v>244</v>
      </c>
      <c r="C9" s="82" t="s">
        <v>220</v>
      </c>
      <c r="D9" s="83">
        <v>1</v>
      </c>
      <c r="E9" s="83">
        <v>5</v>
      </c>
      <c r="F9" s="84">
        <v>105000</v>
      </c>
      <c r="G9" s="84">
        <f t="shared" si="0"/>
        <v>525000</v>
      </c>
      <c r="H9" s="37" t="s">
        <v>228</v>
      </c>
      <c r="I9" s="85"/>
      <c r="J9" s="38"/>
    </row>
    <row r="10" spans="1:10" s="36" customFormat="1" ht="14.1" customHeight="1" outlineLevel="2">
      <c r="A10" s="80" t="s">
        <v>257</v>
      </c>
      <c r="B10" s="81" t="s">
        <v>245</v>
      </c>
      <c r="C10" s="82" t="s">
        <v>220</v>
      </c>
      <c r="D10" s="83">
        <v>1</v>
      </c>
      <c r="E10" s="83">
        <v>5</v>
      </c>
      <c r="F10" s="84">
        <v>105000</v>
      </c>
      <c r="G10" s="84">
        <f t="shared" si="0"/>
        <v>525000</v>
      </c>
      <c r="H10" s="37" t="s">
        <v>242</v>
      </c>
      <c r="I10" s="85"/>
      <c r="J10" s="38"/>
    </row>
    <row r="11" spans="1:10" s="36" customFormat="1" ht="14.1" customHeight="1" outlineLevel="2">
      <c r="A11" s="80" t="s">
        <v>258</v>
      </c>
      <c r="B11" s="81" t="s">
        <v>245</v>
      </c>
      <c r="C11" s="82" t="s">
        <v>220</v>
      </c>
      <c r="D11" s="83">
        <v>1</v>
      </c>
      <c r="E11" s="83">
        <v>5</v>
      </c>
      <c r="F11" s="84">
        <v>105000</v>
      </c>
      <c r="G11" s="84">
        <f t="shared" si="0"/>
        <v>525000</v>
      </c>
      <c r="H11" s="37" t="s">
        <v>242</v>
      </c>
      <c r="I11" s="85"/>
      <c r="J11" s="38"/>
    </row>
    <row r="12" spans="1:10" s="36" customFormat="1" ht="14.1" customHeight="1" outlineLevel="2">
      <c r="A12" s="80" t="s">
        <v>259</v>
      </c>
      <c r="B12" s="81" t="s">
        <v>244</v>
      </c>
      <c r="C12" s="82" t="s">
        <v>220</v>
      </c>
      <c r="D12" s="83">
        <v>1</v>
      </c>
      <c r="E12" s="83">
        <v>5</v>
      </c>
      <c r="F12" s="84">
        <v>105000</v>
      </c>
      <c r="G12" s="84">
        <f t="shared" si="0"/>
        <v>525000</v>
      </c>
      <c r="H12" s="37" t="s">
        <v>242</v>
      </c>
      <c r="I12" s="85"/>
      <c r="J12" s="38"/>
    </row>
    <row r="13" spans="1:10" s="36" customFormat="1" ht="14.1" customHeight="1" outlineLevel="2">
      <c r="A13" s="80" t="s">
        <v>260</v>
      </c>
      <c r="B13" s="81" t="s">
        <v>244</v>
      </c>
      <c r="C13" s="82" t="s">
        <v>220</v>
      </c>
      <c r="D13" s="87">
        <v>1</v>
      </c>
      <c r="E13" s="87">
        <v>12</v>
      </c>
      <c r="F13" s="84">
        <v>105000</v>
      </c>
      <c r="G13" s="84">
        <f t="shared" si="0"/>
        <v>1260000</v>
      </c>
      <c r="H13" s="81" t="s">
        <v>242</v>
      </c>
      <c r="I13" s="85"/>
      <c r="J13" s="90" t="s">
        <v>261</v>
      </c>
    </row>
    <row r="14" spans="1:10" s="36" customFormat="1" ht="14.1" customHeight="1" outlineLevel="2">
      <c r="A14" s="80" t="s">
        <v>317</v>
      </c>
      <c r="B14" s="81" t="s">
        <v>245</v>
      </c>
      <c r="C14" s="82" t="s">
        <v>220</v>
      </c>
      <c r="D14" s="87">
        <v>2</v>
      </c>
      <c r="E14" s="87">
        <v>10</v>
      </c>
      <c r="F14" s="84">
        <v>105000</v>
      </c>
      <c r="G14" s="84">
        <f t="shared" si="0"/>
        <v>1050000</v>
      </c>
      <c r="H14" s="81" t="s">
        <v>221</v>
      </c>
      <c r="I14" s="85"/>
      <c r="J14" s="38" t="s">
        <v>318</v>
      </c>
    </row>
    <row r="15" spans="1:10" s="36" customFormat="1" ht="14.1" customHeight="1" outlineLevel="2">
      <c r="A15" s="86" t="s">
        <v>262</v>
      </c>
      <c r="B15" s="81" t="s">
        <v>245</v>
      </c>
      <c r="C15" s="82" t="s">
        <v>220</v>
      </c>
      <c r="D15" s="87">
        <v>1</v>
      </c>
      <c r="E15" s="87">
        <v>10</v>
      </c>
      <c r="F15" s="84">
        <v>105000</v>
      </c>
      <c r="G15" s="84">
        <f t="shared" si="0"/>
        <v>1050000</v>
      </c>
      <c r="H15" s="81"/>
      <c r="I15" s="85"/>
      <c r="J15" s="88" t="s">
        <v>263</v>
      </c>
    </row>
    <row r="16" spans="1:10" s="36" customFormat="1" ht="14.1" customHeight="1" outlineLevel="2">
      <c r="A16" s="86" t="s">
        <v>264</v>
      </c>
      <c r="B16" s="81" t="s">
        <v>244</v>
      </c>
      <c r="C16" s="82" t="s">
        <v>220</v>
      </c>
      <c r="D16" s="87">
        <v>1</v>
      </c>
      <c r="E16" s="87">
        <v>6</v>
      </c>
      <c r="F16" s="84">
        <v>105000</v>
      </c>
      <c r="G16" s="84">
        <f t="shared" si="0"/>
        <v>630000</v>
      </c>
      <c r="H16" s="81" t="s">
        <v>228</v>
      </c>
      <c r="I16" s="91" t="s">
        <v>319</v>
      </c>
      <c r="J16" s="88" t="s">
        <v>265</v>
      </c>
    </row>
    <row r="17" spans="1:10" s="36" customFormat="1" ht="14.1" customHeight="1" outlineLevel="2">
      <c r="A17" s="86" t="s">
        <v>141</v>
      </c>
      <c r="B17" s="81" t="s">
        <v>243</v>
      </c>
      <c r="C17" s="82" t="s">
        <v>220</v>
      </c>
      <c r="D17" s="87">
        <v>2</v>
      </c>
      <c r="E17" s="87">
        <v>10</v>
      </c>
      <c r="F17" s="84">
        <v>105000</v>
      </c>
      <c r="G17" s="84">
        <f t="shared" si="0"/>
        <v>1050000</v>
      </c>
      <c r="H17" s="81"/>
      <c r="I17" s="91"/>
      <c r="J17" s="88" t="s">
        <v>241</v>
      </c>
    </row>
    <row r="18" spans="1:10" s="36" customFormat="1" ht="14.1" customHeight="1" outlineLevel="2">
      <c r="A18" s="80" t="s">
        <v>321</v>
      </c>
      <c r="B18" s="81" t="s">
        <v>320</v>
      </c>
      <c r="C18" s="82" t="s">
        <v>322</v>
      </c>
      <c r="D18" s="83">
        <v>1</v>
      </c>
      <c r="E18" s="83">
        <v>7</v>
      </c>
      <c r="F18" s="84">
        <v>105000</v>
      </c>
      <c r="G18" s="84">
        <f t="shared" si="0"/>
        <v>735000</v>
      </c>
      <c r="H18" s="37" t="s">
        <v>221</v>
      </c>
      <c r="I18" s="91"/>
      <c r="J18" s="38"/>
    </row>
    <row r="19" spans="1:10" s="36" customFormat="1" ht="14.1" customHeight="1" outlineLevel="2">
      <c r="A19" s="86" t="s">
        <v>222</v>
      </c>
      <c r="B19" s="81" t="s">
        <v>219</v>
      </c>
      <c r="C19" s="82" t="s">
        <v>220</v>
      </c>
      <c r="D19" s="83">
        <v>1</v>
      </c>
      <c r="E19" s="83">
        <v>5</v>
      </c>
      <c r="F19" s="84">
        <v>105000</v>
      </c>
      <c r="G19" s="84">
        <f t="shared" si="0"/>
        <v>525000</v>
      </c>
      <c r="H19" s="37" t="s">
        <v>221</v>
      </c>
      <c r="I19" s="91"/>
      <c r="J19" s="38"/>
    </row>
    <row r="20" spans="1:10" s="36" customFormat="1" ht="14.1" customHeight="1" outlineLevel="2">
      <c r="A20" s="86" t="s">
        <v>223</v>
      </c>
      <c r="B20" s="81" t="s">
        <v>219</v>
      </c>
      <c r="C20" s="82" t="s">
        <v>220</v>
      </c>
      <c r="D20" s="83">
        <v>1</v>
      </c>
      <c r="E20" s="83">
        <v>5</v>
      </c>
      <c r="F20" s="84">
        <v>105000</v>
      </c>
      <c r="G20" s="84">
        <f t="shared" si="0"/>
        <v>525000</v>
      </c>
      <c r="H20" s="37" t="s">
        <v>221</v>
      </c>
      <c r="I20" s="91"/>
      <c r="J20" s="38"/>
    </row>
    <row r="21" spans="1:10" s="36" customFormat="1" ht="14.1" customHeight="1" outlineLevel="2">
      <c r="A21" s="86" t="s">
        <v>224</v>
      </c>
      <c r="B21" s="81" t="s">
        <v>219</v>
      </c>
      <c r="C21" s="82" t="s">
        <v>220</v>
      </c>
      <c r="D21" s="83">
        <v>1</v>
      </c>
      <c r="E21" s="83">
        <v>5</v>
      </c>
      <c r="F21" s="84">
        <v>105000</v>
      </c>
      <c r="G21" s="84">
        <f t="shared" si="0"/>
        <v>525000</v>
      </c>
      <c r="H21" s="37" t="s">
        <v>221</v>
      </c>
      <c r="I21" s="91"/>
      <c r="J21" s="38"/>
    </row>
    <row r="22" spans="1:10" s="36" customFormat="1" ht="14.1" customHeight="1" outlineLevel="2">
      <c r="A22" s="86" t="s">
        <v>225</v>
      </c>
      <c r="B22" s="81" t="s">
        <v>219</v>
      </c>
      <c r="C22" s="82" t="s">
        <v>220</v>
      </c>
      <c r="D22" s="83">
        <v>1</v>
      </c>
      <c r="E22" s="83">
        <v>5</v>
      </c>
      <c r="F22" s="84">
        <v>105000</v>
      </c>
      <c r="G22" s="84">
        <f t="shared" si="0"/>
        <v>525000</v>
      </c>
      <c r="H22" s="37" t="s">
        <v>221</v>
      </c>
      <c r="I22" s="91"/>
      <c r="J22" s="38"/>
    </row>
    <row r="23" spans="1:10" s="36" customFormat="1" ht="14.1" customHeight="1" outlineLevel="2">
      <c r="A23" s="86" t="s">
        <v>226</v>
      </c>
      <c r="B23" s="81" t="s">
        <v>219</v>
      </c>
      <c r="C23" s="82" t="s">
        <v>220</v>
      </c>
      <c r="D23" s="83">
        <v>1</v>
      </c>
      <c r="E23" s="83">
        <v>5</v>
      </c>
      <c r="F23" s="84">
        <v>105000</v>
      </c>
      <c r="G23" s="84">
        <f t="shared" si="0"/>
        <v>525000</v>
      </c>
      <c r="H23" s="37" t="s">
        <v>221</v>
      </c>
      <c r="I23" s="91"/>
      <c r="J23" s="38"/>
    </row>
    <row r="24" spans="1:10" s="36" customFormat="1" ht="14.1" customHeight="1" outlineLevel="2">
      <c r="A24" s="80" t="s">
        <v>227</v>
      </c>
      <c r="B24" s="81" t="s">
        <v>219</v>
      </c>
      <c r="C24" s="82" t="s">
        <v>220</v>
      </c>
      <c r="D24" s="83">
        <v>1</v>
      </c>
      <c r="E24" s="83">
        <v>5</v>
      </c>
      <c r="F24" s="84">
        <v>105000</v>
      </c>
      <c r="G24" s="84">
        <f t="shared" si="0"/>
        <v>525000</v>
      </c>
      <c r="H24" s="37" t="s">
        <v>228</v>
      </c>
      <c r="I24" s="85"/>
      <c r="J24" s="38"/>
    </row>
    <row r="25" spans="1:10" s="36" customFormat="1" ht="14.1" customHeight="1" outlineLevel="2">
      <c r="A25" s="80" t="s">
        <v>229</v>
      </c>
      <c r="B25" s="81" t="s">
        <v>219</v>
      </c>
      <c r="C25" s="82" t="s">
        <v>220</v>
      </c>
      <c r="D25" s="83">
        <v>1</v>
      </c>
      <c r="E25" s="83">
        <v>5</v>
      </c>
      <c r="F25" s="84">
        <v>105000</v>
      </c>
      <c r="G25" s="84">
        <f t="shared" si="0"/>
        <v>525000</v>
      </c>
      <c r="H25" s="37" t="s">
        <v>228</v>
      </c>
      <c r="I25" s="85"/>
      <c r="J25" s="38"/>
    </row>
    <row r="26" spans="1:10" s="36" customFormat="1" ht="14.1" customHeight="1" outlineLevel="2">
      <c r="A26" s="80" t="s">
        <v>230</v>
      </c>
      <c r="B26" s="81" t="s">
        <v>219</v>
      </c>
      <c r="C26" s="82" t="s">
        <v>220</v>
      </c>
      <c r="D26" s="83">
        <v>1</v>
      </c>
      <c r="E26" s="83">
        <v>5</v>
      </c>
      <c r="F26" s="84">
        <v>105000</v>
      </c>
      <c r="G26" s="84">
        <f t="shared" si="0"/>
        <v>525000</v>
      </c>
      <c r="H26" s="37" t="s">
        <v>221</v>
      </c>
      <c r="I26" s="85"/>
      <c r="J26" s="38"/>
    </row>
    <row r="27" spans="1:10" s="36" customFormat="1" ht="14.1" customHeight="1" outlineLevel="2">
      <c r="A27" s="86" t="s">
        <v>231</v>
      </c>
      <c r="B27" s="81" t="s">
        <v>219</v>
      </c>
      <c r="C27" s="82" t="s">
        <v>220</v>
      </c>
      <c r="D27" s="83">
        <v>2</v>
      </c>
      <c r="E27" s="83">
        <v>7</v>
      </c>
      <c r="F27" s="84">
        <v>105000</v>
      </c>
      <c r="G27" s="84">
        <f t="shared" si="0"/>
        <v>735000</v>
      </c>
      <c r="H27" s="37"/>
      <c r="I27" s="85"/>
      <c r="J27" s="38" t="s">
        <v>232</v>
      </c>
    </row>
    <row r="28" spans="1:10" s="36" customFormat="1" ht="14.1" customHeight="1" outlineLevel="2">
      <c r="A28" s="80" t="s">
        <v>233</v>
      </c>
      <c r="B28" s="81" t="s">
        <v>219</v>
      </c>
      <c r="C28" s="82" t="s">
        <v>220</v>
      </c>
      <c r="D28" s="83">
        <v>1</v>
      </c>
      <c r="E28" s="83">
        <v>5</v>
      </c>
      <c r="F28" s="84">
        <v>105000</v>
      </c>
      <c r="G28" s="84">
        <f t="shared" si="0"/>
        <v>525000</v>
      </c>
      <c r="H28" s="37" t="s">
        <v>221</v>
      </c>
      <c r="I28" s="85"/>
      <c r="J28" s="38"/>
    </row>
    <row r="29" spans="1:10" s="36" customFormat="1" ht="14.1" customHeight="1" outlineLevel="2">
      <c r="A29" s="86" t="s">
        <v>234</v>
      </c>
      <c r="B29" s="81" t="s">
        <v>219</v>
      </c>
      <c r="C29" s="82" t="s">
        <v>220</v>
      </c>
      <c r="D29" s="83">
        <v>1</v>
      </c>
      <c r="E29" s="83">
        <v>5</v>
      </c>
      <c r="F29" s="84">
        <v>105000</v>
      </c>
      <c r="G29" s="84">
        <f t="shared" si="0"/>
        <v>525000</v>
      </c>
      <c r="H29" s="37" t="s">
        <v>221</v>
      </c>
      <c r="I29" s="85"/>
      <c r="J29" s="38"/>
    </row>
    <row r="30" spans="1:10" s="36" customFormat="1" ht="14.1" customHeight="1" outlineLevel="2">
      <c r="A30" s="80" t="s">
        <v>235</v>
      </c>
      <c r="B30" s="81" t="s">
        <v>219</v>
      </c>
      <c r="C30" s="82" t="s">
        <v>220</v>
      </c>
      <c r="D30" s="87">
        <v>1</v>
      </c>
      <c r="E30" s="87">
        <v>5</v>
      </c>
      <c r="F30" s="84">
        <v>105000</v>
      </c>
      <c r="G30" s="84">
        <f t="shared" si="0"/>
        <v>525000</v>
      </c>
      <c r="H30" s="81" t="s">
        <v>228</v>
      </c>
      <c r="I30" s="85"/>
      <c r="J30" s="38"/>
    </row>
    <row r="31" spans="1:10" s="36" customFormat="1" ht="14.1" customHeight="1" outlineLevel="2">
      <c r="A31" s="86" t="s">
        <v>236</v>
      </c>
      <c r="B31" s="81" t="s">
        <v>219</v>
      </c>
      <c r="C31" s="82" t="s">
        <v>220</v>
      </c>
      <c r="D31" s="87">
        <v>1</v>
      </c>
      <c r="E31" s="87">
        <v>5</v>
      </c>
      <c r="F31" s="84">
        <v>105000</v>
      </c>
      <c r="G31" s="84">
        <f t="shared" si="0"/>
        <v>525000</v>
      </c>
      <c r="H31" s="81"/>
      <c r="I31" s="91"/>
      <c r="J31" s="88" t="s">
        <v>237</v>
      </c>
    </row>
    <row r="32" spans="1:10" s="36" customFormat="1" ht="14.1" customHeight="1" outlineLevel="2">
      <c r="A32" s="86" t="s">
        <v>238</v>
      </c>
      <c r="B32" s="81" t="s">
        <v>219</v>
      </c>
      <c r="C32" s="82" t="s">
        <v>220</v>
      </c>
      <c r="D32" s="87">
        <v>1</v>
      </c>
      <c r="E32" s="87">
        <v>5</v>
      </c>
      <c r="F32" s="84">
        <v>105000</v>
      </c>
      <c r="G32" s="84">
        <f t="shared" si="0"/>
        <v>525000</v>
      </c>
      <c r="H32" s="81"/>
      <c r="I32" s="91"/>
      <c r="J32" s="88" t="s">
        <v>239</v>
      </c>
    </row>
    <row r="33" spans="1:10" s="36" customFormat="1" ht="14.1" customHeight="1" outlineLevel="2">
      <c r="A33" s="86" t="s">
        <v>240</v>
      </c>
      <c r="B33" s="81" t="s">
        <v>219</v>
      </c>
      <c r="C33" s="82" t="s">
        <v>220</v>
      </c>
      <c r="D33" s="87">
        <v>1</v>
      </c>
      <c r="E33" s="87">
        <v>5</v>
      </c>
      <c r="F33" s="84">
        <v>105000</v>
      </c>
      <c r="G33" s="84">
        <f t="shared" si="0"/>
        <v>525000</v>
      </c>
      <c r="H33" s="81"/>
      <c r="I33" s="91"/>
      <c r="J33" s="88" t="s">
        <v>241</v>
      </c>
    </row>
    <row r="34" spans="1:10" s="36" customFormat="1" ht="14.1" customHeight="1" outlineLevel="1">
      <c r="A34" s="86"/>
      <c r="B34" s="81"/>
      <c r="C34" s="89" t="s">
        <v>323</v>
      </c>
      <c r="D34" s="87">
        <f>SUBTOTAL(9,D3:D33)</f>
        <v>36</v>
      </c>
      <c r="E34" s="87">
        <f>SUBTOTAL(9,E3:E33)</f>
        <v>195</v>
      </c>
      <c r="F34" s="84"/>
      <c r="G34" s="84">
        <f>SUBTOTAL(9,G3:G33)</f>
        <v>20475000</v>
      </c>
      <c r="H34" s="81"/>
      <c r="I34" s="91"/>
      <c r="J34" s="88"/>
    </row>
  </sheetData>
  <autoFilter ref="A2:J34"/>
  <mergeCells count="1">
    <mergeCell ref="A1:J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landscape" r:id="rId1"/>
  <headerFooter>
    <oddFooter>第 &amp;P 页，共 &amp;N 页</oddFooter>
  </headerFooter>
  <legacy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AO23"/>
  <sheetViews>
    <sheetView topLeftCell="B1" workbookViewId="0">
      <pane xSplit="2" ySplit="1" topLeftCell="D2" activePane="bottomRight" state="frozen"/>
      <selection activeCell="I3" sqref="I1:I1048576"/>
      <selection pane="topRight" activeCell="I3" sqref="I1:I1048576"/>
      <selection pane="bottomLeft" activeCell="I3" sqref="I1:I1048576"/>
      <selection pane="bottomRight" activeCell="I3" sqref="I1:I1048576"/>
    </sheetView>
  </sheetViews>
  <sheetFormatPr defaultColWidth="9" defaultRowHeight="11.25"/>
  <cols>
    <col min="1" max="1" width="8.125" style="39" hidden="1" customWidth="1"/>
    <col min="2" max="2" width="20.375" style="39" customWidth="1"/>
    <col min="3" max="3" width="5.75" style="39" customWidth="1"/>
    <col min="4" max="4" width="9.75" style="39" hidden="1" customWidth="1"/>
    <col min="5" max="18" width="9" style="39" hidden="1" customWidth="1"/>
    <col min="19" max="19" width="9" style="53" hidden="1" customWidth="1"/>
    <col min="20" max="23" width="9" style="39" hidden="1" customWidth="1"/>
    <col min="24" max="24" width="9" style="53" hidden="1" customWidth="1"/>
    <col min="25" max="25" width="8.375" style="39" customWidth="1"/>
    <col min="26" max="26" width="9.625" style="39" customWidth="1"/>
    <col min="27" max="27" width="9.375" style="39" customWidth="1"/>
    <col min="28" max="28" width="12.5" style="39" customWidth="1"/>
    <col min="29" max="29" width="9.875" style="39" customWidth="1"/>
    <col min="30" max="30" width="11.625" style="39" customWidth="1"/>
    <col min="31" max="31" width="10.5" style="39" customWidth="1"/>
    <col min="32" max="32" width="10.875" style="39" customWidth="1"/>
    <col min="33" max="33" width="11.375" style="39" customWidth="1"/>
    <col min="34" max="34" width="11.625" style="39" customWidth="1"/>
    <col min="35" max="35" width="11.375" style="39" customWidth="1"/>
    <col min="36" max="36" width="9.5" style="39" bestFit="1" customWidth="1"/>
    <col min="37" max="37" width="11" style="39" customWidth="1"/>
    <col min="38" max="38" width="12.125" style="39" customWidth="1"/>
    <col min="39" max="39" width="12.5" style="49" customWidth="1"/>
    <col min="40" max="40" width="10.5" style="68" customWidth="1"/>
    <col min="41" max="41" width="13" style="69" bestFit="1" customWidth="1"/>
    <col min="42" max="16384" width="9" style="39"/>
  </cols>
  <sheetData>
    <row r="1" spans="1:41" ht="18.75">
      <c r="A1" s="163" t="s">
        <v>333</v>
      </c>
      <c r="B1" s="164"/>
      <c r="C1" s="164"/>
      <c r="D1" s="164"/>
      <c r="E1" s="164"/>
      <c r="F1" s="164"/>
      <c r="G1" s="164"/>
      <c r="H1" s="164"/>
      <c r="I1" s="164"/>
      <c r="J1" s="164"/>
      <c r="K1" s="164"/>
      <c r="L1" s="164"/>
      <c r="M1" s="164"/>
      <c r="N1" s="164"/>
      <c r="O1" s="164"/>
      <c r="P1" s="164"/>
      <c r="Q1" s="164"/>
      <c r="R1" s="164"/>
      <c r="S1" s="164"/>
      <c r="T1" s="164"/>
      <c r="U1" s="164"/>
      <c r="V1" s="164"/>
      <c r="W1" s="164"/>
      <c r="X1" s="164"/>
      <c r="Y1" s="164"/>
      <c r="Z1" s="164"/>
      <c r="AA1" s="164"/>
      <c r="AB1" s="164"/>
      <c r="AC1" s="164"/>
      <c r="AD1" s="164"/>
      <c r="AE1" s="164"/>
      <c r="AF1" s="164"/>
      <c r="AG1" s="164"/>
      <c r="AH1" s="164"/>
      <c r="AI1" s="164"/>
      <c r="AJ1" s="164"/>
      <c r="AK1" s="164"/>
      <c r="AL1" s="164"/>
      <c r="AM1" s="164"/>
      <c r="AN1" s="165"/>
      <c r="AO1" s="165"/>
    </row>
    <row r="2" spans="1:41" ht="11.25" customHeight="1">
      <c r="A2" s="166" t="s">
        <v>266</v>
      </c>
      <c r="B2" s="166" t="s">
        <v>267</v>
      </c>
      <c r="C2" s="166" t="s">
        <v>325</v>
      </c>
      <c r="D2" s="166" t="s">
        <v>268</v>
      </c>
      <c r="E2" s="166" t="s">
        <v>269</v>
      </c>
      <c r="F2" s="166"/>
      <c r="G2" s="166"/>
      <c r="H2" s="166"/>
      <c r="I2" s="166"/>
      <c r="J2" s="166" t="s">
        <v>334</v>
      </c>
      <c r="K2" s="166"/>
      <c r="L2" s="166"/>
      <c r="M2" s="166"/>
      <c r="N2" s="166"/>
      <c r="O2" s="167" t="s">
        <v>270</v>
      </c>
      <c r="P2" s="167"/>
      <c r="Q2" s="167"/>
      <c r="R2" s="167"/>
      <c r="S2" s="167"/>
      <c r="T2" s="167" t="s">
        <v>271</v>
      </c>
      <c r="U2" s="167"/>
      <c r="V2" s="167"/>
      <c r="W2" s="167"/>
      <c r="X2" s="167"/>
      <c r="Y2" s="167" t="s">
        <v>272</v>
      </c>
      <c r="Z2" s="167"/>
      <c r="AA2" s="167"/>
      <c r="AB2" s="167"/>
      <c r="AC2" s="167"/>
      <c r="AD2" s="166" t="s">
        <v>335</v>
      </c>
      <c r="AE2" s="166"/>
      <c r="AF2" s="166"/>
      <c r="AG2" s="166"/>
      <c r="AH2" s="166"/>
      <c r="AI2" s="166"/>
      <c r="AJ2" s="166"/>
      <c r="AK2" s="166"/>
      <c r="AL2" s="166"/>
      <c r="AM2" s="166"/>
      <c r="AN2" s="161" t="s">
        <v>336</v>
      </c>
      <c r="AO2" s="161" t="s">
        <v>142</v>
      </c>
    </row>
    <row r="3" spans="1:41" ht="33.75">
      <c r="A3" s="166"/>
      <c r="B3" s="166"/>
      <c r="C3" s="166"/>
      <c r="D3" s="166"/>
      <c r="E3" s="40" t="s">
        <v>273</v>
      </c>
      <c r="F3" s="40" t="s">
        <v>274</v>
      </c>
      <c r="G3" s="40" t="s">
        <v>275</v>
      </c>
      <c r="H3" s="40" t="s">
        <v>276</v>
      </c>
      <c r="I3" s="93" t="s">
        <v>7</v>
      </c>
      <c r="J3" s="40" t="s">
        <v>273</v>
      </c>
      <c r="K3" s="40" t="s">
        <v>274</v>
      </c>
      <c r="L3" s="40" t="s">
        <v>275</v>
      </c>
      <c r="M3" s="40" t="s">
        <v>276</v>
      </c>
      <c r="N3" s="93" t="s">
        <v>7</v>
      </c>
      <c r="O3" s="40" t="s">
        <v>273</v>
      </c>
      <c r="P3" s="40" t="s">
        <v>274</v>
      </c>
      <c r="Q3" s="40" t="s">
        <v>275</v>
      </c>
      <c r="R3" s="40" t="s">
        <v>276</v>
      </c>
      <c r="S3" s="51" t="s">
        <v>7</v>
      </c>
      <c r="T3" s="40" t="s">
        <v>273</v>
      </c>
      <c r="U3" s="40" t="s">
        <v>274</v>
      </c>
      <c r="V3" s="40" t="s">
        <v>275</v>
      </c>
      <c r="W3" s="40" t="s">
        <v>276</v>
      </c>
      <c r="X3" s="51" t="s">
        <v>7</v>
      </c>
      <c r="Y3" s="40" t="s">
        <v>273</v>
      </c>
      <c r="Z3" s="40" t="s">
        <v>274</v>
      </c>
      <c r="AA3" s="40" t="s">
        <v>275</v>
      </c>
      <c r="AB3" s="40" t="s">
        <v>276</v>
      </c>
      <c r="AC3" s="93" t="s">
        <v>7</v>
      </c>
      <c r="AD3" s="40" t="s">
        <v>277</v>
      </c>
      <c r="AE3" s="40" t="s">
        <v>278</v>
      </c>
      <c r="AF3" s="40" t="s">
        <v>279</v>
      </c>
      <c r="AG3" s="40" t="s">
        <v>280</v>
      </c>
      <c r="AH3" s="40" t="s">
        <v>281</v>
      </c>
      <c r="AI3" s="40" t="s">
        <v>337</v>
      </c>
      <c r="AJ3" s="40" t="s">
        <v>338</v>
      </c>
      <c r="AK3" s="40" t="s">
        <v>297</v>
      </c>
      <c r="AL3" s="40" t="s">
        <v>282</v>
      </c>
      <c r="AM3" s="46" t="s">
        <v>339</v>
      </c>
      <c r="AN3" s="162"/>
      <c r="AO3" s="162"/>
    </row>
    <row r="4" spans="1:41" s="45" customFormat="1" ht="18" customHeight="1">
      <c r="A4" s="41" t="s">
        <v>2</v>
      </c>
      <c r="B4" s="42" t="s">
        <v>284</v>
      </c>
      <c r="C4" s="42" t="s">
        <v>283</v>
      </c>
      <c r="D4" s="43">
        <v>2</v>
      </c>
      <c r="E4" s="48">
        <v>1.8290598290597999</v>
      </c>
      <c r="F4" s="48">
        <v>3</v>
      </c>
      <c r="G4" s="48">
        <v>29.287500000000001</v>
      </c>
      <c r="H4" s="48">
        <v>2</v>
      </c>
      <c r="I4" s="44">
        <f t="shared" ref="I4:I22" si="0">SUM(E4:H4)</f>
        <v>36.116559829059803</v>
      </c>
      <c r="J4" s="43">
        <v>4</v>
      </c>
      <c r="K4" s="43">
        <v>1</v>
      </c>
      <c r="L4" s="43">
        <v>2</v>
      </c>
      <c r="M4" s="43">
        <v>0</v>
      </c>
      <c r="N4" s="44">
        <f t="shared" ref="N4:N22" si="1">SUM(J4:M4)</f>
        <v>7</v>
      </c>
      <c r="O4" s="44">
        <f t="shared" ref="O4:R22" si="2">E4+J4</f>
        <v>5.8290598290597995</v>
      </c>
      <c r="P4" s="44">
        <f t="shared" si="2"/>
        <v>4</v>
      </c>
      <c r="Q4" s="44">
        <f t="shared" si="2"/>
        <v>31.287500000000001</v>
      </c>
      <c r="R4" s="44">
        <f t="shared" si="2"/>
        <v>2</v>
      </c>
      <c r="S4" s="52">
        <f t="shared" ref="S4:S22" si="3">SUM(O4:R4)</f>
        <v>43.116559829059803</v>
      </c>
      <c r="T4" s="43">
        <v>6</v>
      </c>
      <c r="U4" s="43">
        <v>4</v>
      </c>
      <c r="V4" s="43">
        <v>31</v>
      </c>
      <c r="W4" s="43">
        <v>2</v>
      </c>
      <c r="X4" s="52">
        <f t="shared" ref="X4:X22" si="4">SUM(T4:W4)</f>
        <v>43</v>
      </c>
      <c r="Y4" s="43">
        <v>6</v>
      </c>
      <c r="Z4" s="43">
        <v>4</v>
      </c>
      <c r="AA4" s="43">
        <v>31</v>
      </c>
      <c r="AB4" s="43">
        <v>2</v>
      </c>
      <c r="AC4" s="44">
        <f t="shared" ref="AC4:AC22" si="5">SUM(Y4:AB4)</f>
        <v>43</v>
      </c>
      <c r="AD4" s="44">
        <f t="shared" ref="AD4:AD13" si="6">(Y4*7050+Z4*6485+AA4*5800+AB4*4900)*12</f>
        <v>3094080</v>
      </c>
      <c r="AE4" s="44">
        <f t="shared" ref="AE4:AE22" si="7">AC4*4320</f>
        <v>185760</v>
      </c>
      <c r="AF4" s="44">
        <f t="shared" ref="AF4:AF22" si="8">AC4*6000</f>
        <v>258000</v>
      </c>
      <c r="AG4" s="44">
        <f t="shared" ref="AG4:AG22" si="9">AC4*2400</f>
        <v>103200</v>
      </c>
      <c r="AH4" s="44">
        <f t="shared" ref="AH4:AH22" si="10">AC4*9400</f>
        <v>404200</v>
      </c>
      <c r="AI4" s="44">
        <f t="shared" ref="AI4:AI22" si="11">AC4*800</f>
        <v>34400</v>
      </c>
      <c r="AJ4" s="44">
        <f t="shared" ref="AJ4:AJ22" si="12">D4*50*200</f>
        <v>20000</v>
      </c>
      <c r="AK4" s="44">
        <f t="shared" ref="AK4:AK22" si="13">AC4*960</f>
        <v>41280</v>
      </c>
      <c r="AL4" s="44">
        <f t="shared" ref="AL4:AL22" si="14">ROUND((7384*0.34256*AC4*12),2)</f>
        <v>1305202.93</v>
      </c>
      <c r="AM4" s="44">
        <f t="shared" ref="AM4:AM22" si="15">ROUND(SUM(AD4:AL4),0)</f>
        <v>5446123</v>
      </c>
      <c r="AN4" s="66"/>
      <c r="AO4" s="44">
        <f>AM4+AN4</f>
        <v>5446123</v>
      </c>
    </row>
    <row r="5" spans="1:41" ht="18" customHeight="1">
      <c r="A5" s="41" t="s">
        <v>2</v>
      </c>
      <c r="B5" s="42" t="s">
        <v>285</v>
      </c>
      <c r="C5" s="42" t="s">
        <v>283</v>
      </c>
      <c r="D5" s="43">
        <v>1</v>
      </c>
      <c r="E5" s="48">
        <v>0</v>
      </c>
      <c r="F5" s="48">
        <v>2</v>
      </c>
      <c r="G5" s="48">
        <v>17.1875</v>
      </c>
      <c r="H5" s="48">
        <v>2</v>
      </c>
      <c r="I5" s="44">
        <f t="shared" si="0"/>
        <v>21.1875</v>
      </c>
      <c r="J5" s="43">
        <v>4</v>
      </c>
      <c r="K5" s="43">
        <v>0</v>
      </c>
      <c r="L5" s="43">
        <v>0</v>
      </c>
      <c r="M5" s="43">
        <v>0</v>
      </c>
      <c r="N5" s="44">
        <f t="shared" si="1"/>
        <v>4</v>
      </c>
      <c r="O5" s="44">
        <f t="shared" si="2"/>
        <v>4</v>
      </c>
      <c r="P5" s="44">
        <f t="shared" si="2"/>
        <v>2</v>
      </c>
      <c r="Q5" s="44">
        <f t="shared" si="2"/>
        <v>17.1875</v>
      </c>
      <c r="R5" s="44">
        <f t="shared" si="2"/>
        <v>2</v>
      </c>
      <c r="S5" s="52">
        <f t="shared" si="3"/>
        <v>25.1875</v>
      </c>
      <c r="T5" s="43">
        <v>4</v>
      </c>
      <c r="U5" s="43">
        <v>2</v>
      </c>
      <c r="V5" s="43">
        <v>18</v>
      </c>
      <c r="W5" s="43">
        <v>1</v>
      </c>
      <c r="X5" s="52">
        <f t="shared" si="4"/>
        <v>25</v>
      </c>
      <c r="Y5" s="43">
        <v>4</v>
      </c>
      <c r="Z5" s="43">
        <v>2</v>
      </c>
      <c r="AA5" s="43">
        <v>18</v>
      </c>
      <c r="AB5" s="43">
        <v>1</v>
      </c>
      <c r="AC5" s="44">
        <f t="shared" si="5"/>
        <v>25</v>
      </c>
      <c r="AD5" s="44">
        <f t="shared" si="6"/>
        <v>1805640</v>
      </c>
      <c r="AE5" s="44">
        <f t="shared" si="7"/>
        <v>108000</v>
      </c>
      <c r="AF5" s="44">
        <f t="shared" si="8"/>
        <v>150000</v>
      </c>
      <c r="AG5" s="44">
        <f t="shared" si="9"/>
        <v>60000</v>
      </c>
      <c r="AH5" s="44">
        <f t="shared" si="10"/>
        <v>235000</v>
      </c>
      <c r="AI5" s="44">
        <f t="shared" si="11"/>
        <v>20000</v>
      </c>
      <c r="AJ5" s="44">
        <f t="shared" si="12"/>
        <v>10000</v>
      </c>
      <c r="AK5" s="44">
        <f t="shared" si="13"/>
        <v>24000</v>
      </c>
      <c r="AL5" s="44">
        <f t="shared" si="14"/>
        <v>758838.91</v>
      </c>
      <c r="AM5" s="44">
        <f t="shared" si="15"/>
        <v>3171479</v>
      </c>
      <c r="AN5" s="65"/>
      <c r="AO5" s="44">
        <f t="shared" ref="AO5:AO22" si="16">AM5+AN5</f>
        <v>3171479</v>
      </c>
    </row>
    <row r="6" spans="1:41" s="45" customFormat="1" ht="18" customHeight="1">
      <c r="A6" s="41" t="s">
        <v>2</v>
      </c>
      <c r="B6" s="42" t="s">
        <v>286</v>
      </c>
      <c r="C6" s="42" t="s">
        <v>283</v>
      </c>
      <c r="D6" s="43">
        <v>2</v>
      </c>
      <c r="E6" s="48">
        <v>0</v>
      </c>
      <c r="F6" s="48">
        <v>1</v>
      </c>
      <c r="G6" s="48">
        <v>20.574999999999999</v>
      </c>
      <c r="H6" s="48">
        <v>2</v>
      </c>
      <c r="I6" s="44">
        <f t="shared" si="0"/>
        <v>23.574999999999999</v>
      </c>
      <c r="J6" s="43">
        <v>1</v>
      </c>
      <c r="K6" s="43">
        <v>0</v>
      </c>
      <c r="L6" s="43">
        <v>0</v>
      </c>
      <c r="M6" s="43">
        <v>0</v>
      </c>
      <c r="N6" s="44">
        <f t="shared" si="1"/>
        <v>1</v>
      </c>
      <c r="O6" s="44">
        <f t="shared" si="2"/>
        <v>1</v>
      </c>
      <c r="P6" s="44">
        <f t="shared" si="2"/>
        <v>1</v>
      </c>
      <c r="Q6" s="44">
        <f t="shared" si="2"/>
        <v>20.574999999999999</v>
      </c>
      <c r="R6" s="44">
        <f t="shared" si="2"/>
        <v>2</v>
      </c>
      <c r="S6" s="52">
        <f t="shared" si="3"/>
        <v>24.574999999999999</v>
      </c>
      <c r="T6" s="43">
        <v>1</v>
      </c>
      <c r="U6" s="43">
        <v>1</v>
      </c>
      <c r="V6" s="43">
        <v>21</v>
      </c>
      <c r="W6" s="43">
        <v>2</v>
      </c>
      <c r="X6" s="52">
        <f t="shared" si="4"/>
        <v>25</v>
      </c>
      <c r="Y6" s="43">
        <v>1</v>
      </c>
      <c r="Z6" s="43">
        <v>1</v>
      </c>
      <c r="AA6" s="43">
        <v>20.574999999999999</v>
      </c>
      <c r="AB6" s="43">
        <v>2</v>
      </c>
      <c r="AC6" s="44">
        <f t="shared" si="5"/>
        <v>24.574999999999999</v>
      </c>
      <c r="AD6" s="44">
        <f t="shared" si="6"/>
        <v>1712040</v>
      </c>
      <c r="AE6" s="44">
        <f t="shared" si="7"/>
        <v>106164</v>
      </c>
      <c r="AF6" s="44">
        <f t="shared" si="8"/>
        <v>147450</v>
      </c>
      <c r="AG6" s="44">
        <f t="shared" si="9"/>
        <v>58980</v>
      </c>
      <c r="AH6" s="44">
        <f t="shared" si="10"/>
        <v>231005</v>
      </c>
      <c r="AI6" s="44">
        <f t="shared" si="11"/>
        <v>19660</v>
      </c>
      <c r="AJ6" s="44">
        <f t="shared" si="12"/>
        <v>20000</v>
      </c>
      <c r="AK6" s="44">
        <f t="shared" si="13"/>
        <v>23592</v>
      </c>
      <c r="AL6" s="44">
        <f t="shared" si="14"/>
        <v>745938.65</v>
      </c>
      <c r="AM6" s="44">
        <f t="shared" si="15"/>
        <v>3064830</v>
      </c>
      <c r="AN6" s="66"/>
      <c r="AO6" s="44">
        <f t="shared" si="16"/>
        <v>3064830</v>
      </c>
    </row>
    <row r="7" spans="1:41" s="45" customFormat="1" ht="18" customHeight="1">
      <c r="A7" s="41" t="s">
        <v>2</v>
      </c>
      <c r="B7" s="42" t="s">
        <v>287</v>
      </c>
      <c r="C7" s="42" t="s">
        <v>283</v>
      </c>
      <c r="D7" s="43">
        <v>5</v>
      </c>
      <c r="E7" s="48">
        <v>0</v>
      </c>
      <c r="F7" s="48">
        <v>0</v>
      </c>
      <c r="G7" s="48">
        <v>46.787500000000001</v>
      </c>
      <c r="H7" s="48">
        <v>3</v>
      </c>
      <c r="I7" s="44">
        <f t="shared" si="0"/>
        <v>49.787500000000001</v>
      </c>
      <c r="J7" s="43">
        <v>0</v>
      </c>
      <c r="K7" s="43">
        <v>0</v>
      </c>
      <c r="L7" s="43">
        <v>0</v>
      </c>
      <c r="M7" s="43">
        <v>0</v>
      </c>
      <c r="N7" s="44">
        <f t="shared" si="1"/>
        <v>0</v>
      </c>
      <c r="O7" s="44">
        <f t="shared" si="2"/>
        <v>0</v>
      </c>
      <c r="P7" s="44">
        <f t="shared" si="2"/>
        <v>0</v>
      </c>
      <c r="Q7" s="44">
        <f t="shared" si="2"/>
        <v>46.787500000000001</v>
      </c>
      <c r="R7" s="44">
        <f t="shared" si="2"/>
        <v>3</v>
      </c>
      <c r="S7" s="52">
        <f t="shared" si="3"/>
        <v>49.787500000000001</v>
      </c>
      <c r="T7" s="43">
        <v>0</v>
      </c>
      <c r="U7" s="43">
        <v>0</v>
      </c>
      <c r="V7" s="43">
        <v>47</v>
      </c>
      <c r="W7" s="43">
        <v>5</v>
      </c>
      <c r="X7" s="52">
        <f t="shared" si="4"/>
        <v>52</v>
      </c>
      <c r="Y7" s="43">
        <v>0</v>
      </c>
      <c r="Z7" s="43">
        <v>0</v>
      </c>
      <c r="AA7" s="43">
        <v>46.787500000000001</v>
      </c>
      <c r="AB7" s="43">
        <v>3</v>
      </c>
      <c r="AC7" s="44">
        <f t="shared" si="5"/>
        <v>49.787500000000001</v>
      </c>
      <c r="AD7" s="44">
        <f t="shared" si="6"/>
        <v>3432810</v>
      </c>
      <c r="AE7" s="44">
        <f t="shared" si="7"/>
        <v>215082</v>
      </c>
      <c r="AF7" s="44">
        <f t="shared" si="8"/>
        <v>298725</v>
      </c>
      <c r="AG7" s="44">
        <f t="shared" si="9"/>
        <v>119490</v>
      </c>
      <c r="AH7" s="44">
        <f t="shared" si="10"/>
        <v>468002.5</v>
      </c>
      <c r="AI7" s="44">
        <f t="shared" si="11"/>
        <v>39830</v>
      </c>
      <c r="AJ7" s="44">
        <f t="shared" si="12"/>
        <v>50000</v>
      </c>
      <c r="AK7" s="44">
        <f t="shared" si="13"/>
        <v>47796</v>
      </c>
      <c r="AL7" s="44">
        <f t="shared" si="14"/>
        <v>1511227.69</v>
      </c>
      <c r="AM7" s="44">
        <f t="shared" si="15"/>
        <v>6182963</v>
      </c>
      <c r="AN7" s="66"/>
      <c r="AO7" s="44">
        <f t="shared" si="16"/>
        <v>6182963</v>
      </c>
    </row>
    <row r="8" spans="1:41" s="45" customFormat="1" ht="18" customHeight="1">
      <c r="A8" s="41" t="s">
        <v>2</v>
      </c>
      <c r="B8" s="42" t="s">
        <v>288</v>
      </c>
      <c r="C8" s="42" t="s">
        <v>283</v>
      </c>
      <c r="D8" s="43">
        <v>2</v>
      </c>
      <c r="E8" s="48">
        <v>0</v>
      </c>
      <c r="F8" s="48">
        <v>1</v>
      </c>
      <c r="G8" s="48">
        <v>19.5</v>
      </c>
      <c r="H8" s="48">
        <v>1</v>
      </c>
      <c r="I8" s="44">
        <f t="shared" si="0"/>
        <v>21.5</v>
      </c>
      <c r="J8" s="43">
        <v>0</v>
      </c>
      <c r="K8" s="43">
        <v>0</v>
      </c>
      <c r="L8" s="43">
        <v>0</v>
      </c>
      <c r="M8" s="43">
        <v>0</v>
      </c>
      <c r="N8" s="44">
        <f t="shared" si="1"/>
        <v>0</v>
      </c>
      <c r="O8" s="44">
        <f t="shared" si="2"/>
        <v>0</v>
      </c>
      <c r="P8" s="44">
        <f t="shared" si="2"/>
        <v>1</v>
      </c>
      <c r="Q8" s="44">
        <f t="shared" si="2"/>
        <v>19.5</v>
      </c>
      <c r="R8" s="44">
        <f t="shared" si="2"/>
        <v>1</v>
      </c>
      <c r="S8" s="52">
        <f t="shared" si="3"/>
        <v>21.5</v>
      </c>
      <c r="T8" s="43">
        <v>0</v>
      </c>
      <c r="U8" s="43">
        <v>1</v>
      </c>
      <c r="V8" s="43">
        <v>20</v>
      </c>
      <c r="W8" s="43">
        <v>1</v>
      </c>
      <c r="X8" s="52">
        <f t="shared" si="4"/>
        <v>22</v>
      </c>
      <c r="Y8" s="43">
        <v>0</v>
      </c>
      <c r="Z8" s="43">
        <v>1</v>
      </c>
      <c r="AA8" s="43">
        <v>19.5</v>
      </c>
      <c r="AB8" s="43">
        <v>1</v>
      </c>
      <c r="AC8" s="44">
        <f t="shared" si="5"/>
        <v>21.5</v>
      </c>
      <c r="AD8" s="44">
        <f t="shared" si="6"/>
        <v>1493820</v>
      </c>
      <c r="AE8" s="44">
        <f t="shared" si="7"/>
        <v>92880</v>
      </c>
      <c r="AF8" s="44">
        <f t="shared" si="8"/>
        <v>129000</v>
      </c>
      <c r="AG8" s="44">
        <f t="shared" si="9"/>
        <v>51600</v>
      </c>
      <c r="AH8" s="44">
        <f t="shared" si="10"/>
        <v>202100</v>
      </c>
      <c r="AI8" s="44">
        <f t="shared" si="11"/>
        <v>17200</v>
      </c>
      <c r="AJ8" s="44">
        <f t="shared" si="12"/>
        <v>20000</v>
      </c>
      <c r="AK8" s="44">
        <f t="shared" si="13"/>
        <v>20640</v>
      </c>
      <c r="AL8" s="44">
        <f t="shared" si="14"/>
        <v>652601.46</v>
      </c>
      <c r="AM8" s="44">
        <f t="shared" si="15"/>
        <v>2679841</v>
      </c>
      <c r="AN8" s="66"/>
      <c r="AO8" s="44">
        <f t="shared" si="16"/>
        <v>2679841</v>
      </c>
    </row>
    <row r="9" spans="1:41" ht="18" customHeight="1">
      <c r="A9" s="41" t="s">
        <v>2</v>
      </c>
      <c r="B9" s="42" t="s">
        <v>137</v>
      </c>
      <c r="C9" s="42" t="s">
        <v>327</v>
      </c>
      <c r="D9" s="43"/>
      <c r="E9" s="48">
        <v>27.655172413793</v>
      </c>
      <c r="F9" s="48">
        <v>13.5</v>
      </c>
      <c r="G9" s="48">
        <v>0</v>
      </c>
      <c r="H9" s="48">
        <v>8</v>
      </c>
      <c r="I9" s="44">
        <f t="shared" si="0"/>
        <v>49.155172413792997</v>
      </c>
      <c r="J9" s="43">
        <v>0</v>
      </c>
      <c r="K9" s="43">
        <v>0</v>
      </c>
      <c r="L9" s="43">
        <v>0</v>
      </c>
      <c r="M9" s="43">
        <v>0</v>
      </c>
      <c r="N9" s="44">
        <f t="shared" si="1"/>
        <v>0</v>
      </c>
      <c r="O9" s="44">
        <f t="shared" si="2"/>
        <v>27.655172413793</v>
      </c>
      <c r="P9" s="44">
        <f t="shared" si="2"/>
        <v>13.5</v>
      </c>
      <c r="Q9" s="44">
        <f t="shared" si="2"/>
        <v>0</v>
      </c>
      <c r="R9" s="44">
        <f t="shared" si="2"/>
        <v>8</v>
      </c>
      <c r="S9" s="52">
        <f t="shared" si="3"/>
        <v>49.155172413792997</v>
      </c>
      <c r="T9" s="43">
        <v>6</v>
      </c>
      <c r="U9" s="43">
        <v>4</v>
      </c>
      <c r="V9" s="43">
        <v>0</v>
      </c>
      <c r="W9" s="43">
        <v>9</v>
      </c>
      <c r="X9" s="52">
        <f t="shared" si="4"/>
        <v>19</v>
      </c>
      <c r="Y9" s="43">
        <v>6</v>
      </c>
      <c r="Z9" s="43">
        <v>4</v>
      </c>
      <c r="AA9" s="43">
        <v>0</v>
      </c>
      <c r="AB9" s="43">
        <v>9</v>
      </c>
      <c r="AC9" s="44">
        <f t="shared" si="5"/>
        <v>19</v>
      </c>
      <c r="AD9" s="44">
        <f t="shared" si="6"/>
        <v>1348080</v>
      </c>
      <c r="AE9" s="44">
        <f t="shared" si="7"/>
        <v>82080</v>
      </c>
      <c r="AF9" s="44">
        <f t="shared" si="8"/>
        <v>114000</v>
      </c>
      <c r="AG9" s="44">
        <f t="shared" si="9"/>
        <v>45600</v>
      </c>
      <c r="AH9" s="44">
        <f t="shared" si="10"/>
        <v>178600</v>
      </c>
      <c r="AI9" s="44">
        <f t="shared" si="11"/>
        <v>15200</v>
      </c>
      <c r="AJ9" s="44">
        <f t="shared" si="12"/>
        <v>0</v>
      </c>
      <c r="AK9" s="44">
        <f t="shared" si="13"/>
        <v>18240</v>
      </c>
      <c r="AL9" s="44">
        <f t="shared" si="14"/>
        <v>576717.56999999995</v>
      </c>
      <c r="AM9" s="44">
        <f t="shared" si="15"/>
        <v>2378518</v>
      </c>
      <c r="AN9" s="65">
        <v>158478</v>
      </c>
      <c r="AO9" s="66">
        <f t="shared" si="16"/>
        <v>2536996</v>
      </c>
    </row>
    <row r="10" spans="1:41" ht="18" customHeight="1">
      <c r="A10" s="41" t="s">
        <v>2</v>
      </c>
      <c r="B10" s="42" t="s">
        <v>136</v>
      </c>
      <c r="C10" s="42" t="s">
        <v>327</v>
      </c>
      <c r="D10" s="43"/>
      <c r="E10" s="48">
        <v>0</v>
      </c>
      <c r="F10" s="48">
        <v>8</v>
      </c>
      <c r="G10" s="48">
        <v>0</v>
      </c>
      <c r="H10" s="48">
        <v>5</v>
      </c>
      <c r="I10" s="44">
        <f t="shared" si="0"/>
        <v>13</v>
      </c>
      <c r="J10" s="43">
        <v>0</v>
      </c>
      <c r="K10" s="43">
        <v>0</v>
      </c>
      <c r="L10" s="43">
        <v>0</v>
      </c>
      <c r="M10" s="43">
        <v>0</v>
      </c>
      <c r="N10" s="44">
        <f t="shared" si="1"/>
        <v>0</v>
      </c>
      <c r="O10" s="44">
        <f t="shared" si="2"/>
        <v>0</v>
      </c>
      <c r="P10" s="44">
        <f t="shared" si="2"/>
        <v>8</v>
      </c>
      <c r="Q10" s="44">
        <f t="shared" si="2"/>
        <v>0</v>
      </c>
      <c r="R10" s="44">
        <f t="shared" si="2"/>
        <v>5</v>
      </c>
      <c r="S10" s="52">
        <f t="shared" si="3"/>
        <v>13</v>
      </c>
      <c r="T10" s="43">
        <v>6</v>
      </c>
      <c r="U10" s="43">
        <v>2</v>
      </c>
      <c r="V10" s="43">
        <v>0</v>
      </c>
      <c r="W10" s="43">
        <v>4</v>
      </c>
      <c r="X10" s="52">
        <f t="shared" si="4"/>
        <v>12</v>
      </c>
      <c r="Y10" s="43">
        <v>6</v>
      </c>
      <c r="Z10" s="43">
        <v>2</v>
      </c>
      <c r="AA10" s="43">
        <v>0</v>
      </c>
      <c r="AB10" s="43">
        <v>4</v>
      </c>
      <c r="AC10" s="44">
        <f t="shared" si="5"/>
        <v>12</v>
      </c>
      <c r="AD10" s="44">
        <f t="shared" si="6"/>
        <v>898440</v>
      </c>
      <c r="AE10" s="44">
        <f t="shared" si="7"/>
        <v>51840</v>
      </c>
      <c r="AF10" s="44">
        <f t="shared" si="8"/>
        <v>72000</v>
      </c>
      <c r="AG10" s="44">
        <f t="shared" si="9"/>
        <v>28800</v>
      </c>
      <c r="AH10" s="44">
        <f t="shared" si="10"/>
        <v>112800</v>
      </c>
      <c r="AI10" s="44">
        <f t="shared" si="11"/>
        <v>9600</v>
      </c>
      <c r="AJ10" s="44">
        <f t="shared" si="12"/>
        <v>0</v>
      </c>
      <c r="AK10" s="44">
        <f t="shared" si="13"/>
        <v>11520</v>
      </c>
      <c r="AL10" s="44">
        <f t="shared" si="14"/>
        <v>364242.68</v>
      </c>
      <c r="AM10" s="44">
        <f t="shared" si="15"/>
        <v>1549243</v>
      </c>
      <c r="AN10" s="65">
        <v>20400</v>
      </c>
      <c r="AO10" s="66">
        <f t="shared" si="16"/>
        <v>1569643</v>
      </c>
    </row>
    <row r="11" spans="1:41" ht="18" customHeight="1">
      <c r="A11" s="41" t="s">
        <v>2</v>
      </c>
      <c r="B11" s="42" t="s">
        <v>140</v>
      </c>
      <c r="C11" s="42" t="s">
        <v>327</v>
      </c>
      <c r="D11" s="43"/>
      <c r="E11" s="48">
        <v>16.344827586207</v>
      </c>
      <c r="F11" s="48">
        <v>13.5</v>
      </c>
      <c r="G11" s="48">
        <v>0</v>
      </c>
      <c r="H11" s="48">
        <v>8</v>
      </c>
      <c r="I11" s="44">
        <f t="shared" si="0"/>
        <v>37.844827586207003</v>
      </c>
      <c r="J11" s="43">
        <v>0</v>
      </c>
      <c r="K11" s="43">
        <v>0</v>
      </c>
      <c r="L11" s="43">
        <v>0</v>
      </c>
      <c r="M11" s="43">
        <v>0</v>
      </c>
      <c r="N11" s="44">
        <f t="shared" si="1"/>
        <v>0</v>
      </c>
      <c r="O11" s="44">
        <f t="shared" si="2"/>
        <v>16.344827586207</v>
      </c>
      <c r="P11" s="44">
        <f t="shared" si="2"/>
        <v>13.5</v>
      </c>
      <c r="Q11" s="44">
        <f t="shared" si="2"/>
        <v>0</v>
      </c>
      <c r="R11" s="44">
        <f t="shared" si="2"/>
        <v>8</v>
      </c>
      <c r="S11" s="52">
        <f t="shared" si="3"/>
        <v>37.844827586207003</v>
      </c>
      <c r="T11" s="43">
        <v>6</v>
      </c>
      <c r="U11" s="43">
        <v>9</v>
      </c>
      <c r="V11" s="43">
        <v>0</v>
      </c>
      <c r="W11" s="43">
        <v>8</v>
      </c>
      <c r="X11" s="52">
        <f t="shared" si="4"/>
        <v>23</v>
      </c>
      <c r="Y11" s="43">
        <v>6</v>
      </c>
      <c r="Z11" s="43">
        <v>9</v>
      </c>
      <c r="AA11" s="43">
        <v>0</v>
      </c>
      <c r="AB11" s="43">
        <v>8</v>
      </c>
      <c r="AC11" s="44">
        <f t="shared" si="5"/>
        <v>23</v>
      </c>
      <c r="AD11" s="44">
        <f t="shared" si="6"/>
        <v>1678380</v>
      </c>
      <c r="AE11" s="44">
        <f t="shared" si="7"/>
        <v>99360</v>
      </c>
      <c r="AF11" s="44">
        <f t="shared" si="8"/>
        <v>138000</v>
      </c>
      <c r="AG11" s="44">
        <f t="shared" si="9"/>
        <v>55200</v>
      </c>
      <c r="AH11" s="44">
        <f t="shared" si="10"/>
        <v>216200</v>
      </c>
      <c r="AI11" s="44">
        <f t="shared" si="11"/>
        <v>18400</v>
      </c>
      <c r="AJ11" s="44">
        <f t="shared" si="12"/>
        <v>0</v>
      </c>
      <c r="AK11" s="44">
        <f t="shared" si="13"/>
        <v>22080</v>
      </c>
      <c r="AL11" s="44">
        <f t="shared" si="14"/>
        <v>698131.8</v>
      </c>
      <c r="AM11" s="44">
        <f t="shared" si="15"/>
        <v>2925752</v>
      </c>
      <c r="AN11" s="65">
        <v>36465</v>
      </c>
      <c r="AO11" s="66">
        <f t="shared" si="16"/>
        <v>2962217</v>
      </c>
    </row>
    <row r="12" spans="1:41" ht="18" customHeight="1">
      <c r="A12" s="41" t="s">
        <v>2</v>
      </c>
      <c r="B12" s="42" t="s">
        <v>135</v>
      </c>
      <c r="C12" s="42" t="s">
        <v>327</v>
      </c>
      <c r="D12" s="43"/>
      <c r="E12" s="48">
        <v>44.448275862069003</v>
      </c>
      <c r="F12" s="48">
        <v>36</v>
      </c>
      <c r="G12" s="48">
        <v>0</v>
      </c>
      <c r="H12" s="48">
        <v>24</v>
      </c>
      <c r="I12" s="44">
        <f t="shared" si="0"/>
        <v>104.44827586206901</v>
      </c>
      <c r="J12" s="43">
        <v>0</v>
      </c>
      <c r="K12" s="43">
        <v>2</v>
      </c>
      <c r="L12" s="43">
        <v>0</v>
      </c>
      <c r="M12" s="43">
        <v>0</v>
      </c>
      <c r="N12" s="44">
        <f t="shared" si="1"/>
        <v>2</v>
      </c>
      <c r="O12" s="44">
        <f t="shared" si="2"/>
        <v>44.448275862069003</v>
      </c>
      <c r="P12" s="44">
        <f t="shared" si="2"/>
        <v>38</v>
      </c>
      <c r="Q12" s="44">
        <f t="shared" si="2"/>
        <v>0</v>
      </c>
      <c r="R12" s="44">
        <f t="shared" si="2"/>
        <v>24</v>
      </c>
      <c r="S12" s="52">
        <f t="shared" si="3"/>
        <v>106.44827586206901</v>
      </c>
      <c r="T12" s="43">
        <v>12</v>
      </c>
      <c r="U12" s="43">
        <v>9</v>
      </c>
      <c r="V12" s="43">
        <v>0</v>
      </c>
      <c r="W12" s="43">
        <v>22</v>
      </c>
      <c r="X12" s="52">
        <f t="shared" si="4"/>
        <v>43</v>
      </c>
      <c r="Y12" s="43">
        <v>12</v>
      </c>
      <c r="Z12" s="43">
        <v>9</v>
      </c>
      <c r="AA12" s="43">
        <v>0</v>
      </c>
      <c r="AB12" s="43">
        <v>22</v>
      </c>
      <c r="AC12" s="44">
        <f t="shared" si="5"/>
        <v>43</v>
      </c>
      <c r="AD12" s="44">
        <f t="shared" si="6"/>
        <v>3009180</v>
      </c>
      <c r="AE12" s="44">
        <f t="shared" si="7"/>
        <v>185760</v>
      </c>
      <c r="AF12" s="44">
        <f t="shared" si="8"/>
        <v>258000</v>
      </c>
      <c r="AG12" s="44">
        <f t="shared" si="9"/>
        <v>103200</v>
      </c>
      <c r="AH12" s="44">
        <f t="shared" si="10"/>
        <v>404200</v>
      </c>
      <c r="AI12" s="44">
        <f t="shared" si="11"/>
        <v>34400</v>
      </c>
      <c r="AJ12" s="44">
        <f t="shared" si="12"/>
        <v>0</v>
      </c>
      <c r="AK12" s="44">
        <f t="shared" si="13"/>
        <v>41280</v>
      </c>
      <c r="AL12" s="44">
        <f t="shared" si="14"/>
        <v>1305202.93</v>
      </c>
      <c r="AM12" s="44">
        <f t="shared" si="15"/>
        <v>5341223</v>
      </c>
      <c r="AN12" s="65">
        <v>64523.75</v>
      </c>
      <c r="AO12" s="66">
        <f t="shared" si="16"/>
        <v>5405746.75</v>
      </c>
    </row>
    <row r="13" spans="1:41" s="45" customFormat="1" ht="18" customHeight="1">
      <c r="A13" s="41" t="s">
        <v>2</v>
      </c>
      <c r="B13" s="42" t="s">
        <v>289</v>
      </c>
      <c r="C13" s="42" t="s">
        <v>327</v>
      </c>
      <c r="D13" s="43"/>
      <c r="E13" s="48">
        <v>0</v>
      </c>
      <c r="F13" s="48">
        <v>8</v>
      </c>
      <c r="G13" s="48">
        <v>0</v>
      </c>
      <c r="H13" s="48">
        <v>5</v>
      </c>
      <c r="I13" s="44">
        <f t="shared" si="0"/>
        <v>13</v>
      </c>
      <c r="J13" s="43">
        <v>1</v>
      </c>
      <c r="K13" s="43">
        <v>0</v>
      </c>
      <c r="L13" s="43">
        <v>0</v>
      </c>
      <c r="M13" s="43">
        <v>0</v>
      </c>
      <c r="N13" s="44">
        <f t="shared" si="1"/>
        <v>1</v>
      </c>
      <c r="O13" s="44">
        <f t="shared" si="2"/>
        <v>1</v>
      </c>
      <c r="P13" s="44">
        <f t="shared" si="2"/>
        <v>8</v>
      </c>
      <c r="Q13" s="44">
        <f t="shared" si="2"/>
        <v>0</v>
      </c>
      <c r="R13" s="44">
        <f t="shared" si="2"/>
        <v>5</v>
      </c>
      <c r="S13" s="52">
        <f t="shared" si="3"/>
        <v>14</v>
      </c>
      <c r="T13" s="43">
        <v>2</v>
      </c>
      <c r="U13" s="43">
        <v>4</v>
      </c>
      <c r="V13" s="43">
        <v>0</v>
      </c>
      <c r="W13" s="43">
        <v>5</v>
      </c>
      <c r="X13" s="52">
        <f t="shared" si="4"/>
        <v>11</v>
      </c>
      <c r="Y13" s="43">
        <v>2</v>
      </c>
      <c r="Z13" s="43">
        <v>4</v>
      </c>
      <c r="AA13" s="43">
        <v>0</v>
      </c>
      <c r="AB13" s="43">
        <v>5</v>
      </c>
      <c r="AC13" s="44">
        <f t="shared" si="5"/>
        <v>11</v>
      </c>
      <c r="AD13" s="44">
        <f t="shared" si="6"/>
        <v>774480</v>
      </c>
      <c r="AE13" s="44">
        <f t="shared" si="7"/>
        <v>47520</v>
      </c>
      <c r="AF13" s="44">
        <f t="shared" si="8"/>
        <v>66000</v>
      </c>
      <c r="AG13" s="44">
        <f t="shared" si="9"/>
        <v>26400</v>
      </c>
      <c r="AH13" s="44">
        <f t="shared" si="10"/>
        <v>103400</v>
      </c>
      <c r="AI13" s="44">
        <f t="shared" si="11"/>
        <v>8800</v>
      </c>
      <c r="AJ13" s="44">
        <f t="shared" si="12"/>
        <v>0</v>
      </c>
      <c r="AK13" s="44">
        <f t="shared" si="13"/>
        <v>10560</v>
      </c>
      <c r="AL13" s="44">
        <f t="shared" si="14"/>
        <v>333889.12</v>
      </c>
      <c r="AM13" s="44">
        <f t="shared" si="15"/>
        <v>1371049</v>
      </c>
      <c r="AN13" s="66">
        <v>12877.5</v>
      </c>
      <c r="AO13" s="66">
        <f t="shared" si="16"/>
        <v>1383926.5</v>
      </c>
    </row>
    <row r="14" spans="1:41" ht="18" customHeight="1">
      <c r="A14" s="41" t="s">
        <v>2</v>
      </c>
      <c r="B14" s="42" t="s">
        <v>132</v>
      </c>
      <c r="C14" s="42" t="s">
        <v>209</v>
      </c>
      <c r="D14" s="43"/>
      <c r="E14" s="48">
        <v>21.949579831933001</v>
      </c>
      <c r="F14" s="48">
        <v>11</v>
      </c>
      <c r="G14" s="48">
        <v>0</v>
      </c>
      <c r="H14" s="48">
        <v>6</v>
      </c>
      <c r="I14" s="44">
        <f t="shared" si="0"/>
        <v>38.949579831933001</v>
      </c>
      <c r="J14" s="43">
        <v>2</v>
      </c>
      <c r="K14" s="43">
        <v>1</v>
      </c>
      <c r="L14" s="43">
        <v>0</v>
      </c>
      <c r="M14" s="43">
        <v>0</v>
      </c>
      <c r="N14" s="44">
        <f t="shared" si="1"/>
        <v>3</v>
      </c>
      <c r="O14" s="44">
        <f t="shared" si="2"/>
        <v>23.949579831933001</v>
      </c>
      <c r="P14" s="44">
        <f t="shared" si="2"/>
        <v>12</v>
      </c>
      <c r="Q14" s="44">
        <f t="shared" si="2"/>
        <v>0</v>
      </c>
      <c r="R14" s="44">
        <f t="shared" si="2"/>
        <v>6</v>
      </c>
      <c r="S14" s="52">
        <f t="shared" si="3"/>
        <v>41.949579831933001</v>
      </c>
      <c r="T14" s="43">
        <v>5</v>
      </c>
      <c r="U14" s="43">
        <v>6</v>
      </c>
      <c r="V14" s="43">
        <v>2</v>
      </c>
      <c r="W14" s="43">
        <v>6</v>
      </c>
      <c r="X14" s="52">
        <f t="shared" si="4"/>
        <v>19</v>
      </c>
      <c r="Y14" s="43">
        <v>5</v>
      </c>
      <c r="Z14" s="43">
        <v>6</v>
      </c>
      <c r="AA14" s="43">
        <v>2</v>
      </c>
      <c r="AB14" s="43">
        <v>6</v>
      </c>
      <c r="AC14" s="44">
        <f t="shared" si="5"/>
        <v>19</v>
      </c>
      <c r="AD14" s="44">
        <f t="shared" ref="AD14:AD17" si="17">(Y14*9230+Z14*7215+AA14*5800+AB14*5100)*12</f>
        <v>1579680</v>
      </c>
      <c r="AE14" s="44">
        <f t="shared" si="7"/>
        <v>82080</v>
      </c>
      <c r="AF14" s="44">
        <f t="shared" si="8"/>
        <v>114000</v>
      </c>
      <c r="AG14" s="44">
        <f t="shared" si="9"/>
        <v>45600</v>
      </c>
      <c r="AH14" s="44">
        <f t="shared" ref="AH14:AH17" si="18">Y14*15400+(Z14+AA14+AB14)*9400</f>
        <v>208600</v>
      </c>
      <c r="AI14" s="44">
        <f t="shared" si="11"/>
        <v>15200</v>
      </c>
      <c r="AJ14" s="44">
        <f t="shared" si="12"/>
        <v>0</v>
      </c>
      <c r="AK14" s="44">
        <f t="shared" si="13"/>
        <v>18240</v>
      </c>
      <c r="AL14" s="44">
        <f t="shared" si="14"/>
        <v>576717.56999999995</v>
      </c>
      <c r="AM14" s="44">
        <f t="shared" si="15"/>
        <v>2640118</v>
      </c>
      <c r="AN14" s="65">
        <v>15204.38</v>
      </c>
      <c r="AO14" s="66">
        <f t="shared" si="16"/>
        <v>2655322.38</v>
      </c>
    </row>
    <row r="15" spans="1:41" s="45" customFormat="1" ht="18" customHeight="1">
      <c r="A15" s="41" t="s">
        <v>2</v>
      </c>
      <c r="B15" s="42" t="s">
        <v>290</v>
      </c>
      <c r="C15" s="42" t="s">
        <v>209</v>
      </c>
      <c r="D15" s="43"/>
      <c r="E15" s="48">
        <v>34.831932773109003</v>
      </c>
      <c r="F15" s="48">
        <v>10</v>
      </c>
      <c r="G15" s="48">
        <v>0</v>
      </c>
      <c r="H15" s="48">
        <v>9</v>
      </c>
      <c r="I15" s="44">
        <f t="shared" si="0"/>
        <v>53.831932773109003</v>
      </c>
      <c r="J15" s="43">
        <v>0</v>
      </c>
      <c r="K15" s="43">
        <v>2</v>
      </c>
      <c r="L15" s="43">
        <v>0</v>
      </c>
      <c r="M15" s="43">
        <v>0</v>
      </c>
      <c r="N15" s="44">
        <f t="shared" si="1"/>
        <v>2</v>
      </c>
      <c r="O15" s="44">
        <f t="shared" si="2"/>
        <v>34.831932773109003</v>
      </c>
      <c r="P15" s="44">
        <f t="shared" si="2"/>
        <v>12</v>
      </c>
      <c r="Q15" s="44">
        <f t="shared" si="2"/>
        <v>0</v>
      </c>
      <c r="R15" s="44">
        <f t="shared" si="2"/>
        <v>9</v>
      </c>
      <c r="S15" s="52">
        <f t="shared" si="3"/>
        <v>55.831932773109003</v>
      </c>
      <c r="T15" s="43">
        <v>0</v>
      </c>
      <c r="U15" s="43">
        <v>10</v>
      </c>
      <c r="V15" s="43">
        <v>0</v>
      </c>
      <c r="W15" s="43">
        <v>10</v>
      </c>
      <c r="X15" s="52">
        <f t="shared" si="4"/>
        <v>20</v>
      </c>
      <c r="Y15" s="43">
        <v>0</v>
      </c>
      <c r="Z15" s="43">
        <v>10</v>
      </c>
      <c r="AA15" s="43">
        <v>0</v>
      </c>
      <c r="AB15" s="43">
        <v>10</v>
      </c>
      <c r="AC15" s="44">
        <f t="shared" si="5"/>
        <v>20</v>
      </c>
      <c r="AD15" s="44">
        <f t="shared" si="17"/>
        <v>1477800</v>
      </c>
      <c r="AE15" s="44">
        <f t="shared" si="7"/>
        <v>86400</v>
      </c>
      <c r="AF15" s="44">
        <f t="shared" si="8"/>
        <v>120000</v>
      </c>
      <c r="AG15" s="44">
        <f t="shared" si="9"/>
        <v>48000</v>
      </c>
      <c r="AH15" s="44">
        <f t="shared" si="18"/>
        <v>188000</v>
      </c>
      <c r="AI15" s="44">
        <f t="shared" si="11"/>
        <v>16000</v>
      </c>
      <c r="AJ15" s="44">
        <f t="shared" si="12"/>
        <v>0</v>
      </c>
      <c r="AK15" s="44">
        <f t="shared" si="13"/>
        <v>19200</v>
      </c>
      <c r="AL15" s="44">
        <f t="shared" si="14"/>
        <v>607071.13</v>
      </c>
      <c r="AM15" s="44">
        <f t="shared" si="15"/>
        <v>2562471</v>
      </c>
      <c r="AN15" s="66">
        <v>12431.25</v>
      </c>
      <c r="AO15" s="66">
        <f t="shared" si="16"/>
        <v>2574902.25</v>
      </c>
    </row>
    <row r="16" spans="1:41" ht="18" customHeight="1">
      <c r="A16" s="41" t="s">
        <v>2</v>
      </c>
      <c r="B16" s="42" t="s">
        <v>291</v>
      </c>
      <c r="C16" s="42" t="s">
        <v>209</v>
      </c>
      <c r="D16" s="43"/>
      <c r="E16" s="48">
        <v>43.420168067227003</v>
      </c>
      <c r="F16" s="48">
        <v>28</v>
      </c>
      <c r="G16" s="48">
        <v>0</v>
      </c>
      <c r="H16" s="48">
        <v>18</v>
      </c>
      <c r="I16" s="44">
        <f t="shared" si="0"/>
        <v>89.420168067226996</v>
      </c>
      <c r="J16" s="43">
        <v>4</v>
      </c>
      <c r="K16" s="43">
        <v>1</v>
      </c>
      <c r="L16" s="43">
        <v>0</v>
      </c>
      <c r="M16" s="43">
        <v>1</v>
      </c>
      <c r="N16" s="44">
        <f t="shared" si="1"/>
        <v>6</v>
      </c>
      <c r="O16" s="44">
        <f t="shared" si="2"/>
        <v>47.420168067227003</v>
      </c>
      <c r="P16" s="44">
        <f t="shared" si="2"/>
        <v>29</v>
      </c>
      <c r="Q16" s="44">
        <f t="shared" si="2"/>
        <v>0</v>
      </c>
      <c r="R16" s="44">
        <f t="shared" si="2"/>
        <v>19</v>
      </c>
      <c r="S16" s="52">
        <f t="shared" si="3"/>
        <v>95.420168067226996</v>
      </c>
      <c r="T16" s="43">
        <v>5</v>
      </c>
      <c r="U16" s="43">
        <v>13</v>
      </c>
      <c r="V16" s="43">
        <v>0</v>
      </c>
      <c r="W16" s="43">
        <v>12</v>
      </c>
      <c r="X16" s="52">
        <f t="shared" si="4"/>
        <v>30</v>
      </c>
      <c r="Y16" s="43">
        <v>5</v>
      </c>
      <c r="Z16" s="43">
        <v>13</v>
      </c>
      <c r="AA16" s="43">
        <v>0</v>
      </c>
      <c r="AB16" s="43">
        <v>12</v>
      </c>
      <c r="AC16" s="44">
        <f t="shared" si="5"/>
        <v>30</v>
      </c>
      <c r="AD16" s="44">
        <f t="shared" si="17"/>
        <v>2413740</v>
      </c>
      <c r="AE16" s="44">
        <f t="shared" si="7"/>
        <v>129600</v>
      </c>
      <c r="AF16" s="44">
        <f t="shared" si="8"/>
        <v>180000</v>
      </c>
      <c r="AG16" s="44">
        <f t="shared" si="9"/>
        <v>72000</v>
      </c>
      <c r="AH16" s="44">
        <f t="shared" si="18"/>
        <v>312000</v>
      </c>
      <c r="AI16" s="44">
        <f t="shared" si="11"/>
        <v>24000</v>
      </c>
      <c r="AJ16" s="44">
        <f t="shared" si="12"/>
        <v>0</v>
      </c>
      <c r="AK16" s="44">
        <f t="shared" si="13"/>
        <v>28800</v>
      </c>
      <c r="AL16" s="44">
        <f t="shared" si="14"/>
        <v>910606.69</v>
      </c>
      <c r="AM16" s="44">
        <f t="shared" si="15"/>
        <v>4070747</v>
      </c>
      <c r="AN16" s="65">
        <v>239229</v>
      </c>
      <c r="AO16" s="66">
        <f t="shared" si="16"/>
        <v>4309976</v>
      </c>
    </row>
    <row r="17" spans="1:41" ht="18" customHeight="1">
      <c r="A17" s="41" t="s">
        <v>2</v>
      </c>
      <c r="B17" s="42" t="s">
        <v>130</v>
      </c>
      <c r="C17" s="42" t="s">
        <v>209</v>
      </c>
      <c r="D17" s="43"/>
      <c r="E17" s="48">
        <v>19.6386554621849</v>
      </c>
      <c r="F17" s="48">
        <v>10.5</v>
      </c>
      <c r="G17" s="48">
        <v>0</v>
      </c>
      <c r="H17" s="48">
        <v>6</v>
      </c>
      <c r="I17" s="44">
        <f t="shared" si="0"/>
        <v>36.1386554621849</v>
      </c>
      <c r="J17" s="43">
        <v>4</v>
      </c>
      <c r="K17" s="43">
        <v>1</v>
      </c>
      <c r="L17" s="43">
        <v>0</v>
      </c>
      <c r="M17" s="43">
        <v>1</v>
      </c>
      <c r="N17" s="44">
        <f t="shared" si="1"/>
        <v>6</v>
      </c>
      <c r="O17" s="44">
        <f t="shared" si="2"/>
        <v>23.6386554621849</v>
      </c>
      <c r="P17" s="44">
        <f t="shared" si="2"/>
        <v>11.5</v>
      </c>
      <c r="Q17" s="44">
        <f t="shared" si="2"/>
        <v>0</v>
      </c>
      <c r="R17" s="44">
        <f t="shared" si="2"/>
        <v>7</v>
      </c>
      <c r="S17" s="52">
        <f t="shared" si="3"/>
        <v>42.1386554621849</v>
      </c>
      <c r="T17" s="43">
        <v>7</v>
      </c>
      <c r="U17" s="43">
        <v>3</v>
      </c>
      <c r="V17" s="43">
        <v>0</v>
      </c>
      <c r="W17" s="43">
        <v>7</v>
      </c>
      <c r="X17" s="52">
        <f t="shared" si="4"/>
        <v>17</v>
      </c>
      <c r="Y17" s="43">
        <v>7</v>
      </c>
      <c r="Z17" s="43">
        <v>3</v>
      </c>
      <c r="AA17" s="43">
        <v>0</v>
      </c>
      <c r="AB17" s="43">
        <v>7</v>
      </c>
      <c r="AC17" s="44">
        <f t="shared" si="5"/>
        <v>17</v>
      </c>
      <c r="AD17" s="44">
        <f t="shared" si="17"/>
        <v>1463460</v>
      </c>
      <c r="AE17" s="44">
        <f t="shared" si="7"/>
        <v>73440</v>
      </c>
      <c r="AF17" s="44">
        <f t="shared" si="8"/>
        <v>102000</v>
      </c>
      <c r="AG17" s="44">
        <f t="shared" si="9"/>
        <v>40800</v>
      </c>
      <c r="AH17" s="44">
        <f t="shared" si="18"/>
        <v>201800</v>
      </c>
      <c r="AI17" s="44">
        <f t="shared" si="11"/>
        <v>13600</v>
      </c>
      <c r="AJ17" s="44">
        <f t="shared" si="12"/>
        <v>0</v>
      </c>
      <c r="AK17" s="44">
        <f t="shared" si="13"/>
        <v>16320</v>
      </c>
      <c r="AL17" s="44">
        <f t="shared" si="14"/>
        <v>516010.46</v>
      </c>
      <c r="AM17" s="44">
        <f t="shared" si="15"/>
        <v>2427430</v>
      </c>
      <c r="AN17" s="65">
        <v>97730.75</v>
      </c>
      <c r="AO17" s="66">
        <f t="shared" si="16"/>
        <v>2525160.75</v>
      </c>
    </row>
    <row r="18" spans="1:41" s="45" customFormat="1" ht="18" customHeight="1">
      <c r="A18" s="41" t="s">
        <v>2</v>
      </c>
      <c r="B18" s="42" t="s">
        <v>292</v>
      </c>
      <c r="C18" s="42" t="s">
        <v>283</v>
      </c>
      <c r="D18" s="43">
        <v>1</v>
      </c>
      <c r="E18" s="48">
        <v>0</v>
      </c>
      <c r="F18" s="48">
        <v>2</v>
      </c>
      <c r="G18" s="48">
        <v>20.5625</v>
      </c>
      <c r="H18" s="48">
        <v>2</v>
      </c>
      <c r="I18" s="44">
        <f t="shared" si="0"/>
        <v>24.5625</v>
      </c>
      <c r="J18" s="43">
        <v>1</v>
      </c>
      <c r="K18" s="43">
        <v>0</v>
      </c>
      <c r="L18" s="43">
        <v>0</v>
      </c>
      <c r="M18" s="43">
        <v>0</v>
      </c>
      <c r="N18" s="44">
        <f t="shared" si="1"/>
        <v>1</v>
      </c>
      <c r="O18" s="44">
        <f t="shared" si="2"/>
        <v>1</v>
      </c>
      <c r="P18" s="44">
        <f t="shared" si="2"/>
        <v>2</v>
      </c>
      <c r="Q18" s="44">
        <f t="shared" si="2"/>
        <v>20.5625</v>
      </c>
      <c r="R18" s="44">
        <f t="shared" si="2"/>
        <v>2</v>
      </c>
      <c r="S18" s="52">
        <f t="shared" si="3"/>
        <v>25.5625</v>
      </c>
      <c r="T18" s="43">
        <v>1</v>
      </c>
      <c r="U18" s="43">
        <v>3</v>
      </c>
      <c r="V18" s="43">
        <v>14</v>
      </c>
      <c r="W18" s="43">
        <v>1</v>
      </c>
      <c r="X18" s="52">
        <f t="shared" si="4"/>
        <v>19</v>
      </c>
      <c r="Y18" s="43">
        <v>1</v>
      </c>
      <c r="Z18" s="43">
        <v>3</v>
      </c>
      <c r="AA18" s="43">
        <v>14</v>
      </c>
      <c r="AB18" s="43">
        <v>1</v>
      </c>
      <c r="AC18" s="44">
        <f t="shared" si="5"/>
        <v>19</v>
      </c>
      <c r="AD18" s="44">
        <f>(Y18*7050+Z18*6485+AA18*5800+AB18*4900)*12</f>
        <v>1351260</v>
      </c>
      <c r="AE18" s="44">
        <f t="shared" si="7"/>
        <v>82080</v>
      </c>
      <c r="AF18" s="44">
        <f t="shared" si="8"/>
        <v>114000</v>
      </c>
      <c r="AG18" s="44">
        <f t="shared" si="9"/>
        <v>45600</v>
      </c>
      <c r="AH18" s="44">
        <f t="shared" si="10"/>
        <v>178600</v>
      </c>
      <c r="AI18" s="44">
        <f t="shared" si="11"/>
        <v>15200</v>
      </c>
      <c r="AJ18" s="44">
        <f t="shared" si="12"/>
        <v>10000</v>
      </c>
      <c r="AK18" s="44">
        <f t="shared" si="13"/>
        <v>18240</v>
      </c>
      <c r="AL18" s="44">
        <f t="shared" si="14"/>
        <v>576717.56999999995</v>
      </c>
      <c r="AM18" s="44">
        <f t="shared" si="15"/>
        <v>2391698</v>
      </c>
      <c r="AN18" s="66"/>
      <c r="AO18" s="44">
        <f t="shared" si="16"/>
        <v>2391698</v>
      </c>
    </row>
    <row r="19" spans="1:41" s="45" customFormat="1" ht="18" customHeight="1">
      <c r="A19" s="41" t="s">
        <v>2</v>
      </c>
      <c r="B19" s="42" t="s">
        <v>293</v>
      </c>
      <c r="C19" s="42" t="s">
        <v>283</v>
      </c>
      <c r="D19" s="43">
        <v>1</v>
      </c>
      <c r="E19" s="48">
        <v>0</v>
      </c>
      <c r="F19" s="48">
        <v>2</v>
      </c>
      <c r="G19" s="48">
        <v>28.837499999999999</v>
      </c>
      <c r="H19" s="48">
        <v>1</v>
      </c>
      <c r="I19" s="44">
        <f t="shared" si="0"/>
        <v>31.837499999999999</v>
      </c>
      <c r="J19" s="43">
        <v>0</v>
      </c>
      <c r="K19" s="43">
        <v>0</v>
      </c>
      <c r="L19" s="43">
        <v>0</v>
      </c>
      <c r="M19" s="43">
        <v>0</v>
      </c>
      <c r="N19" s="44">
        <f t="shared" si="1"/>
        <v>0</v>
      </c>
      <c r="O19" s="44">
        <f t="shared" si="2"/>
        <v>0</v>
      </c>
      <c r="P19" s="44">
        <f t="shared" si="2"/>
        <v>2</v>
      </c>
      <c r="Q19" s="44">
        <f t="shared" si="2"/>
        <v>28.837499999999999</v>
      </c>
      <c r="R19" s="44">
        <f t="shared" si="2"/>
        <v>1</v>
      </c>
      <c r="S19" s="52">
        <f t="shared" si="3"/>
        <v>31.837499999999999</v>
      </c>
      <c r="T19" s="43">
        <v>0</v>
      </c>
      <c r="U19" s="43">
        <v>0</v>
      </c>
      <c r="V19" s="43">
        <v>29</v>
      </c>
      <c r="W19" s="43">
        <v>1</v>
      </c>
      <c r="X19" s="52">
        <f t="shared" si="4"/>
        <v>30</v>
      </c>
      <c r="Y19" s="43">
        <v>0</v>
      </c>
      <c r="Z19" s="43">
        <v>0</v>
      </c>
      <c r="AA19" s="43">
        <v>29</v>
      </c>
      <c r="AB19" s="43">
        <v>1</v>
      </c>
      <c r="AC19" s="44">
        <f t="shared" si="5"/>
        <v>30</v>
      </c>
      <c r="AD19" s="44">
        <f>(Y19*7050+Z19*6485+AA19*5800+AB19*4900)*12</f>
        <v>2077200</v>
      </c>
      <c r="AE19" s="44">
        <f t="shared" si="7"/>
        <v>129600</v>
      </c>
      <c r="AF19" s="44">
        <f t="shared" si="8"/>
        <v>180000</v>
      </c>
      <c r="AG19" s="44">
        <f t="shared" si="9"/>
        <v>72000</v>
      </c>
      <c r="AH19" s="44">
        <f t="shared" si="10"/>
        <v>282000</v>
      </c>
      <c r="AI19" s="44">
        <f t="shared" si="11"/>
        <v>24000</v>
      </c>
      <c r="AJ19" s="44">
        <f t="shared" si="12"/>
        <v>10000</v>
      </c>
      <c r="AK19" s="44">
        <f t="shared" si="13"/>
        <v>28800</v>
      </c>
      <c r="AL19" s="44">
        <f t="shared" si="14"/>
        <v>910606.69</v>
      </c>
      <c r="AM19" s="44">
        <f t="shared" si="15"/>
        <v>3714207</v>
      </c>
      <c r="AN19" s="66"/>
      <c r="AO19" s="44">
        <f t="shared" si="16"/>
        <v>3714207</v>
      </c>
    </row>
    <row r="20" spans="1:41" s="45" customFormat="1" ht="18" customHeight="1">
      <c r="A20" s="41" t="s">
        <v>2</v>
      </c>
      <c r="B20" s="42" t="s">
        <v>294</v>
      </c>
      <c r="C20" s="42" t="s">
        <v>283</v>
      </c>
      <c r="D20" s="43">
        <v>1</v>
      </c>
      <c r="E20" s="48">
        <v>0</v>
      </c>
      <c r="F20" s="48">
        <v>2</v>
      </c>
      <c r="G20" s="48">
        <v>11.574999999999999</v>
      </c>
      <c r="H20" s="48">
        <v>2</v>
      </c>
      <c r="I20" s="44">
        <f t="shared" si="0"/>
        <v>15.574999999999999</v>
      </c>
      <c r="J20" s="43">
        <v>2</v>
      </c>
      <c r="K20" s="43">
        <v>0</v>
      </c>
      <c r="L20" s="43">
        <v>1</v>
      </c>
      <c r="M20" s="43">
        <v>0</v>
      </c>
      <c r="N20" s="44">
        <f t="shared" si="1"/>
        <v>3</v>
      </c>
      <c r="O20" s="44">
        <f t="shared" si="2"/>
        <v>2</v>
      </c>
      <c r="P20" s="44">
        <f t="shared" si="2"/>
        <v>2</v>
      </c>
      <c r="Q20" s="44">
        <f t="shared" si="2"/>
        <v>12.574999999999999</v>
      </c>
      <c r="R20" s="44">
        <f t="shared" si="2"/>
        <v>2</v>
      </c>
      <c r="S20" s="52">
        <f t="shared" si="3"/>
        <v>18.574999999999999</v>
      </c>
      <c r="T20" s="43">
        <v>2</v>
      </c>
      <c r="U20" s="43">
        <v>2</v>
      </c>
      <c r="V20" s="43">
        <v>13</v>
      </c>
      <c r="W20" s="43">
        <v>2</v>
      </c>
      <c r="X20" s="52">
        <f t="shared" si="4"/>
        <v>19</v>
      </c>
      <c r="Y20" s="43">
        <v>2</v>
      </c>
      <c r="Z20" s="43">
        <v>2</v>
      </c>
      <c r="AA20" s="43">
        <v>12.574999999999999</v>
      </c>
      <c r="AB20" s="43">
        <v>2</v>
      </c>
      <c r="AC20" s="44">
        <f t="shared" si="5"/>
        <v>18.574999999999999</v>
      </c>
      <c r="AD20" s="44">
        <f>(Y20*7050+Z20*6485+AA20*5800+AB20*4900)*12</f>
        <v>1317660</v>
      </c>
      <c r="AE20" s="44">
        <f t="shared" si="7"/>
        <v>80244</v>
      </c>
      <c r="AF20" s="44">
        <f t="shared" si="8"/>
        <v>111450</v>
      </c>
      <c r="AG20" s="44">
        <f t="shared" si="9"/>
        <v>44580</v>
      </c>
      <c r="AH20" s="44">
        <f t="shared" si="10"/>
        <v>174605</v>
      </c>
      <c r="AI20" s="44">
        <f>AC20*800</f>
        <v>14860</v>
      </c>
      <c r="AJ20" s="44">
        <f>D20*50*200</f>
        <v>10000</v>
      </c>
      <c r="AK20" s="44">
        <f>AC20*960</f>
        <v>17832</v>
      </c>
      <c r="AL20" s="44">
        <f t="shared" si="14"/>
        <v>563817.31000000006</v>
      </c>
      <c r="AM20" s="44">
        <f t="shared" si="15"/>
        <v>2335048</v>
      </c>
      <c r="AN20" s="66"/>
      <c r="AO20" s="44">
        <f t="shared" si="16"/>
        <v>2335048</v>
      </c>
    </row>
    <row r="21" spans="1:41" ht="18" customHeight="1">
      <c r="A21" s="41" t="s">
        <v>2</v>
      </c>
      <c r="B21" s="42" t="s">
        <v>295</v>
      </c>
      <c r="C21" s="42" t="s">
        <v>340</v>
      </c>
      <c r="D21" s="43"/>
      <c r="E21" s="48">
        <v>39</v>
      </c>
      <c r="F21" s="48">
        <v>11</v>
      </c>
      <c r="G21" s="48">
        <v>0</v>
      </c>
      <c r="H21" s="48">
        <v>9</v>
      </c>
      <c r="I21" s="44">
        <f t="shared" si="0"/>
        <v>59</v>
      </c>
      <c r="J21" s="43">
        <v>6</v>
      </c>
      <c r="K21" s="43">
        <v>1</v>
      </c>
      <c r="L21" s="43">
        <v>0</v>
      </c>
      <c r="M21" s="43">
        <v>1</v>
      </c>
      <c r="N21" s="44">
        <f t="shared" si="1"/>
        <v>8</v>
      </c>
      <c r="O21" s="44">
        <f t="shared" si="2"/>
        <v>45</v>
      </c>
      <c r="P21" s="44">
        <f t="shared" si="2"/>
        <v>12</v>
      </c>
      <c r="Q21" s="44">
        <f t="shared" si="2"/>
        <v>0</v>
      </c>
      <c r="R21" s="44">
        <f t="shared" si="2"/>
        <v>10</v>
      </c>
      <c r="S21" s="52">
        <f t="shared" si="3"/>
        <v>67</v>
      </c>
      <c r="T21" s="43">
        <v>10</v>
      </c>
      <c r="U21" s="43">
        <v>6</v>
      </c>
      <c r="V21" s="43">
        <v>0</v>
      </c>
      <c r="W21" s="43">
        <v>10</v>
      </c>
      <c r="X21" s="52">
        <f t="shared" si="4"/>
        <v>26</v>
      </c>
      <c r="Y21" s="43">
        <v>10</v>
      </c>
      <c r="Z21" s="43">
        <v>6</v>
      </c>
      <c r="AA21" s="43">
        <v>0</v>
      </c>
      <c r="AB21" s="43">
        <v>10</v>
      </c>
      <c r="AC21" s="44">
        <f t="shared" si="5"/>
        <v>26</v>
      </c>
      <c r="AD21" s="44">
        <f>(Y21*9230+Z21*7215+AA21*5800+AB21*5100)*12</f>
        <v>2239080</v>
      </c>
      <c r="AE21" s="44">
        <f t="shared" si="7"/>
        <v>112320</v>
      </c>
      <c r="AF21" s="44">
        <f t="shared" si="8"/>
        <v>156000</v>
      </c>
      <c r="AG21" s="44">
        <f t="shared" si="9"/>
        <v>62400</v>
      </c>
      <c r="AH21" s="44">
        <f>Y21*15400+(Z21+AA21+AB21)*9400</f>
        <v>304400</v>
      </c>
      <c r="AI21" s="44">
        <f>AC21*800</f>
        <v>20800</v>
      </c>
      <c r="AJ21" s="44">
        <f>D21*50*200</f>
        <v>0</v>
      </c>
      <c r="AK21" s="44">
        <f>AC21*960</f>
        <v>24960</v>
      </c>
      <c r="AL21" s="44">
        <f t="shared" si="14"/>
        <v>789192.47</v>
      </c>
      <c r="AM21" s="44">
        <f t="shared" si="15"/>
        <v>3709152</v>
      </c>
      <c r="AN21" s="65">
        <v>114888.75</v>
      </c>
      <c r="AO21" s="66">
        <f t="shared" si="16"/>
        <v>3824040.75</v>
      </c>
    </row>
    <row r="22" spans="1:41" s="45" customFormat="1" ht="18" customHeight="1">
      <c r="A22" s="41" t="s">
        <v>2</v>
      </c>
      <c r="B22" s="42" t="s">
        <v>341</v>
      </c>
      <c r="C22" s="42" t="s">
        <v>283</v>
      </c>
      <c r="D22" s="43">
        <v>1</v>
      </c>
      <c r="E22" s="48">
        <v>5.4017094017094003</v>
      </c>
      <c r="F22" s="48">
        <v>3</v>
      </c>
      <c r="G22" s="48">
        <v>11.8375</v>
      </c>
      <c r="H22" s="48">
        <v>1</v>
      </c>
      <c r="I22" s="44">
        <f t="shared" si="0"/>
        <v>21.239209401709402</v>
      </c>
      <c r="J22" s="43">
        <v>0</v>
      </c>
      <c r="K22" s="43">
        <v>2</v>
      </c>
      <c r="L22" s="43">
        <v>0</v>
      </c>
      <c r="M22" s="43">
        <v>0</v>
      </c>
      <c r="N22" s="44">
        <f t="shared" si="1"/>
        <v>2</v>
      </c>
      <c r="O22" s="44">
        <f t="shared" si="2"/>
        <v>5.4017094017094003</v>
      </c>
      <c r="P22" s="44">
        <f t="shared" si="2"/>
        <v>5</v>
      </c>
      <c r="Q22" s="44">
        <f t="shared" si="2"/>
        <v>11.8375</v>
      </c>
      <c r="R22" s="44">
        <f t="shared" si="2"/>
        <v>1</v>
      </c>
      <c r="S22" s="52">
        <f t="shared" si="3"/>
        <v>23.239209401709402</v>
      </c>
      <c r="T22" s="43">
        <v>4</v>
      </c>
      <c r="U22" s="43">
        <v>5</v>
      </c>
      <c r="V22" s="43">
        <v>12</v>
      </c>
      <c r="W22" s="43">
        <v>1</v>
      </c>
      <c r="X22" s="52">
        <f t="shared" si="4"/>
        <v>22</v>
      </c>
      <c r="Y22" s="43">
        <v>4</v>
      </c>
      <c r="Z22" s="43">
        <v>5</v>
      </c>
      <c r="AA22" s="43">
        <v>12</v>
      </c>
      <c r="AB22" s="43">
        <v>1</v>
      </c>
      <c r="AC22" s="44">
        <f t="shared" si="5"/>
        <v>22</v>
      </c>
      <c r="AD22" s="44">
        <f>(Y22*7050+Z22*6485+AA22*5800+AB22*4900)*12</f>
        <v>1621500</v>
      </c>
      <c r="AE22" s="44">
        <f t="shared" si="7"/>
        <v>95040</v>
      </c>
      <c r="AF22" s="44">
        <f t="shared" si="8"/>
        <v>132000</v>
      </c>
      <c r="AG22" s="44">
        <f t="shared" si="9"/>
        <v>52800</v>
      </c>
      <c r="AH22" s="44">
        <f t="shared" si="10"/>
        <v>206800</v>
      </c>
      <c r="AI22" s="44">
        <f t="shared" si="11"/>
        <v>17600</v>
      </c>
      <c r="AJ22" s="44">
        <f t="shared" si="12"/>
        <v>10000</v>
      </c>
      <c r="AK22" s="44">
        <f t="shared" si="13"/>
        <v>21120</v>
      </c>
      <c r="AL22" s="44">
        <f t="shared" si="14"/>
        <v>667778.24</v>
      </c>
      <c r="AM22" s="44">
        <f t="shared" si="15"/>
        <v>2824638</v>
      </c>
      <c r="AN22" s="66"/>
      <c r="AO22" s="44">
        <f t="shared" si="16"/>
        <v>2824638</v>
      </c>
    </row>
    <row r="23" spans="1:41" s="47" customFormat="1" ht="18" customHeight="1">
      <c r="A23" s="92"/>
      <c r="B23" s="92" t="s">
        <v>296</v>
      </c>
      <c r="C23" s="92"/>
      <c r="D23" s="46">
        <f>SUM(D4:D22)</f>
        <v>16</v>
      </c>
      <c r="E23" s="46">
        <f t="shared" ref="E23:AO23" si="19">SUM(E4:E22)</f>
        <v>254.51938122729211</v>
      </c>
      <c r="F23" s="46">
        <f t="shared" si="19"/>
        <v>165.5</v>
      </c>
      <c r="G23" s="46">
        <f t="shared" si="19"/>
        <v>206.15</v>
      </c>
      <c r="H23" s="46">
        <f t="shared" si="19"/>
        <v>114</v>
      </c>
      <c r="I23" s="46">
        <f t="shared" si="19"/>
        <v>740.16938122729221</v>
      </c>
      <c r="J23" s="46">
        <f t="shared" si="19"/>
        <v>29</v>
      </c>
      <c r="K23" s="46">
        <f t="shared" si="19"/>
        <v>11</v>
      </c>
      <c r="L23" s="46">
        <f t="shared" si="19"/>
        <v>3</v>
      </c>
      <c r="M23" s="46">
        <f t="shared" si="19"/>
        <v>3</v>
      </c>
      <c r="N23" s="46">
        <f t="shared" si="19"/>
        <v>46</v>
      </c>
      <c r="O23" s="46">
        <f t="shared" si="19"/>
        <v>283.51938122729211</v>
      </c>
      <c r="P23" s="46">
        <f t="shared" si="19"/>
        <v>176.5</v>
      </c>
      <c r="Q23" s="46">
        <f t="shared" si="19"/>
        <v>209.15</v>
      </c>
      <c r="R23" s="46">
        <f t="shared" si="19"/>
        <v>117</v>
      </c>
      <c r="S23" s="46">
        <f t="shared" si="19"/>
        <v>786.16938122729221</v>
      </c>
      <c r="T23" s="46">
        <f t="shared" si="19"/>
        <v>77</v>
      </c>
      <c r="U23" s="46">
        <f t="shared" si="19"/>
        <v>84</v>
      </c>
      <c r="V23" s="46">
        <f t="shared" si="19"/>
        <v>207</v>
      </c>
      <c r="W23" s="46">
        <f t="shared" si="19"/>
        <v>109</v>
      </c>
      <c r="X23" s="46">
        <f t="shared" si="19"/>
        <v>477</v>
      </c>
      <c r="Y23" s="46">
        <f t="shared" si="19"/>
        <v>77</v>
      </c>
      <c r="Z23" s="46">
        <f t="shared" si="19"/>
        <v>84</v>
      </c>
      <c r="AA23" s="46">
        <f t="shared" si="19"/>
        <v>205.4375</v>
      </c>
      <c r="AB23" s="46">
        <f t="shared" si="19"/>
        <v>107</v>
      </c>
      <c r="AC23" s="46">
        <f t="shared" si="19"/>
        <v>473.4375</v>
      </c>
      <c r="AD23" s="46">
        <f t="shared" si="19"/>
        <v>34788330</v>
      </c>
      <c r="AE23" s="46">
        <f t="shared" si="19"/>
        <v>2045250</v>
      </c>
      <c r="AF23" s="46">
        <f t="shared" si="19"/>
        <v>2840625</v>
      </c>
      <c r="AG23" s="46">
        <f t="shared" si="19"/>
        <v>1136250</v>
      </c>
      <c r="AH23" s="46">
        <f t="shared" si="19"/>
        <v>4612312.5</v>
      </c>
      <c r="AI23" s="46">
        <f t="shared" si="19"/>
        <v>378750</v>
      </c>
      <c r="AJ23" s="46">
        <f t="shared" si="19"/>
        <v>160000</v>
      </c>
      <c r="AK23" s="46">
        <f t="shared" si="19"/>
        <v>454500</v>
      </c>
      <c r="AL23" s="46">
        <f t="shared" si="19"/>
        <v>14370511.870000001</v>
      </c>
      <c r="AM23" s="46">
        <f t="shared" si="19"/>
        <v>60786530</v>
      </c>
      <c r="AN23" s="46">
        <f t="shared" si="19"/>
        <v>772228.38</v>
      </c>
      <c r="AO23" s="46">
        <f t="shared" si="19"/>
        <v>61558758.380000003</v>
      </c>
    </row>
  </sheetData>
  <autoFilter ref="A2:AN23">
    <filterColumn colId="4" showButton="0"/>
    <filterColumn colId="5" showButton="0"/>
    <filterColumn colId="6" showButton="0"/>
    <filterColumn colId="7" showButton="0"/>
    <filterColumn colId="9" showButton="0"/>
    <filterColumn colId="10" showButton="0"/>
    <filterColumn colId="11" showButton="0"/>
    <filterColumn colId="12" showButton="0"/>
    <filterColumn colId="14" showButton="0"/>
    <filterColumn colId="15" showButton="0"/>
    <filterColumn colId="16" showButton="0"/>
    <filterColumn colId="17" showButton="0"/>
    <filterColumn colId="19" showButton="0"/>
    <filterColumn colId="20" showButton="0"/>
    <filterColumn colId="21" showButton="0"/>
    <filterColumn colId="22" showButton="0"/>
    <filterColumn colId="24" showButton="0"/>
    <filterColumn colId="25" showButton="0"/>
    <filterColumn colId="26" showButton="0"/>
    <filterColumn colId="27" showButton="0"/>
    <filterColumn colId="29" showButton="0"/>
    <filterColumn colId="30" showButton="0"/>
    <filterColumn colId="31" showButton="0"/>
    <filterColumn colId="32" showButton="0"/>
    <filterColumn colId="33" showButton="0"/>
    <filterColumn colId="34" showButton="0"/>
    <filterColumn colId="35" showButton="0"/>
    <filterColumn colId="36" showButton="0"/>
    <filterColumn colId="37" showButton="0"/>
  </autoFilter>
  <mergeCells count="13">
    <mergeCell ref="AN2:AN3"/>
    <mergeCell ref="AO2:AO3"/>
    <mergeCell ref="A1:AO1"/>
    <mergeCell ref="AD2:AM2"/>
    <mergeCell ref="A2:A3"/>
    <mergeCell ref="B2:B3"/>
    <mergeCell ref="C2:C3"/>
    <mergeCell ref="D2:D3"/>
    <mergeCell ref="E2:I2"/>
    <mergeCell ref="J2:N2"/>
    <mergeCell ref="O2:S2"/>
    <mergeCell ref="T2:X2"/>
    <mergeCell ref="Y2:AC2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0" orientation="landscape" verticalDpi="0" r:id="rId1"/>
  <headerFooter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:E13"/>
  <sheetViews>
    <sheetView workbookViewId="0">
      <selection activeCell="I3" sqref="I1:I1048576"/>
    </sheetView>
  </sheetViews>
  <sheetFormatPr defaultRowHeight="13.5" outlineLevelRow="2"/>
  <cols>
    <col min="1" max="1" width="9.625" style="102" customWidth="1"/>
    <col min="2" max="2" width="30" style="102" customWidth="1"/>
    <col min="3" max="5" width="15.625" style="102" customWidth="1"/>
    <col min="6" max="16384" width="9" style="102"/>
  </cols>
  <sheetData>
    <row r="1" spans="1:5" ht="35.25" customHeight="1">
      <c r="A1" s="168" t="s">
        <v>370</v>
      </c>
      <c r="B1" s="168"/>
      <c r="C1" s="168"/>
      <c r="D1" s="169"/>
      <c r="E1" s="169"/>
    </row>
    <row r="2" spans="1:5" s="104" customFormat="1" ht="18" customHeight="1">
      <c r="A2" s="98" t="s">
        <v>371</v>
      </c>
      <c r="B2" s="103" t="s">
        <v>372</v>
      </c>
      <c r="C2" s="103" t="s">
        <v>373</v>
      </c>
      <c r="D2" s="101" t="s">
        <v>374</v>
      </c>
      <c r="E2" s="101" t="s">
        <v>375</v>
      </c>
    </row>
    <row r="3" spans="1:5" ht="18" customHeight="1" outlineLevel="2">
      <c r="A3" s="105" t="s">
        <v>376</v>
      </c>
      <c r="B3" s="106" t="s">
        <v>134</v>
      </c>
      <c r="C3" s="107">
        <v>12112.5</v>
      </c>
      <c r="D3" s="107">
        <v>12877.5</v>
      </c>
      <c r="E3" s="107">
        <f>C3-D3</f>
        <v>-765</v>
      </c>
    </row>
    <row r="4" spans="1:5" ht="18" customHeight="1" outlineLevel="2">
      <c r="A4" s="105" t="s">
        <v>376</v>
      </c>
      <c r="B4" s="106" t="s">
        <v>140</v>
      </c>
      <c r="C4" s="107">
        <v>29327.5</v>
      </c>
      <c r="D4" s="110">
        <v>36465</v>
      </c>
      <c r="E4" s="107">
        <f>C4-D4</f>
        <v>-7137.5</v>
      </c>
    </row>
    <row r="5" spans="1:5" ht="18" customHeight="1" outlineLevel="2">
      <c r="A5" s="105" t="s">
        <v>376</v>
      </c>
      <c r="B5" s="106" t="s">
        <v>135</v>
      </c>
      <c r="C5" s="107">
        <v>60579.5</v>
      </c>
      <c r="D5" s="111">
        <v>64523.75</v>
      </c>
      <c r="E5" s="108">
        <f t="shared" ref="E5:E12" si="0">C5-D5</f>
        <v>-3944.25</v>
      </c>
    </row>
    <row r="6" spans="1:5" ht="18" customHeight="1" outlineLevel="2">
      <c r="A6" s="105" t="s">
        <v>376</v>
      </c>
      <c r="B6" s="106" t="s">
        <v>137</v>
      </c>
      <c r="C6" s="107">
        <v>89519.5</v>
      </c>
      <c r="D6" s="111">
        <v>158478</v>
      </c>
      <c r="E6" s="108">
        <f t="shared" si="0"/>
        <v>-68958.5</v>
      </c>
    </row>
    <row r="7" spans="1:5" ht="18" customHeight="1" outlineLevel="2">
      <c r="A7" s="105" t="s">
        <v>376</v>
      </c>
      <c r="B7" s="106" t="s">
        <v>136</v>
      </c>
      <c r="C7" s="107">
        <v>24416.25</v>
      </c>
      <c r="D7" s="111">
        <v>20400</v>
      </c>
      <c r="E7" s="108">
        <f t="shared" si="0"/>
        <v>4016.25</v>
      </c>
    </row>
    <row r="8" spans="1:5" ht="18" customHeight="1" outlineLevel="2">
      <c r="A8" s="105" t="s">
        <v>376</v>
      </c>
      <c r="B8" s="106" t="s">
        <v>141</v>
      </c>
      <c r="C8" s="107">
        <v>127179</v>
      </c>
      <c r="D8" s="111">
        <v>114888.75</v>
      </c>
      <c r="E8" s="108">
        <f t="shared" si="0"/>
        <v>12290.25</v>
      </c>
    </row>
    <row r="9" spans="1:5" ht="18" customHeight="1" outlineLevel="2">
      <c r="A9" s="105" t="s">
        <v>376</v>
      </c>
      <c r="B9" s="106" t="s">
        <v>130</v>
      </c>
      <c r="C9" s="107">
        <v>65282</v>
      </c>
      <c r="D9" s="111">
        <v>97730.75</v>
      </c>
      <c r="E9" s="108">
        <f t="shared" si="0"/>
        <v>-32448.75</v>
      </c>
    </row>
    <row r="10" spans="1:5" ht="18" customHeight="1" outlineLevel="2">
      <c r="A10" s="105" t="s">
        <v>376</v>
      </c>
      <c r="B10" s="106" t="s">
        <v>131</v>
      </c>
      <c r="C10" s="107">
        <v>61073.5</v>
      </c>
      <c r="D10" s="111">
        <v>239229</v>
      </c>
      <c r="E10" s="108">
        <f t="shared" si="0"/>
        <v>-178155.5</v>
      </c>
    </row>
    <row r="11" spans="1:5" ht="18" customHeight="1" outlineLevel="2">
      <c r="A11" s="105" t="s">
        <v>376</v>
      </c>
      <c r="B11" s="106" t="s">
        <v>132</v>
      </c>
      <c r="C11" s="107">
        <v>25283.25</v>
      </c>
      <c r="D11" s="111">
        <v>15204.38</v>
      </c>
      <c r="E11" s="108">
        <f t="shared" si="0"/>
        <v>10078.870000000001</v>
      </c>
    </row>
    <row r="12" spans="1:5" ht="18" customHeight="1" outlineLevel="2">
      <c r="A12" s="105" t="s">
        <v>376</v>
      </c>
      <c r="B12" s="106" t="s">
        <v>133</v>
      </c>
      <c r="C12" s="107">
        <v>3825</v>
      </c>
      <c r="D12" s="107">
        <v>12431.25</v>
      </c>
      <c r="E12" s="108">
        <f t="shared" si="0"/>
        <v>-8606.25</v>
      </c>
    </row>
    <row r="13" spans="1:5" ht="18" customHeight="1" outlineLevel="1">
      <c r="A13" s="109" t="s">
        <v>139</v>
      </c>
      <c r="B13" s="106"/>
      <c r="C13" s="107">
        <f t="shared" ref="C13:E13" si="1">SUBTOTAL(9,C3:C12)</f>
        <v>498598</v>
      </c>
      <c r="D13" s="107">
        <f t="shared" si="1"/>
        <v>772228.38</v>
      </c>
      <c r="E13" s="107">
        <f t="shared" si="1"/>
        <v>-273630.38</v>
      </c>
    </row>
  </sheetData>
  <mergeCells count="1">
    <mergeCell ref="A1:E1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10</vt:i4>
      </vt:variant>
      <vt:variant>
        <vt:lpstr>命名范围</vt:lpstr>
      </vt:variant>
      <vt:variant>
        <vt:i4>9</vt:i4>
      </vt:variant>
    </vt:vector>
  </HeadingPairs>
  <TitlesOfParts>
    <vt:vector size="19" baseType="lpstr">
      <vt:lpstr>七宝镇</vt:lpstr>
      <vt:lpstr>七宝</vt:lpstr>
      <vt:lpstr>清算2024年绩效</vt:lpstr>
      <vt:lpstr>2024年绩效增量</vt:lpstr>
      <vt:lpstr>补缴年金</vt:lpstr>
      <vt:lpstr>残疾就业保障</vt:lpstr>
      <vt:lpstr>社区教育</vt:lpstr>
      <vt:lpstr>保安经费</vt:lpstr>
      <vt:lpstr>补充公用经费</vt:lpstr>
      <vt:lpstr>清算补充公用经费</vt:lpstr>
      <vt:lpstr>保安经费!Print_Area</vt:lpstr>
      <vt:lpstr>补充公用经费!Print_Area</vt:lpstr>
      <vt:lpstr>残疾就业保障!Print_Area</vt:lpstr>
      <vt:lpstr>七宝!Print_Area</vt:lpstr>
      <vt:lpstr>社区教育!Print_Area</vt:lpstr>
      <vt:lpstr>保安经费!Print_Titles</vt:lpstr>
      <vt:lpstr>补充公用经费!Print_Titles</vt:lpstr>
      <vt:lpstr>残疾就业保障!Print_Titles</vt:lpstr>
      <vt:lpstr>七宝!Print_Titles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孟爱红</dc:creator>
  <cp:lastModifiedBy>meng</cp:lastModifiedBy>
  <cp:lastPrinted>2025-01-02T06:09:08Z</cp:lastPrinted>
  <dcterms:created xsi:type="dcterms:W3CDTF">2022-11-10T02:18:00Z</dcterms:created>
  <dcterms:modified xsi:type="dcterms:W3CDTF">2025-02-17T05:51:54Z</dcterms:modified>
</cp:coreProperties>
</file>