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60" yWindow="90" windowWidth="1980" windowHeight="12330"/>
  </bookViews>
  <sheets>
    <sheet name="颛桥镇" sheetId="68" r:id="rId1"/>
    <sheet name="颛桥" sheetId="57" state="hidden" r:id="rId2"/>
    <sheet name="清算2024年绩效" sheetId="64" state="hidden" r:id="rId3"/>
    <sheet name="补缴年金" sheetId="67" state="hidden" r:id="rId4"/>
    <sheet name="残疾就业保障" sheetId="31" state="hidden" r:id="rId5"/>
    <sheet name="社区教育" sheetId="43" state="hidden" r:id="rId6"/>
    <sheet name="保安经费" sheetId="33" state="hidden" r:id="rId7"/>
    <sheet name="补充公用经费" sheetId="32" state="hidden" r:id="rId8"/>
    <sheet name="清算补充公用经费" sheetId="65" state="hidden" r:id="rId9"/>
  </sheets>
  <definedNames>
    <definedName name="_xlnm._FilterDatabase" localSheetId="6" hidden="1">保安经费!$A$2:$J$27</definedName>
    <definedName name="_xlnm._FilterDatabase" localSheetId="7" hidden="1">补充公用经费!$A$2:$AN$18</definedName>
    <definedName name="_xlnm._FilterDatabase" localSheetId="4" hidden="1">残疾就业保障!$A$2:$E$18</definedName>
    <definedName name="_xlnm.Print_Area" localSheetId="6">保安经费!$A$1:$J$27</definedName>
    <definedName name="_xlnm.Print_Area" localSheetId="7">补充公用经费!$A$1:$AO$18</definedName>
    <definedName name="_xlnm.Print_Area" localSheetId="4">残疾就业保障!$A$1:$E$18</definedName>
    <definedName name="_xlnm.Print_Area" localSheetId="5">社区教育!$A$1:$C$4</definedName>
    <definedName name="_xlnm.Print_Area" localSheetId="1">颛桥!$A$1:$T$72</definedName>
    <definedName name="_xlnm.Print_Titles" localSheetId="6">保安经费!$1:$2</definedName>
    <definedName name="_xlnm.Print_Titles" localSheetId="7">补充公用经费!$1:$3</definedName>
    <definedName name="_xlnm.Print_Titles" localSheetId="4">残疾就业保障!$1:$2</definedName>
    <definedName name="_xlnm.Print_Titles" localSheetId="1">颛桥!$1:$3</definedName>
  </definedNames>
  <calcPr calcId="145621"/>
</workbook>
</file>

<file path=xl/calcChain.xml><?xml version="1.0" encoding="utf-8"?>
<calcChain xmlns="http://schemas.openxmlformats.org/spreadsheetml/2006/main">
  <c r="G10" i="68" l="1"/>
  <c r="E10" i="68"/>
  <c r="J4" i="67" l="1"/>
  <c r="D4" i="68" s="1"/>
  <c r="G11" i="64"/>
  <c r="G9" i="64"/>
  <c r="D12" i="68" l="1"/>
  <c r="AD17" i="32"/>
  <c r="AD16" i="32"/>
  <c r="AD11" i="32"/>
  <c r="AD10" i="32"/>
  <c r="AD9" i="32"/>
  <c r="AD8" i="32"/>
  <c r="AD7" i="32"/>
  <c r="AD6" i="32"/>
  <c r="AD5" i="32"/>
  <c r="AD4" i="32"/>
  <c r="D11" i="65" l="1"/>
  <c r="C11" i="65"/>
  <c r="E10" i="65"/>
  <c r="E9" i="65"/>
  <c r="E8" i="65"/>
  <c r="E7" i="65"/>
  <c r="E6" i="65"/>
  <c r="E5" i="65"/>
  <c r="E4" i="65"/>
  <c r="E3" i="65"/>
  <c r="E11" i="65" l="1"/>
  <c r="L19" i="64" l="1"/>
  <c r="K19" i="64"/>
  <c r="J19" i="64"/>
  <c r="H19" i="64"/>
  <c r="G19" i="64"/>
  <c r="F19" i="64"/>
  <c r="P18" i="64"/>
  <c r="O18" i="64"/>
  <c r="N18" i="64"/>
  <c r="M18" i="64"/>
  <c r="I18" i="64"/>
  <c r="P17" i="64"/>
  <c r="O17" i="64"/>
  <c r="N17" i="64"/>
  <c r="M17" i="64"/>
  <c r="I17" i="64"/>
  <c r="Q17" i="64" s="1"/>
  <c r="P16" i="64"/>
  <c r="O16" i="64"/>
  <c r="N16" i="64"/>
  <c r="M16" i="64"/>
  <c r="I16" i="64"/>
  <c r="P15" i="64"/>
  <c r="O15" i="64"/>
  <c r="N15" i="64"/>
  <c r="M15" i="64"/>
  <c r="I15" i="64"/>
  <c r="P14" i="64"/>
  <c r="O14" i="64"/>
  <c r="N14" i="64"/>
  <c r="M14" i="64"/>
  <c r="I14" i="64"/>
  <c r="P13" i="64"/>
  <c r="O13" i="64"/>
  <c r="N13" i="64"/>
  <c r="M13" i="64"/>
  <c r="I13" i="64"/>
  <c r="Q13" i="64" s="1"/>
  <c r="P12" i="64"/>
  <c r="O12" i="64"/>
  <c r="N12" i="64"/>
  <c r="M12" i="64"/>
  <c r="I12" i="64"/>
  <c r="P11" i="64"/>
  <c r="O11" i="64"/>
  <c r="N11" i="64"/>
  <c r="M11" i="64"/>
  <c r="I11" i="64"/>
  <c r="P10" i="64"/>
  <c r="O10" i="64"/>
  <c r="N10" i="64"/>
  <c r="M10" i="64"/>
  <c r="I10" i="64"/>
  <c r="P9" i="64"/>
  <c r="O9" i="64"/>
  <c r="N9" i="64"/>
  <c r="M9" i="64"/>
  <c r="I9" i="64"/>
  <c r="Q9" i="64" s="1"/>
  <c r="P8" i="64"/>
  <c r="O8" i="64"/>
  <c r="N8" i="64"/>
  <c r="M8" i="64"/>
  <c r="I8" i="64"/>
  <c r="P7" i="64"/>
  <c r="O7" i="64"/>
  <c r="N7" i="64"/>
  <c r="M7" i="64"/>
  <c r="I7" i="64"/>
  <c r="P6" i="64"/>
  <c r="O6" i="64"/>
  <c r="N6" i="64"/>
  <c r="M6" i="64"/>
  <c r="I6" i="64"/>
  <c r="P5" i="64"/>
  <c r="O5" i="64"/>
  <c r="N5" i="64"/>
  <c r="M5" i="64"/>
  <c r="I5" i="64"/>
  <c r="Q5" i="64" s="1"/>
  <c r="P4" i="64"/>
  <c r="O4" i="64"/>
  <c r="N4" i="64"/>
  <c r="M4" i="64"/>
  <c r="M19" i="64" s="1"/>
  <c r="I4" i="64"/>
  <c r="Q8" i="64" l="1"/>
  <c r="Q12" i="64"/>
  <c r="Q16" i="64"/>
  <c r="Q7" i="64"/>
  <c r="Q11" i="64"/>
  <c r="Q15" i="64"/>
  <c r="N19" i="64"/>
  <c r="Q6" i="64"/>
  <c r="Q10" i="64"/>
  <c r="Q14" i="64"/>
  <c r="Q18" i="64"/>
  <c r="O19" i="64"/>
  <c r="I19" i="64"/>
  <c r="P19" i="64"/>
  <c r="Q4" i="64"/>
  <c r="Q19" i="64" l="1"/>
  <c r="H52" i="57"/>
  <c r="L52" i="57"/>
  <c r="AC4" i="32"/>
  <c r="AG4" i="32" s="1"/>
  <c r="AJ4" i="32"/>
  <c r="AC5" i="32"/>
  <c r="AG5" i="32" s="1"/>
  <c r="AJ5" i="32"/>
  <c r="AC6" i="32"/>
  <c r="AG6" i="32" s="1"/>
  <c r="AJ6" i="32"/>
  <c r="AC7" i="32"/>
  <c r="AG7" i="32" s="1"/>
  <c r="AJ7" i="32"/>
  <c r="AC8" i="32"/>
  <c r="AG8" i="32" s="1"/>
  <c r="AJ8" i="32"/>
  <c r="AC9" i="32"/>
  <c r="AG9" i="32" s="1"/>
  <c r="AJ9" i="32"/>
  <c r="AC10" i="32"/>
  <c r="AG10" i="32" s="1"/>
  <c r="AJ10" i="32"/>
  <c r="AC11" i="32"/>
  <c r="AG11" i="32" s="1"/>
  <c r="AJ11" i="32"/>
  <c r="AD12" i="32"/>
  <c r="AC12" i="32"/>
  <c r="AG12" i="32" s="1"/>
  <c r="AH12" i="32"/>
  <c r="AJ12" i="32"/>
  <c r="AD13" i="32"/>
  <c r="AC13" i="32"/>
  <c r="AG13" i="32" s="1"/>
  <c r="AH13" i="32"/>
  <c r="AJ13" i="32"/>
  <c r="AL13" i="32"/>
  <c r="AD14" i="32"/>
  <c r="AC14" i="32"/>
  <c r="AG14" i="32" s="1"/>
  <c r="AH14" i="32"/>
  <c r="AJ14" i="32"/>
  <c r="AD15" i="32"/>
  <c r="AC15" i="32"/>
  <c r="AG15" i="32" s="1"/>
  <c r="AH15" i="32"/>
  <c r="AJ15" i="32"/>
  <c r="AC16" i="32"/>
  <c r="AG16" i="32" s="1"/>
  <c r="AJ16" i="32"/>
  <c r="AC17" i="32"/>
  <c r="AG17" i="32" s="1"/>
  <c r="AJ17" i="32"/>
  <c r="AN18" i="32"/>
  <c r="AB18" i="32"/>
  <c r="AA18" i="32"/>
  <c r="Z18" i="32"/>
  <c r="Y18" i="32"/>
  <c r="X4" i="32"/>
  <c r="X5" i="32"/>
  <c r="X6" i="32"/>
  <c r="X7" i="32"/>
  <c r="X8" i="32"/>
  <c r="X9" i="32"/>
  <c r="X10" i="32"/>
  <c r="X11" i="32"/>
  <c r="X12" i="32"/>
  <c r="X13" i="32"/>
  <c r="X14" i="32"/>
  <c r="X15" i="32"/>
  <c r="X16" i="32"/>
  <c r="X17" i="32"/>
  <c r="W18" i="32"/>
  <c r="V18" i="32"/>
  <c r="U18" i="32"/>
  <c r="T18" i="32"/>
  <c r="O4" i="32"/>
  <c r="P4" i="32"/>
  <c r="Q4" i="32"/>
  <c r="R4" i="32"/>
  <c r="O5" i="32"/>
  <c r="P5" i="32"/>
  <c r="Q5" i="32"/>
  <c r="R5" i="32"/>
  <c r="O6" i="32"/>
  <c r="P6" i="32"/>
  <c r="Q6" i="32"/>
  <c r="R6" i="32"/>
  <c r="O7" i="32"/>
  <c r="P7" i="32"/>
  <c r="Q7" i="32"/>
  <c r="R7" i="32"/>
  <c r="O8" i="32"/>
  <c r="P8" i="32"/>
  <c r="Q8" i="32"/>
  <c r="R8" i="32"/>
  <c r="O9" i="32"/>
  <c r="P9" i="32"/>
  <c r="Q9" i="32"/>
  <c r="R9" i="32"/>
  <c r="O10" i="32"/>
  <c r="P10" i="32"/>
  <c r="Q10" i="32"/>
  <c r="R10" i="32"/>
  <c r="O11" i="32"/>
  <c r="P11" i="32"/>
  <c r="Q11" i="32"/>
  <c r="R11" i="32"/>
  <c r="O12" i="32"/>
  <c r="P12" i="32"/>
  <c r="Q12" i="32"/>
  <c r="R12" i="32"/>
  <c r="O13" i="32"/>
  <c r="P13" i="32"/>
  <c r="Q13" i="32"/>
  <c r="R13" i="32"/>
  <c r="O14" i="32"/>
  <c r="P14" i="32"/>
  <c r="Q14" i="32"/>
  <c r="R14" i="32"/>
  <c r="O15" i="32"/>
  <c r="P15" i="32"/>
  <c r="Q15" i="32"/>
  <c r="R15" i="32"/>
  <c r="O16" i="32"/>
  <c r="P16" i="32"/>
  <c r="Q16" i="32"/>
  <c r="R16" i="32"/>
  <c r="O17" i="32"/>
  <c r="P17" i="32"/>
  <c r="Q17" i="32"/>
  <c r="R17" i="32"/>
  <c r="R18" i="32"/>
  <c r="N4" i="32"/>
  <c r="N5" i="32"/>
  <c r="N6" i="32"/>
  <c r="N7" i="32"/>
  <c r="N8" i="32"/>
  <c r="N9" i="32"/>
  <c r="N10" i="32"/>
  <c r="N11" i="32"/>
  <c r="N12" i="32"/>
  <c r="N13" i="32"/>
  <c r="N14" i="32"/>
  <c r="N15" i="32"/>
  <c r="N16" i="32"/>
  <c r="N17" i="32"/>
  <c r="M18" i="32"/>
  <c r="L18" i="32"/>
  <c r="K18" i="32"/>
  <c r="J18" i="32"/>
  <c r="I4" i="32"/>
  <c r="I5" i="32"/>
  <c r="I6" i="32"/>
  <c r="I7" i="32"/>
  <c r="I8" i="32"/>
  <c r="I9" i="32"/>
  <c r="I10" i="32"/>
  <c r="I11" i="32"/>
  <c r="I12" i="32"/>
  <c r="I13" i="32"/>
  <c r="I14" i="32"/>
  <c r="I15" i="32"/>
  <c r="I16" i="32"/>
  <c r="I17" i="32"/>
  <c r="H18" i="32"/>
  <c r="G18" i="32"/>
  <c r="F18" i="32"/>
  <c r="E18" i="32"/>
  <c r="D18" i="32"/>
  <c r="AJ18" i="32" l="1"/>
  <c r="AD18" i="32"/>
  <c r="Q18" i="32"/>
  <c r="AL14" i="32"/>
  <c r="O18" i="32"/>
  <c r="S17" i="32"/>
  <c r="S16" i="32"/>
  <c r="S14" i="32"/>
  <c r="S6" i="32"/>
  <c r="P18" i="32"/>
  <c r="AC18" i="32"/>
  <c r="S11" i="32"/>
  <c r="S10" i="32"/>
  <c r="AL12" i="32"/>
  <c r="N18" i="32"/>
  <c r="AH17" i="32"/>
  <c r="AH16" i="32"/>
  <c r="AH11" i="32"/>
  <c r="AH10" i="32"/>
  <c r="AH9" i="32"/>
  <c r="AH8" i="32"/>
  <c r="AH7" i="32"/>
  <c r="AH6" i="32"/>
  <c r="AH5" i="32"/>
  <c r="AH4" i="32"/>
  <c r="S15" i="32"/>
  <c r="S5" i="32"/>
  <c r="S4" i="32"/>
  <c r="S9" i="32"/>
  <c r="S8" i="32"/>
  <c r="AL17" i="32"/>
  <c r="AL16" i="32"/>
  <c r="AL15" i="32"/>
  <c r="AL11" i="32"/>
  <c r="AL10" i="32"/>
  <c r="AL9" i="32"/>
  <c r="AL8" i="32"/>
  <c r="AL7" i="32"/>
  <c r="AL6" i="32"/>
  <c r="AL5" i="32"/>
  <c r="AL4" i="32"/>
  <c r="I18" i="32"/>
  <c r="S13" i="32"/>
  <c r="S18" i="32" s="1"/>
  <c r="S12" i="32"/>
  <c r="S7" i="32"/>
  <c r="X18" i="32"/>
  <c r="AG18" i="32"/>
  <c r="AI17" i="32"/>
  <c r="AE17" i="32"/>
  <c r="AI16" i="32"/>
  <c r="AE16" i="32"/>
  <c r="AI15" i="32"/>
  <c r="AE15" i="32"/>
  <c r="AI14" i="32"/>
  <c r="AE14" i="32"/>
  <c r="AI13" i="32"/>
  <c r="AE13" i="32"/>
  <c r="AI12" i="32"/>
  <c r="AE12" i="32"/>
  <c r="AI11" i="32"/>
  <c r="AE11" i="32"/>
  <c r="AI10" i="32"/>
  <c r="AE10" i="32"/>
  <c r="AI9" i="32"/>
  <c r="AE9" i="32"/>
  <c r="AI8" i="32"/>
  <c r="AE8" i="32"/>
  <c r="AI7" i="32"/>
  <c r="AE7" i="32"/>
  <c r="AI6" i="32"/>
  <c r="AE6" i="32"/>
  <c r="AI5" i="32"/>
  <c r="AE5" i="32"/>
  <c r="AI4" i="32"/>
  <c r="AE4" i="32"/>
  <c r="AF17" i="32"/>
  <c r="AF16" i="32"/>
  <c r="AF15" i="32"/>
  <c r="AF14" i="32"/>
  <c r="AF13" i="32"/>
  <c r="AF12" i="32"/>
  <c r="AF11" i="32"/>
  <c r="AF10" i="32"/>
  <c r="AF9" i="32"/>
  <c r="AF8" i="32"/>
  <c r="AF7" i="32"/>
  <c r="AF6" i="32"/>
  <c r="AF5" i="32"/>
  <c r="AF4" i="32"/>
  <c r="AK17" i="32"/>
  <c r="AK16" i="32"/>
  <c r="AK15" i="32"/>
  <c r="AK14" i="32"/>
  <c r="AK13" i="32"/>
  <c r="AK12" i="32"/>
  <c r="AK11" i="32"/>
  <c r="AK10" i="32"/>
  <c r="AK9" i="32"/>
  <c r="AK8" i="32"/>
  <c r="AK7" i="32"/>
  <c r="AK6" i="32"/>
  <c r="AK5" i="32"/>
  <c r="AK4" i="32"/>
  <c r="AM8" i="32" l="1"/>
  <c r="AO8" i="32" s="1"/>
  <c r="AM16" i="32"/>
  <c r="AO16" i="32" s="1"/>
  <c r="AM5" i="32"/>
  <c r="AO5" i="32" s="1"/>
  <c r="AM9" i="32"/>
  <c r="AO9" i="32" s="1"/>
  <c r="AM13" i="32"/>
  <c r="AO13" i="32" s="1"/>
  <c r="AM17" i="32"/>
  <c r="AO17" i="32" s="1"/>
  <c r="AL18" i="32"/>
  <c r="AI18" i="32"/>
  <c r="AM6" i="32"/>
  <c r="AO6" i="32" s="1"/>
  <c r="AM10" i="32"/>
  <c r="AO10" i="32" s="1"/>
  <c r="AM12" i="32"/>
  <c r="AO12" i="32" s="1"/>
  <c r="AM11" i="32"/>
  <c r="AO11" i="32" s="1"/>
  <c r="AM15" i="32"/>
  <c r="AO15" i="32" s="1"/>
  <c r="AM7" i="32"/>
  <c r="AO7" i="32" s="1"/>
  <c r="AM14" i="32"/>
  <c r="AO14" i="32" s="1"/>
  <c r="AH18" i="32"/>
  <c r="AE18" i="32"/>
  <c r="AK18" i="32"/>
  <c r="AF18" i="32"/>
  <c r="AM4" i="32"/>
  <c r="AM18" i="32" l="1"/>
  <c r="AO4" i="32"/>
  <c r="AO18" i="32" s="1"/>
  <c r="C11" i="68" s="1"/>
  <c r="E11" i="68" l="1"/>
  <c r="G11" i="68"/>
  <c r="E27" i="33"/>
  <c r="D27" i="33"/>
  <c r="G26" i="33"/>
  <c r="G25" i="33"/>
  <c r="G24" i="33"/>
  <c r="G23" i="33"/>
  <c r="G22" i="33"/>
  <c r="G21" i="33"/>
  <c r="G20" i="33"/>
  <c r="G19" i="33"/>
  <c r="G18" i="33"/>
  <c r="G17" i="33"/>
  <c r="G16" i="33"/>
  <c r="G15" i="33"/>
  <c r="G14" i="33"/>
  <c r="G13" i="33"/>
  <c r="G12" i="33"/>
  <c r="G11" i="33"/>
  <c r="G10" i="33"/>
  <c r="G9" i="33"/>
  <c r="G8" i="33"/>
  <c r="G7" i="33"/>
  <c r="G6" i="33"/>
  <c r="G5" i="33"/>
  <c r="G4" i="33"/>
  <c r="G3" i="33"/>
  <c r="G27" i="33" l="1"/>
  <c r="C9" i="68" s="1"/>
  <c r="F9" i="68" l="1"/>
  <c r="F12" i="68" s="1"/>
  <c r="E9" i="68"/>
  <c r="G9" i="68"/>
  <c r="E3" i="31"/>
  <c r="E4" i="31"/>
  <c r="E5" i="31"/>
  <c r="E6" i="31"/>
  <c r="E7" i="31"/>
  <c r="E8" i="31"/>
  <c r="E9" i="31"/>
  <c r="E10" i="31"/>
  <c r="E11" i="31"/>
  <c r="E12" i="31"/>
  <c r="E13" i="31"/>
  <c r="E14" i="31"/>
  <c r="E15" i="31"/>
  <c r="E16" i="31"/>
  <c r="E17" i="31"/>
  <c r="D18" i="31"/>
  <c r="E18" i="31" l="1"/>
  <c r="C7" i="68" s="1"/>
  <c r="E7" i="68" l="1"/>
  <c r="G7" i="68"/>
  <c r="Q74" i="57"/>
  <c r="J74" i="57"/>
  <c r="L72" i="57"/>
  <c r="L45" i="57" s="1"/>
  <c r="L44" i="57" s="1"/>
  <c r="K72" i="57"/>
  <c r="S71" i="57"/>
  <c r="L71" i="57"/>
  <c r="K71" i="57"/>
  <c r="T70" i="57"/>
  <c r="T69" i="57"/>
  <c r="T68" i="57"/>
  <c r="T67" i="57"/>
  <c r="T66" i="57"/>
  <c r="S65" i="57"/>
  <c r="R65" i="57"/>
  <c r="Q65" i="57"/>
  <c r="P65" i="57"/>
  <c r="O65" i="57"/>
  <c r="N65" i="57"/>
  <c r="M65" i="57"/>
  <c r="L65" i="57"/>
  <c r="K65" i="57"/>
  <c r="J65" i="57"/>
  <c r="I65" i="57"/>
  <c r="H65" i="57"/>
  <c r="G65" i="57"/>
  <c r="F65" i="57"/>
  <c r="E65" i="57"/>
  <c r="T65" i="57" s="1"/>
  <c r="T64" i="57"/>
  <c r="T63" i="57"/>
  <c r="T62" i="57"/>
  <c r="T61" i="57"/>
  <c r="S60" i="57"/>
  <c r="S47" i="57" s="1"/>
  <c r="R60" i="57"/>
  <c r="P60" i="57"/>
  <c r="O60" i="57"/>
  <c r="N60" i="57"/>
  <c r="M60" i="57"/>
  <c r="L60" i="57"/>
  <c r="K60" i="57"/>
  <c r="J60" i="57"/>
  <c r="I60" i="57"/>
  <c r="H60" i="57"/>
  <c r="G60" i="57"/>
  <c r="F60" i="57"/>
  <c r="E60" i="57"/>
  <c r="T59" i="57"/>
  <c r="T58" i="57"/>
  <c r="S57" i="57"/>
  <c r="R57" i="57"/>
  <c r="Q57" i="57"/>
  <c r="P57" i="57"/>
  <c r="O57" i="57"/>
  <c r="N57" i="57"/>
  <c r="M57" i="57"/>
  <c r="L57" i="57"/>
  <c r="K57" i="57"/>
  <c r="J57" i="57"/>
  <c r="I57" i="57"/>
  <c r="H57" i="57"/>
  <c r="G57" i="57"/>
  <c r="F57" i="57"/>
  <c r="E57" i="57"/>
  <c r="T56" i="57"/>
  <c r="S55" i="57"/>
  <c r="R55" i="57"/>
  <c r="Q55" i="57"/>
  <c r="P55" i="57"/>
  <c r="O55" i="57"/>
  <c r="N55" i="57"/>
  <c r="M55" i="57"/>
  <c r="L55" i="57"/>
  <c r="K55" i="57"/>
  <c r="J55" i="57"/>
  <c r="I55" i="57"/>
  <c r="H55" i="57"/>
  <c r="G55" i="57"/>
  <c r="F55" i="57"/>
  <c r="E55" i="57"/>
  <c r="S54" i="57"/>
  <c r="S53" i="57" s="1"/>
  <c r="R54" i="57"/>
  <c r="Q54" i="57"/>
  <c r="Q53" i="57" s="1"/>
  <c r="P54" i="57"/>
  <c r="O54" i="57"/>
  <c r="O53" i="57" s="1"/>
  <c r="N54" i="57"/>
  <c r="M54" i="57"/>
  <c r="M53" i="57" s="1"/>
  <c r="L54" i="57"/>
  <c r="K54" i="57"/>
  <c r="K53" i="57" s="1"/>
  <c r="J54" i="57"/>
  <c r="I54" i="57"/>
  <c r="I53" i="57" s="1"/>
  <c r="H54" i="57"/>
  <c r="G54" i="57"/>
  <c r="G53" i="57" s="1"/>
  <c r="F54" i="57"/>
  <c r="E54" i="57"/>
  <c r="R53" i="57"/>
  <c r="P53" i="57"/>
  <c r="N53" i="57"/>
  <c r="L53" i="57"/>
  <c r="J53" i="57"/>
  <c r="H53" i="57"/>
  <c r="F53" i="57"/>
  <c r="T52" i="57"/>
  <c r="S51" i="57"/>
  <c r="R51" i="57"/>
  <c r="Q51" i="57"/>
  <c r="P51" i="57"/>
  <c r="O51" i="57"/>
  <c r="N51" i="57"/>
  <c r="M51" i="57"/>
  <c r="L51" i="57"/>
  <c r="K51" i="57"/>
  <c r="J51" i="57"/>
  <c r="I51" i="57"/>
  <c r="H51" i="57"/>
  <c r="G51" i="57"/>
  <c r="F51" i="57"/>
  <c r="E51" i="57"/>
  <c r="P50" i="57"/>
  <c r="P49" i="57" s="1"/>
  <c r="S48" i="57"/>
  <c r="R48" i="57"/>
  <c r="Q48" i="57"/>
  <c r="P48" i="57"/>
  <c r="O48" i="57"/>
  <c r="N48" i="57"/>
  <c r="M48" i="57"/>
  <c r="L48" i="57"/>
  <c r="K48" i="57"/>
  <c r="J48" i="57"/>
  <c r="I48" i="57"/>
  <c r="H48" i="57"/>
  <c r="G48" i="57"/>
  <c r="F48" i="57"/>
  <c r="E48" i="57"/>
  <c r="R47" i="57"/>
  <c r="R46" i="57" s="1"/>
  <c r="Q47" i="57"/>
  <c r="Q46" i="57" s="1"/>
  <c r="P47" i="57"/>
  <c r="N47" i="57"/>
  <c r="N46" i="57" s="1"/>
  <c r="M47" i="57"/>
  <c r="M46" i="57" s="1"/>
  <c r="L47" i="57"/>
  <c r="J47" i="57"/>
  <c r="J46" i="57" s="1"/>
  <c r="I47" i="57"/>
  <c r="I46" i="57" s="1"/>
  <c r="H47" i="57"/>
  <c r="F47" i="57"/>
  <c r="F46" i="57" s="1"/>
  <c r="E47" i="57"/>
  <c r="P46" i="57"/>
  <c r="L46" i="57"/>
  <c r="H46" i="57"/>
  <c r="S45" i="57"/>
  <c r="R45" i="57"/>
  <c r="R44" i="57" s="1"/>
  <c r="Q45" i="57"/>
  <c r="P45" i="57"/>
  <c r="P44" i="57" s="1"/>
  <c r="O45" i="57"/>
  <c r="N45" i="57"/>
  <c r="N44" i="57" s="1"/>
  <c r="M45" i="57"/>
  <c r="K45" i="57"/>
  <c r="J45" i="57"/>
  <c r="J44" i="57" s="1"/>
  <c r="I45" i="57"/>
  <c r="H45" i="57"/>
  <c r="H44" i="57" s="1"/>
  <c r="G45" i="57"/>
  <c r="F45" i="57"/>
  <c r="F44" i="57" s="1"/>
  <c r="E45" i="57"/>
  <c r="S44" i="57"/>
  <c r="Q44" i="57"/>
  <c r="O44" i="57"/>
  <c r="M44" i="57"/>
  <c r="K44" i="57"/>
  <c r="I44" i="57"/>
  <c r="G44" i="57"/>
  <c r="E44" i="57"/>
  <c r="S43" i="57"/>
  <c r="R43" i="57"/>
  <c r="R42" i="57" s="1"/>
  <c r="Q43" i="57"/>
  <c r="P43" i="57"/>
  <c r="P42" i="57" s="1"/>
  <c r="P37" i="57" s="1"/>
  <c r="O43" i="57"/>
  <c r="N43" i="57"/>
  <c r="N42" i="57" s="1"/>
  <c r="M43" i="57"/>
  <c r="L43" i="57"/>
  <c r="L42" i="57" s="1"/>
  <c r="J43" i="57"/>
  <c r="J42" i="57" s="1"/>
  <c r="I43" i="57"/>
  <c r="H43" i="57"/>
  <c r="H42" i="57" s="1"/>
  <c r="G43" i="57"/>
  <c r="F43" i="57"/>
  <c r="F42" i="57" s="1"/>
  <c r="E43" i="57"/>
  <c r="S42" i="57"/>
  <c r="Q42" i="57"/>
  <c r="O42" i="57"/>
  <c r="M42" i="57"/>
  <c r="I42" i="57"/>
  <c r="G42" i="57"/>
  <c r="E42" i="57"/>
  <c r="R41" i="57"/>
  <c r="R40" i="57" s="1"/>
  <c r="Q41" i="57"/>
  <c r="Q40" i="57" s="1"/>
  <c r="P41" i="57"/>
  <c r="N41" i="57"/>
  <c r="N40" i="57" s="1"/>
  <c r="M41" i="57"/>
  <c r="M40" i="57" s="1"/>
  <c r="L41" i="57"/>
  <c r="J41" i="57"/>
  <c r="J40" i="57" s="1"/>
  <c r="I41" i="57"/>
  <c r="I40" i="57" s="1"/>
  <c r="H41" i="57"/>
  <c r="F41" i="57"/>
  <c r="F40" i="57" s="1"/>
  <c r="E41" i="57"/>
  <c r="E40" i="57" s="1"/>
  <c r="P40" i="57"/>
  <c r="L40" i="57"/>
  <c r="H40" i="57"/>
  <c r="R39" i="57"/>
  <c r="P39" i="57"/>
  <c r="O39" i="57"/>
  <c r="J39" i="57"/>
  <c r="I39" i="57"/>
  <c r="H39" i="57"/>
  <c r="T39" i="57" s="1"/>
  <c r="T38" i="57"/>
  <c r="S36" i="57"/>
  <c r="Q36" i="57"/>
  <c r="Q35" i="57" s="1"/>
  <c r="O36" i="57"/>
  <c r="N36" i="57"/>
  <c r="M36" i="57"/>
  <c r="M35" i="57" s="1"/>
  <c r="L36" i="57"/>
  <c r="L35" i="57" s="1"/>
  <c r="K36" i="57"/>
  <c r="J36" i="57"/>
  <c r="I36" i="57"/>
  <c r="H36" i="57"/>
  <c r="H35" i="57" s="1"/>
  <c r="H32" i="57" s="1"/>
  <c r="G36" i="57"/>
  <c r="F36" i="57"/>
  <c r="E36" i="57"/>
  <c r="E35" i="57" s="1"/>
  <c r="S35" i="57"/>
  <c r="R35" i="57"/>
  <c r="P35" i="57"/>
  <c r="O35" i="57"/>
  <c r="N35" i="57"/>
  <c r="N32" i="57" s="1"/>
  <c r="K35" i="57"/>
  <c r="J35" i="57"/>
  <c r="J32" i="57" s="1"/>
  <c r="I35" i="57"/>
  <c r="G35" i="57"/>
  <c r="F35" i="57"/>
  <c r="S34" i="57"/>
  <c r="S74" i="57" s="1"/>
  <c r="R34" i="57"/>
  <c r="R74" i="57" s="1"/>
  <c r="P34" i="57"/>
  <c r="O34" i="57"/>
  <c r="O74" i="57" s="1"/>
  <c r="N34" i="57"/>
  <c r="N74" i="57" s="1"/>
  <c r="M34" i="57"/>
  <c r="M74" i="57" s="1"/>
  <c r="L34" i="57"/>
  <c r="L74" i="57" s="1"/>
  <c r="K34" i="57"/>
  <c r="K74" i="57" s="1"/>
  <c r="I34" i="57"/>
  <c r="I74" i="57" s="1"/>
  <c r="H34" i="57"/>
  <c r="H74" i="57" s="1"/>
  <c r="G34" i="57"/>
  <c r="G74" i="57" s="1"/>
  <c r="F34" i="57"/>
  <c r="F74" i="57" s="1"/>
  <c r="E34" i="57"/>
  <c r="E74" i="57" s="1"/>
  <c r="R33" i="57"/>
  <c r="Q33" i="57"/>
  <c r="N33" i="57"/>
  <c r="M33" i="57"/>
  <c r="M32" i="57" s="1"/>
  <c r="J33" i="57"/>
  <c r="I33" i="57"/>
  <c r="I32" i="57" s="1"/>
  <c r="H33" i="57"/>
  <c r="F33" i="57"/>
  <c r="E33" i="57"/>
  <c r="E32" i="57" s="1"/>
  <c r="R32" i="57"/>
  <c r="F32" i="57"/>
  <c r="T31" i="57"/>
  <c r="S30" i="57"/>
  <c r="S50" i="57" s="1"/>
  <c r="S49" i="57" s="1"/>
  <c r="R30" i="57"/>
  <c r="Q30" i="57"/>
  <c r="Q50" i="57" s="1"/>
  <c r="Q49" i="57" s="1"/>
  <c r="O30" i="57"/>
  <c r="O50" i="57" s="1"/>
  <c r="O49" i="57" s="1"/>
  <c r="N30" i="57"/>
  <c r="N50" i="57" s="1"/>
  <c r="N49" i="57" s="1"/>
  <c r="M30" i="57"/>
  <c r="L30" i="57"/>
  <c r="L50" i="57" s="1"/>
  <c r="L49" i="57" s="1"/>
  <c r="K30" i="57"/>
  <c r="K50" i="57" s="1"/>
  <c r="K49" i="57" s="1"/>
  <c r="J30" i="57"/>
  <c r="J50" i="57" s="1"/>
  <c r="J49" i="57" s="1"/>
  <c r="I30" i="57"/>
  <c r="H30" i="57"/>
  <c r="H50" i="57" s="1"/>
  <c r="H49" i="57" s="1"/>
  <c r="G30" i="57"/>
  <c r="G50" i="57" s="1"/>
  <c r="G49" i="57" s="1"/>
  <c r="F30" i="57"/>
  <c r="F50" i="57" s="1"/>
  <c r="F49" i="57" s="1"/>
  <c r="E30" i="57"/>
  <c r="Q29" i="57"/>
  <c r="P29" i="57"/>
  <c r="P28" i="57" s="1"/>
  <c r="O29" i="57"/>
  <c r="O28" i="57" s="1"/>
  <c r="N29" i="57"/>
  <c r="L29" i="57"/>
  <c r="L28" i="57" s="1"/>
  <c r="K29" i="57"/>
  <c r="K28" i="57" s="1"/>
  <c r="J29" i="57"/>
  <c r="H29" i="57"/>
  <c r="H28" i="57" s="1"/>
  <c r="G29" i="57"/>
  <c r="G28" i="57" s="1"/>
  <c r="F29" i="57"/>
  <c r="Q28" i="57"/>
  <c r="N28" i="57"/>
  <c r="J28" i="57"/>
  <c r="F28" i="57"/>
  <c r="Q27" i="57"/>
  <c r="P27" i="57"/>
  <c r="P26" i="57" s="1"/>
  <c r="O27" i="57"/>
  <c r="O26" i="57" s="1"/>
  <c r="N27" i="57"/>
  <c r="L27" i="57"/>
  <c r="L26" i="57" s="1"/>
  <c r="K27" i="57"/>
  <c r="K26" i="57" s="1"/>
  <c r="J27" i="57"/>
  <c r="H27" i="57"/>
  <c r="H26" i="57" s="1"/>
  <c r="G27" i="57"/>
  <c r="G26" i="57" s="1"/>
  <c r="F27" i="57"/>
  <c r="Q26" i="57"/>
  <c r="N26" i="57"/>
  <c r="J26" i="57"/>
  <c r="F26" i="57"/>
  <c r="S25" i="57"/>
  <c r="Q25" i="57"/>
  <c r="P25" i="57"/>
  <c r="P23" i="57" s="1"/>
  <c r="P21" i="57" s="1"/>
  <c r="N25" i="57"/>
  <c r="L25" i="57"/>
  <c r="L23" i="57" s="1"/>
  <c r="J25" i="57"/>
  <c r="H25" i="57"/>
  <c r="H23" i="57" s="1"/>
  <c r="H21" i="57" s="1"/>
  <c r="F25" i="57"/>
  <c r="S24" i="57"/>
  <c r="S23" i="57" s="1"/>
  <c r="Q24" i="57"/>
  <c r="Q23" i="57" s="1"/>
  <c r="P24" i="57"/>
  <c r="O24" i="57"/>
  <c r="N24" i="57"/>
  <c r="L24" i="57"/>
  <c r="K24" i="57"/>
  <c r="J24" i="57"/>
  <c r="H24" i="57"/>
  <c r="G24" i="57"/>
  <c r="F24" i="57"/>
  <c r="N23" i="57"/>
  <c r="N21" i="57" s="1"/>
  <c r="J23" i="57"/>
  <c r="J21" i="57" s="1"/>
  <c r="F23" i="57"/>
  <c r="F21" i="57" s="1"/>
  <c r="S22" i="57"/>
  <c r="Q22" i="57"/>
  <c r="Q21" i="57" s="1"/>
  <c r="P22" i="57"/>
  <c r="O22" i="57"/>
  <c r="N22" i="57"/>
  <c r="M22" i="57"/>
  <c r="L22" i="57"/>
  <c r="K22" i="57"/>
  <c r="J22" i="57"/>
  <c r="I22" i="57"/>
  <c r="H22" i="57"/>
  <c r="G22" i="57"/>
  <c r="F22" i="57"/>
  <c r="E22" i="57"/>
  <c r="L21" i="57"/>
  <c r="R20" i="57"/>
  <c r="R16" i="57" s="1"/>
  <c r="J20" i="57"/>
  <c r="J16" i="57" s="1"/>
  <c r="I20" i="57"/>
  <c r="H20" i="57"/>
  <c r="F20" i="57"/>
  <c r="E20" i="57"/>
  <c r="S19" i="57"/>
  <c r="S16" i="57" s="1"/>
  <c r="R19" i="57"/>
  <c r="Q19" i="57"/>
  <c r="P19" i="57"/>
  <c r="O19" i="57"/>
  <c r="N19" i="57"/>
  <c r="M19" i="57"/>
  <c r="M16" i="57" s="1"/>
  <c r="L19" i="57"/>
  <c r="K19" i="57"/>
  <c r="K16" i="57" s="1"/>
  <c r="J19" i="57"/>
  <c r="I19" i="57"/>
  <c r="H19" i="57"/>
  <c r="H16" i="57" s="1"/>
  <c r="G19" i="57"/>
  <c r="F19" i="57"/>
  <c r="E19" i="57"/>
  <c r="E16" i="57" s="1"/>
  <c r="T18" i="57"/>
  <c r="T17" i="57"/>
  <c r="Q16" i="57"/>
  <c r="P16" i="57"/>
  <c r="N16" i="57"/>
  <c r="L16" i="57"/>
  <c r="I16" i="57"/>
  <c r="F16" i="57"/>
  <c r="S15" i="57"/>
  <c r="S13" i="57" s="1"/>
  <c r="Q15" i="57"/>
  <c r="Q13" i="57" s="1"/>
  <c r="P15" i="57"/>
  <c r="O15" i="57"/>
  <c r="O13" i="57" s="1"/>
  <c r="N15" i="57"/>
  <c r="M15" i="57"/>
  <c r="L15" i="57"/>
  <c r="K15" i="57"/>
  <c r="K13" i="57" s="1"/>
  <c r="J15" i="57"/>
  <c r="I15" i="57"/>
  <c r="H15" i="57"/>
  <c r="G15" i="57"/>
  <c r="G13" i="57" s="1"/>
  <c r="F15" i="57"/>
  <c r="E15" i="57"/>
  <c r="S14" i="57"/>
  <c r="R14" i="57"/>
  <c r="Q14" i="57"/>
  <c r="P14" i="57"/>
  <c r="P13" i="57" s="1"/>
  <c r="O14" i="57"/>
  <c r="N14" i="57"/>
  <c r="N13" i="57" s="1"/>
  <c r="L14" i="57"/>
  <c r="L13" i="57" s="1"/>
  <c r="K14" i="57"/>
  <c r="J14" i="57"/>
  <c r="J13" i="57" s="1"/>
  <c r="H14" i="57"/>
  <c r="H13" i="57" s="1"/>
  <c r="G14" i="57"/>
  <c r="F14" i="57"/>
  <c r="F13" i="57" s="1"/>
  <c r="S12" i="57"/>
  <c r="R12" i="57"/>
  <c r="R11" i="57" s="1"/>
  <c r="Q12" i="57"/>
  <c r="P12" i="57"/>
  <c r="P11" i="57" s="1"/>
  <c r="N12" i="57"/>
  <c r="N11" i="57" s="1"/>
  <c r="M12" i="57"/>
  <c r="L12" i="57"/>
  <c r="L11" i="57" s="1"/>
  <c r="J12" i="57"/>
  <c r="J11" i="57" s="1"/>
  <c r="I12" i="57"/>
  <c r="H12" i="57"/>
  <c r="H11" i="57" s="1"/>
  <c r="F12" i="57"/>
  <c r="F11" i="57" s="1"/>
  <c r="E12" i="57"/>
  <c r="S11" i="57"/>
  <c r="Q11" i="57"/>
  <c r="Q9" i="57" s="1"/>
  <c r="Q5" i="57" s="1"/>
  <c r="Q73" i="57" s="1"/>
  <c r="M11" i="57"/>
  <c r="M9" i="57" s="1"/>
  <c r="I11" i="57"/>
  <c r="I9" i="57" s="1"/>
  <c r="E11" i="57"/>
  <c r="E9" i="57" s="1"/>
  <c r="S10" i="57"/>
  <c r="R10" i="57"/>
  <c r="R9" i="57" s="1"/>
  <c r="Q10" i="57"/>
  <c r="P10" i="57"/>
  <c r="P9" i="57" s="1"/>
  <c r="O10" i="57"/>
  <c r="N10" i="57"/>
  <c r="N9" i="57" s="1"/>
  <c r="M10" i="57"/>
  <c r="L10" i="57"/>
  <c r="L9" i="57" s="1"/>
  <c r="K10" i="57"/>
  <c r="J10" i="57"/>
  <c r="I10" i="57"/>
  <c r="H10" i="57"/>
  <c r="H9" i="57" s="1"/>
  <c r="G10" i="57"/>
  <c r="F10" i="57"/>
  <c r="F9" i="57" s="1"/>
  <c r="E10" i="57"/>
  <c r="S9" i="57"/>
  <c r="S8" i="57"/>
  <c r="R8" i="57"/>
  <c r="Q8" i="57"/>
  <c r="P8" i="57"/>
  <c r="O8" i="57"/>
  <c r="N8" i="57"/>
  <c r="M8" i="57"/>
  <c r="L8" i="57"/>
  <c r="K8" i="57"/>
  <c r="J8" i="57"/>
  <c r="I8" i="57"/>
  <c r="H8" i="57"/>
  <c r="G8" i="57"/>
  <c r="F8" i="57"/>
  <c r="E8" i="57"/>
  <c r="S7" i="57"/>
  <c r="R7" i="57"/>
  <c r="Q7" i="57"/>
  <c r="Q6" i="57" s="1"/>
  <c r="P7" i="57"/>
  <c r="O7" i="57"/>
  <c r="O6" i="57" s="1"/>
  <c r="N7" i="57"/>
  <c r="M7" i="57"/>
  <c r="M6" i="57" s="1"/>
  <c r="L7" i="57"/>
  <c r="L6" i="57" s="1"/>
  <c r="L5" i="57" s="1"/>
  <c r="K7" i="57"/>
  <c r="J7" i="57"/>
  <c r="I7" i="57"/>
  <c r="I6" i="57" s="1"/>
  <c r="H7" i="57"/>
  <c r="G7" i="57"/>
  <c r="F7" i="57"/>
  <c r="E7" i="57"/>
  <c r="S6" i="57"/>
  <c r="R6" i="57"/>
  <c r="P6" i="57"/>
  <c r="P5" i="57" s="1"/>
  <c r="P73" i="57" s="1"/>
  <c r="N6" i="57"/>
  <c r="N5" i="57" s="1"/>
  <c r="N73" i="57" s="1"/>
  <c r="K6" i="57"/>
  <c r="J6" i="57"/>
  <c r="H6" i="57"/>
  <c r="H5" i="57" s="1"/>
  <c r="G6" i="57"/>
  <c r="F6" i="57"/>
  <c r="F5" i="57"/>
  <c r="F73" i="57" s="1"/>
  <c r="S27" i="57"/>
  <c r="S26" i="57" s="1"/>
  <c r="S29" i="57"/>
  <c r="S28" i="57" s="1"/>
  <c r="T30" i="57"/>
  <c r="K33" i="57"/>
  <c r="K32" i="57" s="1"/>
  <c r="O33" i="57"/>
  <c r="O32" i="57" s="1"/>
  <c r="S33" i="57"/>
  <c r="S32" i="57" s="1"/>
  <c r="S41" i="57"/>
  <c r="S40" i="57" s="1"/>
  <c r="L73" i="57" l="1"/>
  <c r="H73" i="57"/>
  <c r="T44" i="57"/>
  <c r="E46" i="57"/>
  <c r="T57" i="57"/>
  <c r="G20" i="57"/>
  <c r="G12" i="57"/>
  <c r="G11" i="57" s="1"/>
  <c r="G9" i="57" s="1"/>
  <c r="T9" i="57" s="1"/>
  <c r="G47" i="57"/>
  <c r="G46" i="57" s="1"/>
  <c r="G41" i="57"/>
  <c r="G40" i="57" s="1"/>
  <c r="T40" i="57" s="1"/>
  <c r="K12" i="57"/>
  <c r="K11" i="57" s="1"/>
  <c r="K9" i="57" s="1"/>
  <c r="K47" i="57"/>
  <c r="K46" i="57" s="1"/>
  <c r="K41" i="57"/>
  <c r="K40" i="57" s="1"/>
  <c r="O20" i="57"/>
  <c r="O12" i="57"/>
  <c r="O11" i="57" s="1"/>
  <c r="O9" i="57" s="1"/>
  <c r="O47" i="57"/>
  <c r="O46" i="57" s="1"/>
  <c r="O41" i="57"/>
  <c r="O40" i="57" s="1"/>
  <c r="T71" i="57"/>
  <c r="K43" i="57"/>
  <c r="K42" i="57" s="1"/>
  <c r="T35" i="57"/>
  <c r="E50" i="57"/>
  <c r="E14" i="57"/>
  <c r="E29" i="57"/>
  <c r="E28" i="57" s="1"/>
  <c r="E27" i="57"/>
  <c r="E26" i="57" s="1"/>
  <c r="E24" i="57"/>
  <c r="E25" i="57"/>
  <c r="I50" i="57"/>
  <c r="I49" i="57" s="1"/>
  <c r="I37" i="57" s="1"/>
  <c r="I14" i="57"/>
  <c r="I13" i="57" s="1"/>
  <c r="I29" i="57"/>
  <c r="I28" i="57" s="1"/>
  <c r="I27" i="57"/>
  <c r="I26" i="57" s="1"/>
  <c r="I24" i="57"/>
  <c r="I23" i="57" s="1"/>
  <c r="I25" i="57"/>
  <c r="M50" i="57"/>
  <c r="M49" i="57" s="1"/>
  <c r="M37" i="57" s="1"/>
  <c r="M14" i="57"/>
  <c r="M13" i="57" s="1"/>
  <c r="M5" i="57" s="1"/>
  <c r="M73" i="57" s="1"/>
  <c r="M29" i="57"/>
  <c r="M28" i="57" s="1"/>
  <c r="M27" i="57"/>
  <c r="M26" i="57" s="1"/>
  <c r="M24" i="57"/>
  <c r="M23" i="57" s="1"/>
  <c r="M25" i="57"/>
  <c r="R50" i="57"/>
  <c r="R49" i="57" s="1"/>
  <c r="R37" i="57" s="1"/>
  <c r="R29" i="57"/>
  <c r="R28" i="57" s="1"/>
  <c r="R27" i="57"/>
  <c r="R26" i="57" s="1"/>
  <c r="R24" i="57"/>
  <c r="R15" i="57"/>
  <c r="T15" i="57" s="1"/>
  <c r="R25" i="57"/>
  <c r="R22" i="57"/>
  <c r="G33" i="57"/>
  <c r="L33" i="57"/>
  <c r="L32" i="57" s="1"/>
  <c r="L4" i="57" s="1"/>
  <c r="T34" i="57"/>
  <c r="T74" i="57" s="1"/>
  <c r="T22" i="57"/>
  <c r="I21" i="57"/>
  <c r="I5" i="57" s="1"/>
  <c r="I73" i="57" s="1"/>
  <c r="M21" i="57"/>
  <c r="T28" i="57"/>
  <c r="T11" i="57"/>
  <c r="G16" i="57"/>
  <c r="O16" i="57"/>
  <c r="P74" i="57"/>
  <c r="P33" i="57"/>
  <c r="Q32" i="57"/>
  <c r="J9" i="57"/>
  <c r="J5" i="57" s="1"/>
  <c r="J73" i="57" s="1"/>
  <c r="T7" i="57"/>
  <c r="E6" i="57"/>
  <c r="S21" i="57"/>
  <c r="T8" i="57"/>
  <c r="T12" i="57"/>
  <c r="T20" i="57"/>
  <c r="F37" i="57"/>
  <c r="F4" i="57" s="1"/>
  <c r="J37" i="57"/>
  <c r="J4" i="57" s="1"/>
  <c r="N37" i="57"/>
  <c r="N4" i="57" s="1"/>
  <c r="G32" i="57"/>
  <c r="T32" i="57" s="1"/>
  <c r="C6" i="68" s="1"/>
  <c r="T43" i="57"/>
  <c r="T55" i="57"/>
  <c r="T19" i="57"/>
  <c r="G37" i="57"/>
  <c r="K37" i="57"/>
  <c r="O37" i="57"/>
  <c r="P32" i="57"/>
  <c r="P4" i="57" s="1"/>
  <c r="T36" i="57"/>
  <c r="T42" i="57"/>
  <c r="T48" i="57"/>
  <c r="T54" i="57"/>
  <c r="T60" i="57"/>
  <c r="T26" i="57"/>
  <c r="T10" i="57"/>
  <c r="G25" i="57"/>
  <c r="G23" i="57" s="1"/>
  <c r="G21" i="57" s="1"/>
  <c r="K25" i="57"/>
  <c r="K23" i="57" s="1"/>
  <c r="K21" i="57" s="1"/>
  <c r="K5" i="57" s="1"/>
  <c r="O25" i="57"/>
  <c r="O23" i="57" s="1"/>
  <c r="O21" i="57" s="1"/>
  <c r="H37" i="57"/>
  <c r="H4" i="57" s="1"/>
  <c r="L37" i="57"/>
  <c r="Q37" i="57"/>
  <c r="T45" i="57"/>
  <c r="E53" i="57"/>
  <c r="T53" i="57" s="1"/>
  <c r="S46" i="57"/>
  <c r="S37" i="57" s="1"/>
  <c r="T72" i="57"/>
  <c r="T51" i="57"/>
  <c r="S5" i="57"/>
  <c r="T27" i="57"/>
  <c r="T29" i="57"/>
  <c r="T33" i="57"/>
  <c r="T41" i="57"/>
  <c r="G6" i="68" l="1"/>
  <c r="E6" i="68"/>
  <c r="K73" i="57"/>
  <c r="K4" i="57"/>
  <c r="T6" i="57"/>
  <c r="G5" i="57"/>
  <c r="M4" i="57"/>
  <c r="T24" i="57"/>
  <c r="E23" i="57"/>
  <c r="T50" i="57"/>
  <c r="E49" i="57"/>
  <c r="T46" i="57"/>
  <c r="Q4" i="57"/>
  <c r="I4" i="57"/>
  <c r="T47" i="57"/>
  <c r="R13" i="57"/>
  <c r="O5" i="57"/>
  <c r="T16" i="57"/>
  <c r="R23" i="57"/>
  <c r="R21" i="57" s="1"/>
  <c r="T25" i="57"/>
  <c r="T14" i="57"/>
  <c r="E13" i="57"/>
  <c r="T13" i="57" s="1"/>
  <c r="S4" i="57"/>
  <c r="S73" i="57"/>
  <c r="O73" i="57" l="1"/>
  <c r="O4" i="57"/>
  <c r="R5" i="57"/>
  <c r="T23" i="57"/>
  <c r="E21" i="57"/>
  <c r="T21" i="57" s="1"/>
  <c r="G4" i="57"/>
  <c r="G73" i="57"/>
  <c r="E5" i="57"/>
  <c r="T49" i="57"/>
  <c r="E37" i="57"/>
  <c r="T37" i="57" s="1"/>
  <c r="C5" i="68" s="1"/>
  <c r="B4" i="43"/>
  <c r="C3" i="43"/>
  <c r="E73" i="57" l="1"/>
  <c r="T5" i="57"/>
  <c r="E4" i="57"/>
  <c r="T4" i="57" s="1"/>
  <c r="R73" i="57"/>
  <c r="R4" i="57"/>
  <c r="E5" i="68"/>
  <c r="G5" i="68"/>
  <c r="C4" i="43"/>
  <c r="C8" i="68" s="1"/>
  <c r="E8" i="68" l="1"/>
  <c r="G8" i="68"/>
  <c r="T73" i="57"/>
  <c r="C4" i="68"/>
  <c r="E4" i="68" l="1"/>
  <c r="E12" i="68" s="1"/>
  <c r="C12" i="68"/>
  <c r="G4" i="68"/>
  <c r="G12" i="68" s="1"/>
</calcChain>
</file>

<file path=xl/sharedStrings.xml><?xml version="1.0" encoding="utf-8"?>
<sst xmlns="http://schemas.openxmlformats.org/spreadsheetml/2006/main" count="664" uniqueCount="389">
  <si>
    <t>工资福利支出</t>
  </si>
  <si>
    <t>商品服务支出</t>
  </si>
  <si>
    <t>颛桥</t>
  </si>
  <si>
    <t>序号</t>
  </si>
  <si>
    <t>项目名称</t>
  </si>
  <si>
    <t>功能分类</t>
  </si>
  <si>
    <t>口径</t>
  </si>
  <si>
    <t>合计</t>
  </si>
  <si>
    <t>1</t>
  </si>
  <si>
    <t>基本支出总预算数</t>
  </si>
  <si>
    <t>公式计算</t>
  </si>
  <si>
    <t>2</t>
  </si>
  <si>
    <t>3</t>
  </si>
  <si>
    <t>　　基本工资</t>
  </si>
  <si>
    <t>4</t>
  </si>
  <si>
    <t>　　　　1、岗位工资</t>
  </si>
  <si>
    <t>主款项</t>
  </si>
  <si>
    <t>根据人事口径按实编制</t>
  </si>
  <si>
    <t>5</t>
  </si>
  <si>
    <t>　　　　2、薪级工资</t>
  </si>
  <si>
    <t>6</t>
  </si>
  <si>
    <t>　　津贴补贴</t>
  </si>
  <si>
    <t>7</t>
  </si>
  <si>
    <t>　　　　1、各类津贴★▲</t>
  </si>
  <si>
    <t>8</t>
  </si>
  <si>
    <t>　　　　2、各类补贴</t>
  </si>
  <si>
    <t>9</t>
  </si>
  <si>
    <t>10</t>
  </si>
  <si>
    <t>　　其他社会保障缴费</t>
  </si>
  <si>
    <t>注：社保缴费基数应该相同</t>
  </si>
  <si>
    <t>11</t>
  </si>
  <si>
    <t>公式计算（请检查）</t>
  </si>
  <si>
    <t>12</t>
  </si>
  <si>
    <t>13</t>
  </si>
  <si>
    <t>　　绩效工资</t>
  </si>
  <si>
    <t>14</t>
  </si>
  <si>
    <t>　　　　1、绩效工资</t>
  </si>
  <si>
    <t>15</t>
  </si>
  <si>
    <t>　　　　2、校长职级制</t>
  </si>
  <si>
    <t>根据校长职级制按实编制</t>
  </si>
  <si>
    <t>16</t>
  </si>
  <si>
    <t>17</t>
  </si>
  <si>
    <t>18</t>
  </si>
  <si>
    <t xml:space="preserve">   城镇职工基本医疗保险缴费</t>
  </si>
  <si>
    <t>19</t>
  </si>
  <si>
    <t>事业单位医疗</t>
  </si>
  <si>
    <t>20</t>
  </si>
  <si>
    <t>21</t>
  </si>
  <si>
    <t>22</t>
  </si>
  <si>
    <t>23</t>
  </si>
  <si>
    <t>　　事业单位基本养老保险缴费</t>
  </si>
  <si>
    <t>24</t>
  </si>
  <si>
    <t>养老保险</t>
  </si>
  <si>
    <t>25</t>
  </si>
  <si>
    <t>　　职业年金缴纳</t>
  </si>
  <si>
    <t>26</t>
  </si>
  <si>
    <t>　　　　1、职业年金8%</t>
  </si>
  <si>
    <t>职业年金</t>
  </si>
  <si>
    <t>27</t>
  </si>
  <si>
    <t>公积金</t>
  </si>
  <si>
    <t>28</t>
  </si>
  <si>
    <t>29</t>
  </si>
  <si>
    <t>对个人和家庭补助</t>
  </si>
  <si>
    <t>30</t>
  </si>
  <si>
    <t>离退休</t>
  </si>
  <si>
    <t>31</t>
  </si>
  <si>
    <t>32</t>
  </si>
  <si>
    <t>　　奖励金</t>
  </si>
  <si>
    <t>33</t>
  </si>
  <si>
    <t>　　　　1、独生子女奖励费▲</t>
  </si>
  <si>
    <t>34</t>
  </si>
  <si>
    <t>35</t>
  </si>
  <si>
    <t>36</t>
  </si>
  <si>
    <t>商品和服务支出和其他资本性支出</t>
  </si>
  <si>
    <t>37</t>
  </si>
  <si>
    <t>　　(一)公用定额</t>
  </si>
  <si>
    <t>学生人数*定额</t>
  </si>
  <si>
    <t>38</t>
  </si>
  <si>
    <t>39</t>
  </si>
  <si>
    <t>　　(二)培训费</t>
  </si>
  <si>
    <t>40</t>
  </si>
  <si>
    <t>　　　　1、进修、培训 400元/年教师</t>
  </si>
  <si>
    <t>41</t>
  </si>
  <si>
    <t>　　(三)维修(护)费</t>
  </si>
  <si>
    <t>42</t>
  </si>
  <si>
    <t>　　　　1、房屋维修费 15元/年平方米</t>
  </si>
  <si>
    <t>43</t>
  </si>
  <si>
    <t>　　(四)物业管理费</t>
  </si>
  <si>
    <t>44</t>
  </si>
  <si>
    <t>　　　　1、绿化维护费 8元/年平方米</t>
  </si>
  <si>
    <t>45</t>
  </si>
  <si>
    <t>46</t>
  </si>
  <si>
    <t>47</t>
  </si>
  <si>
    <t>48</t>
  </si>
  <si>
    <t>49</t>
  </si>
  <si>
    <t>　　　　1、工会经费2%</t>
  </si>
  <si>
    <t>50</t>
  </si>
  <si>
    <t>51</t>
  </si>
  <si>
    <t>　　　　1、教育系统，校/辆</t>
  </si>
  <si>
    <t>52</t>
  </si>
  <si>
    <t>53</t>
  </si>
  <si>
    <t>54</t>
  </si>
  <si>
    <t>55</t>
  </si>
  <si>
    <t>56</t>
  </si>
  <si>
    <t>57</t>
  </si>
  <si>
    <t>　　　　2、教育系统</t>
  </si>
  <si>
    <t>58</t>
  </si>
  <si>
    <t>学校基本情况：</t>
  </si>
  <si>
    <t>59</t>
  </si>
  <si>
    <t>1、教职工(人数)</t>
  </si>
  <si>
    <t>60</t>
  </si>
  <si>
    <t xml:space="preserve">       初中</t>
  </si>
  <si>
    <t>61</t>
  </si>
  <si>
    <t xml:space="preserve">       小学</t>
  </si>
  <si>
    <t>62</t>
  </si>
  <si>
    <t xml:space="preserve">       幼儿园</t>
  </si>
  <si>
    <t>63</t>
  </si>
  <si>
    <t xml:space="preserve">       其他</t>
  </si>
  <si>
    <t>64</t>
  </si>
  <si>
    <t>2、学生(人数)</t>
  </si>
  <si>
    <t>65</t>
  </si>
  <si>
    <t>66</t>
  </si>
  <si>
    <t>67</t>
  </si>
  <si>
    <t>68</t>
  </si>
  <si>
    <t>69</t>
  </si>
  <si>
    <t>颛桥中学</t>
  </si>
  <si>
    <t>北桥中学</t>
  </si>
  <si>
    <t>颛桥小学</t>
  </si>
  <si>
    <t>北桥小学</t>
  </si>
  <si>
    <t>田园外小</t>
  </si>
  <si>
    <t>田园二外小</t>
  </si>
  <si>
    <t>颛桥一幼</t>
  </si>
  <si>
    <t>颛桥镇幼</t>
  </si>
  <si>
    <t>君莲幼儿园</t>
  </si>
  <si>
    <t>上师大幼</t>
  </si>
  <si>
    <t>君莲学校</t>
  </si>
  <si>
    <t>社区学校</t>
  </si>
  <si>
    <t>　　　　　　(1)上下班交通费补贴</t>
  </si>
  <si>
    <t>　　　　2、失业保险0.5%</t>
  </si>
  <si>
    <t>根据人保科数字编制</t>
  </si>
  <si>
    <t>　　　　3、工作餐补贴</t>
  </si>
  <si>
    <t>　　　　4、课后服务(在编人员）</t>
  </si>
  <si>
    <t>　　　　1、基本养老保险16%</t>
  </si>
  <si>
    <t xml:space="preserve">    其他工资福利</t>
  </si>
  <si>
    <t>年初预算为0</t>
  </si>
  <si>
    <t xml:space="preserve">    退休费</t>
  </si>
  <si>
    <t>根据退休人员情况按实编制</t>
  </si>
  <si>
    <t xml:space="preserve">        1、退休人员生活补贴</t>
  </si>
  <si>
    <t xml:space="preserve">       其中：培训费</t>
  </si>
  <si>
    <t>生均定额5%</t>
  </si>
  <si>
    <t>　　(五)福利费</t>
  </si>
  <si>
    <t>　　　　1、在职福利费</t>
  </si>
  <si>
    <t>　　　　2、离退休福利费</t>
  </si>
  <si>
    <t>　　(六)工会经费</t>
  </si>
  <si>
    <t>　　(七)公务用车运行维护费★</t>
  </si>
  <si>
    <t>上海市闵行区颛桥中学</t>
  </si>
  <si>
    <t>上海市闵行区北桥中学</t>
  </si>
  <si>
    <t>上海市闵行区田园外国语中学</t>
  </si>
  <si>
    <t>上海市闵行区君莲学校</t>
  </si>
  <si>
    <t>上海市闵行区田园外语实验小学</t>
  </si>
  <si>
    <t>闵行区北桥中心小学</t>
  </si>
  <si>
    <t>上海市闵行区田园第二外语实验小学</t>
  </si>
  <si>
    <t>镇属</t>
    <phoneticPr fontId="1" type="noConversion"/>
  </si>
  <si>
    <t>颛桥 汇总</t>
  </si>
  <si>
    <t>合计</t>
    <phoneticPr fontId="1" type="noConversion"/>
  </si>
  <si>
    <t>人数</t>
    <phoneticPr fontId="1" type="noConversion"/>
  </si>
  <si>
    <t>金额（3元/人）</t>
    <phoneticPr fontId="1" type="noConversion"/>
  </si>
  <si>
    <t>　　　　1、工伤保险费0.5%(0.16%-1.52%)</t>
  </si>
  <si>
    <t>2025年基本支出预算表（颛桥）</t>
  </si>
  <si>
    <t>颛桥镇二幼</t>
  </si>
  <si>
    <t>田园中学</t>
  </si>
  <si>
    <t>田园幼儿园</t>
  </si>
  <si>
    <t>根据社保口径按实编制</t>
  </si>
  <si>
    <r>
      <rPr>
        <sz val="9"/>
        <color indexed="8"/>
        <rFont val="宋体"/>
        <family val="3"/>
        <charset val="134"/>
      </rPr>
      <t xml:space="preserve">        1、医疗保险费</t>
    </r>
    <r>
      <rPr>
        <sz val="9"/>
        <color indexed="8"/>
        <rFont val="宋体"/>
        <family val="3"/>
        <charset val="134"/>
      </rPr>
      <t>9%</t>
    </r>
  </si>
  <si>
    <r>
      <rPr>
        <sz val="9"/>
        <color indexed="8"/>
        <rFont val="宋体"/>
        <family val="3"/>
        <charset val="134"/>
      </rPr>
      <t xml:space="preserve">        2、其他医疗保险费4</t>
    </r>
    <r>
      <rPr>
        <sz val="9"/>
        <color indexed="8"/>
        <rFont val="宋体"/>
        <family val="3"/>
        <charset val="134"/>
      </rPr>
      <t>%</t>
    </r>
  </si>
  <si>
    <r>
      <rPr>
        <sz val="9"/>
        <color indexed="8"/>
        <rFont val="宋体"/>
        <family val="3"/>
        <charset val="134"/>
      </rPr>
      <t xml:space="preserve">     (1)其他保险2%(统筹)：</t>
    </r>
    <r>
      <rPr>
        <sz val="9"/>
        <color indexed="10"/>
        <rFont val="宋体"/>
        <family val="3"/>
        <charset val="134"/>
      </rPr>
      <t>住院及大病补助</t>
    </r>
  </si>
  <si>
    <t>根据相关口径按实编制</t>
  </si>
  <si>
    <r>
      <rPr>
        <sz val="9"/>
        <color indexed="8"/>
        <rFont val="宋体"/>
        <family val="3"/>
        <charset val="134"/>
      </rPr>
      <t xml:space="preserve">     (2)其他保险2%(单位)：</t>
    </r>
    <r>
      <rPr>
        <sz val="9"/>
        <color indexed="10"/>
        <rFont val="宋体"/>
        <family val="3"/>
        <charset val="134"/>
      </rPr>
      <t>购买保险</t>
    </r>
  </si>
  <si>
    <r>
      <rPr>
        <sz val="9"/>
        <color indexed="8"/>
        <rFont val="宋体"/>
        <family val="3"/>
        <charset val="134"/>
      </rP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</si>
  <si>
    <t>教职工人数*400元标准内按实填列</t>
  </si>
  <si>
    <t>房屋面积*15元标准内按实填列</t>
  </si>
  <si>
    <t>绿化面积*8元标准内按实填列</t>
  </si>
  <si>
    <t>教职工人数*4320元</t>
  </si>
  <si>
    <t>离退休人数*4320元</t>
  </si>
  <si>
    <t>根据工会口径按实编制</t>
  </si>
  <si>
    <t>机关局有编制的车辆数*32000元/年标准内填列（分园及分校预算在其他交通费中编制）</t>
  </si>
  <si>
    <t>　　(八)离退休公用支出</t>
  </si>
  <si>
    <t>　　　(1)活动费(活动费+活动费(托管))</t>
  </si>
  <si>
    <t>离退休人数*400元/年标准内按实填列</t>
  </si>
  <si>
    <t xml:space="preserve">   （九）其他商品和服务支出</t>
  </si>
  <si>
    <t>　　　　1、子女幼托费</t>
  </si>
  <si>
    <t>按人事口径实填列</t>
  </si>
  <si>
    <t>　　(十)其他交通费用</t>
  </si>
  <si>
    <t xml:space="preserve">
机关局无编制车辆的学校按32000元编制预算
机关局有编制的车辆，每分校增加10000元，每个分园增加5000元标准内填列</t>
  </si>
  <si>
    <t>填写2024年9月在编教职工人数</t>
  </si>
  <si>
    <t>填写2024年秋季学期学生人数，以招办人数为准</t>
  </si>
  <si>
    <t>4、事业退休人员人数</t>
  </si>
  <si>
    <t>5、教育单位房屋（面积）</t>
  </si>
  <si>
    <t>6、教育单位绿化（面积）</t>
  </si>
  <si>
    <t>幼儿园</t>
    <phoneticPr fontId="1" type="noConversion"/>
  </si>
  <si>
    <t>其他</t>
    <phoneticPr fontId="1" type="noConversion"/>
  </si>
  <si>
    <t>九年制</t>
    <phoneticPr fontId="1" type="noConversion"/>
  </si>
  <si>
    <t>小学</t>
    <phoneticPr fontId="1" type="noConversion"/>
  </si>
  <si>
    <t>初中</t>
    <phoneticPr fontId="1" type="noConversion"/>
  </si>
  <si>
    <t>学校名称</t>
    <phoneticPr fontId="2" type="noConversion"/>
  </si>
  <si>
    <t>办学类型</t>
    <phoneticPr fontId="2" type="noConversion"/>
  </si>
  <si>
    <t>所属街镇</t>
    <phoneticPr fontId="2" type="noConversion"/>
  </si>
  <si>
    <t>校区门数</t>
    <phoneticPr fontId="2" type="noConversion"/>
  </si>
  <si>
    <t>在岗人数</t>
    <phoneticPr fontId="2" type="noConversion"/>
  </si>
  <si>
    <t>值班单价</t>
    <phoneticPr fontId="2" type="noConversion"/>
  </si>
  <si>
    <t>值班金额</t>
    <phoneticPr fontId="2" type="noConversion"/>
  </si>
  <si>
    <t>所属大队</t>
    <phoneticPr fontId="2" type="noConversion"/>
  </si>
  <si>
    <t>备注</t>
    <phoneticPr fontId="2" type="noConversion"/>
  </si>
  <si>
    <t>幼儿园</t>
    <phoneticPr fontId="2" type="noConversion"/>
  </si>
  <si>
    <t>七</t>
    <phoneticPr fontId="2" type="noConversion"/>
  </si>
  <si>
    <t>五</t>
    <phoneticPr fontId="2" type="noConversion"/>
  </si>
  <si>
    <r>
      <t>2024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月新开办</t>
    </r>
  </si>
  <si>
    <t>颛桥一幼</t>
    <phoneticPr fontId="2" type="noConversion"/>
  </si>
  <si>
    <t>颛桥镇</t>
    <phoneticPr fontId="2" type="noConversion"/>
  </si>
  <si>
    <t>颛桥镇幼儿园（紫薇）</t>
    <phoneticPr fontId="2" type="noConversion"/>
  </si>
  <si>
    <t>九年一贯制</t>
    <phoneticPr fontId="2" type="noConversion"/>
  </si>
  <si>
    <t>小学</t>
    <phoneticPr fontId="2" type="noConversion"/>
  </si>
  <si>
    <t>初中</t>
    <phoneticPr fontId="2" type="noConversion"/>
  </si>
  <si>
    <r>
      <rPr>
        <sz val="10"/>
        <rFont val="宋体"/>
        <family val="3"/>
        <charset val="134"/>
      </rPr>
      <t>北桥中学</t>
    </r>
    <phoneticPr fontId="2" type="noConversion"/>
  </si>
  <si>
    <r>
      <rPr>
        <sz val="10"/>
        <rFont val="宋体"/>
        <family val="3"/>
        <charset val="134"/>
      </rPr>
      <t>颛桥小学</t>
    </r>
    <phoneticPr fontId="2" type="noConversion"/>
  </si>
  <si>
    <t>田园外小金都校区</t>
    <phoneticPr fontId="2" type="noConversion"/>
  </si>
  <si>
    <t>上海市闵行区田园第二外语实验小学</t>
    <phoneticPr fontId="2" type="noConversion"/>
  </si>
  <si>
    <t>上海市闵行区田园外国语中学</t>
    <phoneticPr fontId="2" type="noConversion"/>
  </si>
  <si>
    <r>
      <rPr>
        <sz val="10"/>
        <color indexed="8"/>
        <rFont val="宋体"/>
        <family val="3"/>
        <charset val="134"/>
      </rPr>
      <t>华星小学</t>
    </r>
  </si>
  <si>
    <r>
      <rPr>
        <sz val="10"/>
        <color indexed="8"/>
        <rFont val="宋体"/>
        <family val="3"/>
        <charset val="134"/>
      </rPr>
      <t>银星小学</t>
    </r>
  </si>
  <si>
    <t>镇属</t>
  </si>
  <si>
    <t>学校</t>
  </si>
  <si>
    <t>园部</t>
    <phoneticPr fontId="1" type="noConversion"/>
  </si>
  <si>
    <t>教育教辅后勤应配用工人数(2024人保提供）</t>
    <phoneticPr fontId="1" type="noConversion"/>
  </si>
  <si>
    <t>教育教辅后勤应配用工人数(正常额度+临时额度）</t>
  </si>
  <si>
    <t>现有辅助用工人数（2024年人保科提供）</t>
    <phoneticPr fontId="1" type="noConversion"/>
  </si>
  <si>
    <t>财政资金应配备人数</t>
  </si>
  <si>
    <t>专技岗位
应配人数</t>
  </si>
  <si>
    <t>管理岗位
应配人数</t>
  </si>
  <si>
    <t>技术岗位
应配人数</t>
  </si>
  <si>
    <t>勤杂岗位
应配人数</t>
  </si>
  <si>
    <t>工资
（1-12月）</t>
  </si>
  <si>
    <t>福利费
（1月-12月）</t>
  </si>
  <si>
    <t>伙食费
（1-12月）</t>
  </si>
  <si>
    <t>工会经费
（1-12月）</t>
  </si>
  <si>
    <t>考核
（1-12月）</t>
  </si>
  <si>
    <t>社保公积金</t>
    <phoneticPr fontId="1" type="noConversion"/>
  </si>
  <si>
    <t>学前</t>
    <phoneticPr fontId="1" type="noConversion"/>
  </si>
  <si>
    <t>上海师范大学闵行实验幼儿园</t>
  </si>
  <si>
    <t>闵行区君莲幼儿园</t>
  </si>
  <si>
    <t>闵行区颛桥镇第一幼儿园</t>
  </si>
  <si>
    <t>闵行区颛桥镇幼儿园</t>
  </si>
  <si>
    <t>闵行区田园外语实验小学</t>
  </si>
  <si>
    <t>闵行区田园第二外语实验小学</t>
  </si>
  <si>
    <t>闵行区颛桥中心小学</t>
  </si>
  <si>
    <t>闵行区北桥中学</t>
  </si>
  <si>
    <t>闵行区颛桥中学</t>
  </si>
  <si>
    <t>闵行区君莲学校</t>
  </si>
  <si>
    <t>田园外国语中学</t>
  </si>
  <si>
    <t>田园都市幼儿园</t>
  </si>
  <si>
    <t>颛桥第二幼儿园</t>
  </si>
  <si>
    <t>颛桥合计</t>
  </si>
  <si>
    <t>管理费
（2025年全年）</t>
    <phoneticPr fontId="1" type="noConversion"/>
  </si>
  <si>
    <t>2024年残疾人就业保障预算调整表</t>
    <phoneticPr fontId="1" type="noConversion"/>
  </si>
  <si>
    <t>镇属</t>
    <phoneticPr fontId="1" type="noConversion"/>
  </si>
  <si>
    <t>单位</t>
    <phoneticPr fontId="1" type="noConversion"/>
  </si>
  <si>
    <t>全年需求</t>
    <phoneticPr fontId="1" type="noConversion"/>
  </si>
  <si>
    <t>一次分配</t>
    <phoneticPr fontId="1" type="noConversion"/>
  </si>
  <si>
    <t>颛桥</t>
    <phoneticPr fontId="1" type="noConversion"/>
  </si>
  <si>
    <t>上海市闵行区颛桥中心小学</t>
  </si>
  <si>
    <t>上海市闵行区北桥中心小学</t>
  </si>
  <si>
    <t>上海市闵行区颛桥镇第一幼儿园</t>
    <phoneticPr fontId="2" type="noConversion"/>
  </si>
  <si>
    <t>上海市闵行区颛桥镇幼儿园</t>
    <phoneticPr fontId="2" type="noConversion"/>
  </si>
  <si>
    <t>上海市闵行区君莲幼儿园</t>
    <phoneticPr fontId="2" type="noConversion"/>
  </si>
  <si>
    <t>上海师范大学闵行实验幼儿园</t>
    <phoneticPr fontId="2" type="noConversion"/>
  </si>
  <si>
    <t>上海市闵行区颛桥镇社区学校</t>
  </si>
  <si>
    <t>上海市闵行区颛桥镇第二幼儿园</t>
    <phoneticPr fontId="2" type="noConversion"/>
  </si>
  <si>
    <t>上海市闵行区颛桥镇田园都市幼儿园</t>
    <phoneticPr fontId="2" type="noConversion"/>
  </si>
  <si>
    <t>2025年社区教育年初预算</t>
    <phoneticPr fontId="1" type="noConversion"/>
  </si>
  <si>
    <r>
      <rPr>
        <sz val="10"/>
        <rFont val="宋体"/>
        <family val="3"/>
        <charset val="134"/>
      </rPr>
      <t>颛桥中学</t>
    </r>
    <phoneticPr fontId="2" type="noConversion"/>
  </si>
  <si>
    <r>
      <rPr>
        <sz val="10"/>
        <color indexed="8"/>
        <rFont val="宋体"/>
        <family val="3"/>
        <charset val="134"/>
      </rPr>
      <t>正门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人、后门</t>
    </r>
    <r>
      <rPr>
        <sz val="10"/>
        <color indexed="8"/>
        <rFont val="Arial"/>
        <family val="2"/>
      </rPr>
      <t>4</t>
    </r>
    <r>
      <rPr>
        <sz val="10"/>
        <color indexed="8"/>
        <rFont val="宋体"/>
        <family val="3"/>
        <charset val="134"/>
      </rPr>
      <t>人</t>
    </r>
    <phoneticPr fontId="2" type="noConversion"/>
  </si>
  <si>
    <r>
      <rPr>
        <sz val="9"/>
        <color indexed="8"/>
        <rFont val="宋体"/>
        <family val="3"/>
        <charset val="134"/>
      </rPr>
      <t>禁毒馆新增</t>
    </r>
    <r>
      <rPr>
        <sz val="9"/>
        <color indexed="8"/>
        <rFont val="Arial"/>
        <family val="2"/>
      </rPr>
      <t>3</t>
    </r>
    <r>
      <rPr>
        <sz val="9"/>
        <color indexed="8"/>
        <rFont val="宋体"/>
        <family val="3"/>
        <charset val="134"/>
      </rPr>
      <t>人</t>
    </r>
    <phoneticPr fontId="2" type="noConversion"/>
  </si>
  <si>
    <r>
      <rPr>
        <sz val="10"/>
        <rFont val="宋体"/>
        <family val="3"/>
        <charset val="134"/>
      </rPr>
      <t>北桥中心小学</t>
    </r>
    <phoneticPr fontId="2" type="noConversion"/>
  </si>
  <si>
    <t>田园外小银都校区</t>
    <phoneticPr fontId="2" type="noConversion"/>
  </si>
  <si>
    <r>
      <rPr>
        <sz val="10"/>
        <rFont val="宋体"/>
        <family val="3"/>
        <charset val="134"/>
      </rPr>
      <t>君莲学校</t>
    </r>
    <phoneticPr fontId="2" type="noConversion"/>
  </si>
  <si>
    <t>考试中心搬离，小学部并入，一门5保安一门人车分离2保安</t>
    <phoneticPr fontId="2" type="noConversion"/>
  </si>
  <si>
    <t>2018年7月1日派驻</t>
    <phoneticPr fontId="2" type="noConversion"/>
  </si>
  <si>
    <t>幼儿园</t>
    <phoneticPr fontId="2" type="noConversion"/>
  </si>
  <si>
    <t>七</t>
    <phoneticPr fontId="2" type="noConversion"/>
  </si>
  <si>
    <t>颛桥镇</t>
    <phoneticPr fontId="2" type="noConversion"/>
  </si>
  <si>
    <t>1人用于人车分离</t>
    <phoneticPr fontId="2" type="noConversion"/>
  </si>
  <si>
    <t>颛桥一幼（银桥）</t>
    <phoneticPr fontId="2" type="noConversion"/>
  </si>
  <si>
    <t>民办银桥幼儿园转公办，作为颛桥第一幼儿园分园</t>
    <phoneticPr fontId="2" type="noConversion"/>
  </si>
  <si>
    <t>颛桥镇幼儿园</t>
    <phoneticPr fontId="2" type="noConversion"/>
  </si>
  <si>
    <t>颛桥镇幼儿园（新闵）</t>
    <phoneticPr fontId="2" type="noConversion"/>
  </si>
  <si>
    <t>颛桥镇幼儿园（繁盛）</t>
    <phoneticPr fontId="2" type="noConversion"/>
  </si>
  <si>
    <t>田园都市幼儿园</t>
    <phoneticPr fontId="2" type="noConversion"/>
  </si>
  <si>
    <t>原颛桥第一幼儿园田园分园</t>
    <phoneticPr fontId="2" type="noConversion"/>
  </si>
  <si>
    <t>田园都市幼儿园银三园</t>
    <phoneticPr fontId="2" type="noConversion"/>
  </si>
  <si>
    <t>原颛桥第一幼儿园银三分园</t>
    <phoneticPr fontId="2" type="noConversion"/>
  </si>
  <si>
    <r>
      <rPr>
        <sz val="10"/>
        <rFont val="宋体"/>
        <family val="3"/>
        <charset val="134"/>
      </rPr>
      <t>君莲幼儿园</t>
    </r>
    <phoneticPr fontId="2" type="noConversion"/>
  </si>
  <si>
    <t>六</t>
    <phoneticPr fontId="2" type="noConversion"/>
  </si>
  <si>
    <t>君莲幼儿园（春都）</t>
    <phoneticPr fontId="2" type="noConversion"/>
  </si>
  <si>
    <t>原春都分园</t>
    <phoneticPr fontId="2" type="noConversion"/>
  </si>
  <si>
    <t>上海师范大学闵行实验幼儿园</t>
    <phoneticPr fontId="2" type="noConversion"/>
  </si>
  <si>
    <t>上海师范大学闵行实验幼儿园翔泰分园</t>
    <phoneticPr fontId="2" type="noConversion"/>
  </si>
  <si>
    <t>上海市闵行区颛桥镇第二幼儿园</t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</si>
  <si>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月新开办</t>
    </r>
    <phoneticPr fontId="2" type="noConversion"/>
  </si>
  <si>
    <t>农民工小学</t>
    <phoneticPr fontId="1" type="noConversion"/>
  </si>
  <si>
    <r>
      <rPr>
        <sz val="10"/>
        <color indexed="8"/>
        <rFont val="宋体"/>
        <family val="3"/>
        <charset val="134"/>
      </rPr>
      <t>颛桥镇</t>
    </r>
    <phoneticPr fontId="2" type="noConversion"/>
  </si>
  <si>
    <t>颛桥镇 汇总</t>
  </si>
  <si>
    <t>2025年镇级保安经费预算表</t>
    <phoneticPr fontId="1" type="noConversion"/>
  </si>
  <si>
    <t>学段</t>
    <phoneticPr fontId="1" type="noConversion"/>
  </si>
  <si>
    <t>成人</t>
    <phoneticPr fontId="1" type="noConversion"/>
  </si>
  <si>
    <t>一贯制</t>
    <phoneticPr fontId="1" type="noConversion"/>
  </si>
  <si>
    <t>小学</t>
    <phoneticPr fontId="1" type="noConversion"/>
  </si>
  <si>
    <t>幼儿园</t>
    <phoneticPr fontId="1" type="noConversion"/>
  </si>
  <si>
    <t>初中</t>
    <phoneticPr fontId="1" type="noConversion"/>
  </si>
  <si>
    <t>2025年镇管单位补充公用经费预算表(年初预算）</t>
    <phoneticPr fontId="1" type="noConversion"/>
  </si>
  <si>
    <t>因故额外增加临时额度（2024人保提供）</t>
    <phoneticPr fontId="1" type="noConversion"/>
  </si>
  <si>
    <t>2025年金额（年初预算：按中位数测算，学校实际执行按人事部门规定标准执行，严禁超标准发放）</t>
    <phoneticPr fontId="1" type="noConversion"/>
  </si>
  <si>
    <t>课后延时</t>
    <phoneticPr fontId="1" type="noConversion"/>
  </si>
  <si>
    <t>奖金</t>
    <phoneticPr fontId="1" type="noConversion"/>
  </si>
  <si>
    <t>掌勺津贴</t>
    <phoneticPr fontId="1" type="noConversion"/>
  </si>
  <si>
    <t>小计</t>
    <phoneticPr fontId="1" type="noConversion"/>
  </si>
  <si>
    <t>一贯制</t>
    <phoneticPr fontId="1" type="noConversion"/>
  </si>
  <si>
    <r>
      <t>2024年</t>
    </r>
    <r>
      <rPr>
        <sz val="16"/>
        <rFont val="宋体"/>
        <family val="3"/>
        <charset val="134"/>
        <scheme val="minor"/>
      </rPr>
      <t>在编人员绩效（含课后延时）清算</t>
    </r>
    <phoneticPr fontId="1" type="noConversion"/>
  </si>
  <si>
    <t>单 位</t>
  </si>
  <si>
    <t>属性2</t>
  </si>
  <si>
    <t>学段</t>
  </si>
  <si>
    <t>2024年核定金额</t>
    <phoneticPr fontId="1" type="noConversion"/>
  </si>
  <si>
    <t>2024年分配金额</t>
    <phoneticPr fontId="1" type="noConversion"/>
  </si>
  <si>
    <t>2025年清算金额</t>
    <phoneticPr fontId="1" type="noConversion"/>
  </si>
  <si>
    <t>合计（常规）</t>
    <phoneticPr fontId="1" type="noConversion"/>
  </si>
  <si>
    <t>其中：校长绩效工资项目</t>
    <phoneticPr fontId="1" type="noConversion"/>
  </si>
  <si>
    <t>总绩效</t>
  </si>
  <si>
    <t>课后延时</t>
  </si>
  <si>
    <t>义务</t>
  </si>
  <si>
    <t>九年一贯</t>
  </si>
  <si>
    <t>非义务</t>
  </si>
  <si>
    <t>社校</t>
  </si>
  <si>
    <t>幼儿园</t>
  </si>
  <si>
    <t>小学</t>
  </si>
  <si>
    <t>初中</t>
  </si>
  <si>
    <t>上海市闵行区颛桥镇幼儿园</t>
  </si>
  <si>
    <t>上海市闵行区颛桥镇第一幼儿园</t>
  </si>
  <si>
    <t>上海市闵行区君莲幼儿园</t>
  </si>
  <si>
    <t>上海市闵行区颛桥镇田园都市幼儿园</t>
  </si>
  <si>
    <t>上海市闵行区颛桥镇第二幼儿园</t>
  </si>
  <si>
    <t>颛桥小计</t>
    <phoneticPr fontId="1" type="noConversion"/>
  </si>
  <si>
    <t>课后延时（1-12月）</t>
    <phoneticPr fontId="1" type="noConversion"/>
  </si>
  <si>
    <t>2024年镇管学校制度外用工清算核定表（补充公用经费清算不含储备老师）</t>
    <phoneticPr fontId="45" type="noConversion"/>
  </si>
  <si>
    <t>镇属</t>
    <phoneticPr fontId="45" type="noConversion"/>
  </si>
  <si>
    <t>学校名称</t>
  </si>
  <si>
    <t>课后延时</t>
    <phoneticPr fontId="1" type="noConversion"/>
  </si>
  <si>
    <t>2024年已下达课后延时金额</t>
    <phoneticPr fontId="1" type="noConversion"/>
  </si>
  <si>
    <t>清算课后延时金额</t>
    <phoneticPr fontId="1" type="noConversion"/>
  </si>
  <si>
    <t>颛桥</t>
    <phoneticPr fontId="45" type="noConversion"/>
  </si>
  <si>
    <t>闵行区颛桥中心小学</t>
    <phoneticPr fontId="1" type="noConversion"/>
  </si>
  <si>
    <t>闵行区职业年金补记人员汇总表（事业单位人员）</t>
    <phoneticPr fontId="2" type="noConversion"/>
  </si>
  <si>
    <t>事业单位名称</t>
  </si>
  <si>
    <t>镇属</t>
    <phoneticPr fontId="2" type="noConversion"/>
  </si>
  <si>
    <t>姓名</t>
  </si>
  <si>
    <t>身份证号码</t>
  </si>
  <si>
    <t>社保转出年月</t>
  </si>
  <si>
    <t>是否已完成年金补记缴费</t>
  </si>
  <si>
    <t>补记期限</t>
  </si>
  <si>
    <t>补记总月数
（*年*个月）</t>
  </si>
  <si>
    <t>补记金额</t>
  </si>
  <si>
    <t>2年3个月</t>
  </si>
  <si>
    <t>颛桥</t>
    <phoneticPr fontId="2" type="noConversion"/>
  </si>
  <si>
    <t>王昱程</t>
  </si>
  <si>
    <t>310105199107280000</t>
  </si>
  <si>
    <t>颛桥小计</t>
    <phoneticPr fontId="2" type="noConversion"/>
  </si>
  <si>
    <t>2025年教育统筹经费第一次分配明细表</t>
  </si>
  <si>
    <t>单位：元</t>
  </si>
  <si>
    <t>项目</t>
  </si>
  <si>
    <t>核定金额</t>
  </si>
  <si>
    <t>减：2024年预排教育事业专项资金</t>
  </si>
  <si>
    <t>一次分配</t>
  </si>
  <si>
    <t>其中：教育局</t>
  </si>
  <si>
    <t>其中：乡镇/工业区</t>
  </si>
  <si>
    <t>对个人和家庭的补助支出</t>
  </si>
  <si>
    <t>残疾就业保障</t>
  </si>
  <si>
    <t>社区教育经费</t>
  </si>
  <si>
    <t>保安经费</t>
  </si>
  <si>
    <t>社区教育志愿者联盟</t>
  </si>
  <si>
    <t>补充公用经费</t>
  </si>
  <si>
    <t>颛桥镇：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</si>
</sst>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 * #,##0.00_ ;_ * \-#,##0.00_ ;_ * &quot;-&quot;??_ ;_ @_ "/>
    <numFmt numFmtId="176" formatCode="0.00_ "/>
    <numFmt numFmtId="177" formatCode="0.000_ "/>
    <numFmt numFmtId="178" formatCode="0.00_ ;\-0.00;;"/>
    <numFmt numFmtId="179" formatCode="0.00_);[Red]\(0.00\)"/>
    <numFmt numFmtId="180" formatCode="0_ "/>
    <numFmt numFmtId="181" formatCode="[$-F800]dddd\,\ mmmm\ dd\,\ yyyy"/>
    <numFmt numFmtId="182" formatCode="_ \¥* #,##0.00_ ;_ \¥* \-#,##0.00_ ;_ \¥* &quot;-&quot;??_ ;_ @_ "/>
    <numFmt numFmtId="183" formatCode="yyyy&quot;年&quot;m&quot;月&quot;;@"/>
  </numFmts>
  <fonts count="80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0"/>
      <name val="宋体"/>
      <family val="3"/>
      <charset val="134"/>
    </font>
    <font>
      <sz val="12"/>
      <name val="Times New Roman"/>
      <family val="1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6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2"/>
      <color indexed="17"/>
      <name val="宋体"/>
      <family val="3"/>
      <charset val="134"/>
    </font>
    <font>
      <sz val="12"/>
      <color indexed="14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name val="Arial"/>
      <family val="2"/>
    </font>
    <font>
      <sz val="11"/>
      <color indexed="14"/>
      <name val="宋体"/>
      <family val="3"/>
      <charset val="134"/>
    </font>
    <font>
      <u/>
      <sz val="14.4"/>
      <color indexed="12"/>
      <name val="宋体"/>
      <family val="3"/>
      <charset val="134"/>
    </font>
    <font>
      <sz val="11"/>
      <color indexed="8"/>
      <name val="等线"/>
      <charset val="134"/>
    </font>
    <font>
      <sz val="11"/>
      <color theme="1"/>
      <name val="等线"/>
      <charset val="134"/>
    </font>
    <font>
      <sz val="11"/>
      <color rgb="FF006100"/>
      <name val="宋体"/>
      <family val="3"/>
      <charset val="134"/>
      <scheme val="minor"/>
    </font>
    <font>
      <b/>
      <sz val="20"/>
      <color indexed="8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sz val="16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b/>
      <sz val="9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indexed="8"/>
      <name val="Arial"/>
      <family val="2"/>
    </font>
    <font>
      <sz val="11"/>
      <color theme="1"/>
      <name val="宋体"/>
      <family val="2"/>
      <charset val="134"/>
      <scheme val="minor"/>
    </font>
    <font>
      <sz val="9"/>
      <color theme="1"/>
      <name val="宋体"/>
      <family val="2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9"/>
      <color indexed="10"/>
      <name val="宋体"/>
      <family val="3"/>
      <charset val="134"/>
    </font>
    <font>
      <b/>
      <sz val="14"/>
      <color indexed="8"/>
      <name val="微软雅黑"/>
      <family val="2"/>
      <charset val="134"/>
    </font>
    <font>
      <b/>
      <sz val="10"/>
      <color indexed="8"/>
      <name val="微软雅黑"/>
      <family val="2"/>
      <charset val="134"/>
    </font>
    <font>
      <b/>
      <sz val="10"/>
      <name val="微软雅黑"/>
      <family val="2"/>
      <charset val="134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9"/>
      <color indexed="8"/>
      <name val="Arial"/>
      <family val="2"/>
    </font>
    <font>
      <sz val="14"/>
      <name val="宋体"/>
      <family val="2"/>
      <charset val="134"/>
    </font>
    <font>
      <sz val="9"/>
      <color rgb="FFFF0000"/>
      <name val="宋体"/>
      <family val="2"/>
      <charset val="134"/>
    </font>
    <font>
      <sz val="9"/>
      <color rgb="FFFF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9"/>
      <color rgb="FFFF0000"/>
      <name val="宋体"/>
      <family val="3"/>
      <charset val="134"/>
    </font>
    <font>
      <sz val="16"/>
      <name val="宋体"/>
      <family val="2"/>
      <charset val="134"/>
      <scheme val="minor"/>
    </font>
    <font>
      <sz val="16"/>
      <name val="宋体"/>
      <family val="3"/>
      <charset val="134"/>
      <scheme val="minor"/>
    </font>
    <font>
      <sz val="9"/>
      <name val="黑体"/>
      <family val="3"/>
      <charset val="134"/>
    </font>
    <font>
      <sz val="14"/>
      <color indexed="8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b/>
      <sz val="9"/>
      <color theme="1"/>
      <name val="宋体"/>
      <family val="2"/>
      <charset val="134"/>
      <scheme val="minor"/>
    </font>
    <font>
      <b/>
      <sz val="14"/>
      <color theme="1"/>
      <name val="宋体"/>
      <family val="3"/>
      <charset val="134"/>
    </font>
    <font>
      <b/>
      <sz val="12"/>
      <name val="仿宋"/>
      <family val="3"/>
      <charset val="134"/>
    </font>
    <font>
      <sz val="12"/>
      <color theme="1"/>
      <name val="仿宋"/>
      <family val="3"/>
      <charset val="134"/>
    </font>
    <font>
      <sz val="11"/>
      <name val="仿宋"/>
      <family val="3"/>
      <charset val="134"/>
    </font>
    <font>
      <sz val="12"/>
      <color rgb="FF7030A0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宋体"/>
      <family val="3"/>
      <charset val="134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4"/>
      <color theme="1"/>
      <name val="仿宋"/>
      <family val="3"/>
      <charset val="134"/>
    </font>
  </fonts>
  <fills count="3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009">
    <xf numFmtId="0" fontId="0" fillId="0" borderId="0">
      <alignment vertical="center"/>
    </xf>
    <xf numFmtId="0" fontId="4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>
      <alignment vertical="center"/>
    </xf>
    <xf numFmtId="0" fontId="12" fillId="3" borderId="0">
      <alignment vertical="center"/>
    </xf>
    <xf numFmtId="0" fontId="12" fillId="3" borderId="0">
      <alignment vertical="center"/>
    </xf>
    <xf numFmtId="0" fontId="5" fillId="3" borderId="0">
      <alignment vertical="center"/>
    </xf>
    <xf numFmtId="0" fontId="5" fillId="3" borderId="0">
      <alignment vertical="center"/>
    </xf>
    <xf numFmtId="0" fontId="12" fillId="3" borderId="0">
      <alignment vertical="center"/>
    </xf>
    <xf numFmtId="0" fontId="5" fillId="3" borderId="0">
      <alignment vertical="center"/>
    </xf>
    <xf numFmtId="0" fontId="5" fillId="3" borderId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>
      <alignment vertical="center"/>
    </xf>
    <xf numFmtId="0" fontId="12" fillId="4" borderId="0">
      <alignment vertical="center"/>
    </xf>
    <xf numFmtId="0" fontId="12" fillId="4" borderId="0">
      <alignment vertical="center"/>
    </xf>
    <xf numFmtId="0" fontId="5" fillId="4" borderId="0">
      <alignment vertical="center"/>
    </xf>
    <xf numFmtId="0" fontId="5" fillId="4" borderId="0">
      <alignment vertical="center"/>
    </xf>
    <xf numFmtId="0" fontId="12" fillId="4" borderId="0">
      <alignment vertical="center"/>
    </xf>
    <xf numFmtId="0" fontId="5" fillId="4" borderId="0">
      <alignment vertical="center"/>
    </xf>
    <xf numFmtId="0" fontId="5" fillId="4" borderId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>
      <alignment vertical="center"/>
    </xf>
    <xf numFmtId="0" fontId="12" fillId="5" borderId="0">
      <alignment vertical="center"/>
    </xf>
    <xf numFmtId="0" fontId="12" fillId="5" borderId="0">
      <alignment vertical="center"/>
    </xf>
    <xf numFmtId="0" fontId="5" fillId="5" borderId="0">
      <alignment vertical="center"/>
    </xf>
    <xf numFmtId="0" fontId="5" fillId="5" borderId="0">
      <alignment vertical="center"/>
    </xf>
    <xf numFmtId="0" fontId="12" fillId="5" borderId="0">
      <alignment vertical="center"/>
    </xf>
    <xf numFmtId="0" fontId="5" fillId="5" borderId="0">
      <alignment vertical="center"/>
    </xf>
    <xf numFmtId="0" fontId="5" fillId="5" borderId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>
      <alignment vertical="center"/>
    </xf>
    <xf numFmtId="0" fontId="12" fillId="7" borderId="0">
      <alignment vertical="center"/>
    </xf>
    <xf numFmtId="0" fontId="12" fillId="7" borderId="0">
      <alignment vertical="center"/>
    </xf>
    <xf numFmtId="0" fontId="5" fillId="7" borderId="0">
      <alignment vertical="center"/>
    </xf>
    <xf numFmtId="0" fontId="5" fillId="7" borderId="0">
      <alignment vertical="center"/>
    </xf>
    <xf numFmtId="0" fontId="12" fillId="7" borderId="0">
      <alignment vertical="center"/>
    </xf>
    <xf numFmtId="0" fontId="5" fillId="7" borderId="0">
      <alignment vertical="center"/>
    </xf>
    <xf numFmtId="0" fontId="5" fillId="7" borderId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>
      <alignment vertical="center"/>
    </xf>
    <xf numFmtId="0" fontId="12" fillId="8" borderId="0">
      <alignment vertical="center"/>
    </xf>
    <xf numFmtId="0" fontId="12" fillId="8" borderId="0">
      <alignment vertical="center"/>
    </xf>
    <xf numFmtId="0" fontId="5" fillId="8" borderId="0">
      <alignment vertical="center"/>
    </xf>
    <xf numFmtId="0" fontId="5" fillId="8" borderId="0">
      <alignment vertical="center"/>
    </xf>
    <xf numFmtId="0" fontId="12" fillId="8" borderId="0">
      <alignment vertical="center"/>
    </xf>
    <xf numFmtId="0" fontId="5" fillId="8" borderId="0">
      <alignment vertical="center"/>
    </xf>
    <xf numFmtId="0" fontId="5" fillId="8" borderId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>
      <alignment vertical="center"/>
    </xf>
    <xf numFmtId="0" fontId="12" fillId="10" borderId="0">
      <alignment vertical="center"/>
    </xf>
    <xf numFmtId="0" fontId="12" fillId="10" borderId="0">
      <alignment vertical="center"/>
    </xf>
    <xf numFmtId="0" fontId="5" fillId="10" borderId="0">
      <alignment vertical="center"/>
    </xf>
    <xf numFmtId="0" fontId="5" fillId="10" borderId="0">
      <alignment vertical="center"/>
    </xf>
    <xf numFmtId="0" fontId="12" fillId="10" borderId="0">
      <alignment vertical="center"/>
    </xf>
    <xf numFmtId="0" fontId="5" fillId="10" borderId="0">
      <alignment vertical="center"/>
    </xf>
    <xf numFmtId="0" fontId="5" fillId="10" borderId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>
      <alignment vertical="center"/>
    </xf>
    <xf numFmtId="0" fontId="12" fillId="11" borderId="0">
      <alignment vertical="center"/>
    </xf>
    <xf numFmtId="0" fontId="12" fillId="11" borderId="0">
      <alignment vertical="center"/>
    </xf>
    <xf numFmtId="0" fontId="5" fillId="11" borderId="0">
      <alignment vertical="center"/>
    </xf>
    <xf numFmtId="0" fontId="5" fillId="11" borderId="0">
      <alignment vertical="center"/>
    </xf>
    <xf numFmtId="0" fontId="12" fillId="11" borderId="0">
      <alignment vertical="center"/>
    </xf>
    <xf numFmtId="0" fontId="5" fillId="11" borderId="0">
      <alignment vertical="center"/>
    </xf>
    <xf numFmtId="0" fontId="5" fillId="11" borderId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>
      <alignment vertical="center"/>
    </xf>
    <xf numFmtId="0" fontId="12" fillId="12" borderId="0">
      <alignment vertical="center"/>
    </xf>
    <xf numFmtId="0" fontId="12" fillId="12" borderId="0">
      <alignment vertical="center"/>
    </xf>
    <xf numFmtId="0" fontId="5" fillId="12" borderId="0">
      <alignment vertical="center"/>
    </xf>
    <xf numFmtId="0" fontId="5" fillId="12" borderId="0">
      <alignment vertical="center"/>
    </xf>
    <xf numFmtId="0" fontId="12" fillId="12" borderId="0">
      <alignment vertical="center"/>
    </xf>
    <xf numFmtId="0" fontId="5" fillId="12" borderId="0">
      <alignment vertical="center"/>
    </xf>
    <xf numFmtId="0" fontId="5" fillId="12" borderId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>
      <alignment vertical="center"/>
    </xf>
    <xf numFmtId="0" fontId="13" fillId="13" borderId="0">
      <alignment vertical="center"/>
    </xf>
    <xf numFmtId="0" fontId="13" fillId="13" borderId="0">
      <alignment vertical="center"/>
    </xf>
    <xf numFmtId="0" fontId="13" fillId="13" borderId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>
      <alignment vertical="center"/>
    </xf>
    <xf numFmtId="0" fontId="13" fillId="10" borderId="0">
      <alignment vertical="center"/>
    </xf>
    <xf numFmtId="0" fontId="13" fillId="10" borderId="0">
      <alignment vertical="center"/>
    </xf>
    <xf numFmtId="0" fontId="13" fillId="1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>
      <alignment vertical="center"/>
    </xf>
    <xf numFmtId="0" fontId="13" fillId="11" borderId="0">
      <alignment vertical="center"/>
    </xf>
    <xf numFmtId="0" fontId="13" fillId="11" borderId="0">
      <alignment vertical="center"/>
    </xf>
    <xf numFmtId="0" fontId="13" fillId="11" borderId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>
      <alignment vertical="center"/>
    </xf>
    <xf numFmtId="0" fontId="13" fillId="17" borderId="0">
      <alignment vertical="center"/>
    </xf>
    <xf numFmtId="0" fontId="13" fillId="17" borderId="0">
      <alignment vertical="center"/>
    </xf>
    <xf numFmtId="0" fontId="13" fillId="17" borderId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>
      <alignment vertical="center"/>
    </xf>
    <xf numFmtId="0" fontId="23" fillId="0" borderId="2">
      <alignment vertical="center"/>
    </xf>
    <xf numFmtId="0" fontId="23" fillId="0" borderId="2">
      <alignment vertical="center"/>
    </xf>
    <xf numFmtId="0" fontId="23" fillId="0" borderId="2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>
      <alignment vertical="center"/>
    </xf>
    <xf numFmtId="0" fontId="14" fillId="0" borderId="3">
      <alignment vertical="center"/>
    </xf>
    <xf numFmtId="0" fontId="14" fillId="0" borderId="3">
      <alignment vertical="center"/>
    </xf>
    <xf numFmtId="0" fontId="14" fillId="0" borderId="3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>
      <alignment vertical="center"/>
    </xf>
    <xf numFmtId="0" fontId="20" fillId="0" borderId="4">
      <alignment vertical="center"/>
    </xf>
    <xf numFmtId="0" fontId="20" fillId="0" borderId="4">
      <alignment vertical="center"/>
    </xf>
    <xf numFmtId="0" fontId="20" fillId="0" borderId="4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>
      <alignment vertical="center"/>
    </xf>
    <xf numFmtId="0" fontId="25" fillId="4" borderId="0">
      <alignment vertical="center"/>
    </xf>
    <xf numFmtId="0" fontId="25" fillId="4" borderId="0">
      <alignment vertical="center"/>
    </xf>
    <xf numFmtId="0" fontId="25" fillId="4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>
      <alignment vertical="center"/>
    </xf>
    <xf numFmtId="0" fontId="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1" fillId="0" borderId="0"/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3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5" fillId="0" borderId="0">
      <alignment vertical="center"/>
    </xf>
    <xf numFmtId="0" fontId="10" fillId="0" borderId="0"/>
    <xf numFmtId="0" fontId="10" fillId="0" borderId="0"/>
    <xf numFmtId="0" fontId="3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3" fillId="0" borderId="0" applyNumberFormat="0" applyFill="0" applyBorder="0" applyAlignment="0" applyProtection="0">
      <alignment vertical="top"/>
      <protection locked="0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>
      <alignment vertical="center"/>
    </xf>
    <xf numFmtId="0" fontId="19" fillId="5" borderId="0">
      <alignment vertical="center"/>
    </xf>
    <xf numFmtId="0" fontId="19" fillId="5" borderId="0">
      <alignment vertical="center"/>
    </xf>
    <xf numFmtId="0" fontId="19" fillId="5" borderId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>
      <alignment vertical="center"/>
    </xf>
    <xf numFmtId="0" fontId="9" fillId="0" borderId="5">
      <alignment vertical="center"/>
    </xf>
    <xf numFmtId="0" fontId="9" fillId="0" borderId="5">
      <alignment vertical="center"/>
    </xf>
    <xf numFmtId="0" fontId="9" fillId="0" borderId="5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>
      <alignment vertical="center"/>
    </xf>
    <xf numFmtId="0" fontId="26" fillId="18" borderId="6">
      <alignment vertical="center"/>
    </xf>
    <xf numFmtId="0" fontId="26" fillId="18" borderId="6">
      <alignment vertical="center"/>
    </xf>
    <xf numFmtId="0" fontId="26" fillId="18" borderId="6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>
      <alignment vertical="center"/>
    </xf>
    <xf numFmtId="0" fontId="17" fillId="19" borderId="7">
      <alignment vertical="center"/>
    </xf>
    <xf numFmtId="0" fontId="17" fillId="19" borderId="7">
      <alignment vertical="center"/>
    </xf>
    <xf numFmtId="0" fontId="17" fillId="19" borderId="7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>
      <alignment vertical="center"/>
    </xf>
    <xf numFmtId="0" fontId="27" fillId="0" borderId="8">
      <alignment vertical="center"/>
    </xf>
    <xf numFmtId="0" fontId="27" fillId="0" borderId="8">
      <alignment vertical="center"/>
    </xf>
    <xf numFmtId="0" fontId="27" fillId="0" borderId="8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4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0" fillId="0" borderId="0"/>
    <xf numFmtId="43" fontId="30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0" fillId="0" borderId="0"/>
    <xf numFmtId="43" fontId="30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2" fillId="0" borderId="0" applyFont="0" applyFill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34" fillId="0" borderId="0" applyFont="0" applyFill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>
      <alignment vertical="center"/>
    </xf>
    <xf numFmtId="0" fontId="13" fillId="20" borderId="0">
      <alignment vertical="center"/>
    </xf>
    <xf numFmtId="0" fontId="13" fillId="20" borderId="0">
      <alignment vertical="center"/>
    </xf>
    <xf numFmtId="0" fontId="13" fillId="20" borderId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>
      <alignment vertical="center"/>
    </xf>
    <xf numFmtId="0" fontId="13" fillId="21" borderId="0">
      <alignment vertical="center"/>
    </xf>
    <xf numFmtId="0" fontId="13" fillId="21" borderId="0">
      <alignment vertical="center"/>
    </xf>
    <xf numFmtId="0" fontId="13" fillId="21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3" borderId="0">
      <alignment vertical="center"/>
    </xf>
    <xf numFmtId="0" fontId="13" fillId="23" borderId="0">
      <alignment vertical="center"/>
    </xf>
    <xf numFmtId="0" fontId="13" fillId="23" borderId="0">
      <alignment vertical="center"/>
    </xf>
    <xf numFmtId="0" fontId="13" fillId="23" borderId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>
      <alignment vertical="center"/>
    </xf>
    <xf numFmtId="0" fontId="13" fillId="24" borderId="0">
      <alignment vertical="center"/>
    </xf>
    <xf numFmtId="0" fontId="13" fillId="24" borderId="0">
      <alignment vertical="center"/>
    </xf>
    <xf numFmtId="0" fontId="13" fillId="24" borderId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>
      <alignment vertical="center"/>
    </xf>
    <xf numFmtId="0" fontId="15" fillId="25" borderId="0">
      <alignment vertical="center"/>
    </xf>
    <xf numFmtId="0" fontId="15" fillId="25" borderId="0">
      <alignment vertical="center"/>
    </xf>
    <xf numFmtId="0" fontId="15" fillId="25" borderId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>
      <alignment vertical="center"/>
    </xf>
    <xf numFmtId="0" fontId="24" fillId="18" borderId="9">
      <alignment vertical="center"/>
    </xf>
    <xf numFmtId="0" fontId="24" fillId="18" borderId="9">
      <alignment vertical="center"/>
    </xf>
    <xf numFmtId="0" fontId="24" fillId="18" borderId="9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>
      <alignment vertical="center"/>
    </xf>
    <xf numFmtId="0" fontId="22" fillId="8" borderId="6">
      <alignment vertical="center"/>
    </xf>
    <xf numFmtId="0" fontId="22" fillId="8" borderId="6">
      <alignment vertical="center"/>
    </xf>
    <xf numFmtId="0" fontId="22" fillId="8" borderId="6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1" fillId="0" borderId="0"/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>
      <alignment vertical="center"/>
    </xf>
    <xf numFmtId="0" fontId="12" fillId="26" borderId="10">
      <alignment vertical="center"/>
    </xf>
    <xf numFmtId="0" fontId="12" fillId="26" borderId="10">
      <alignment vertical="center"/>
    </xf>
    <xf numFmtId="0" fontId="5" fillId="26" borderId="10">
      <alignment vertical="center"/>
    </xf>
    <xf numFmtId="0" fontId="5" fillId="26" borderId="10">
      <alignment vertical="center"/>
    </xf>
    <xf numFmtId="0" fontId="12" fillId="26" borderId="10">
      <alignment vertical="center"/>
    </xf>
    <xf numFmtId="0" fontId="5" fillId="26" borderId="10">
      <alignment vertical="center"/>
    </xf>
    <xf numFmtId="0" fontId="5" fillId="26" borderId="1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176" fontId="3" fillId="0" borderId="0">
      <alignment vertical="center"/>
    </xf>
    <xf numFmtId="0" fontId="47" fillId="0" borderId="0">
      <alignment vertical="center"/>
    </xf>
    <xf numFmtId="176" fontId="3" fillId="0" borderId="0">
      <alignment vertical="center"/>
    </xf>
    <xf numFmtId="176" fontId="3" fillId="0" borderId="0">
      <alignment vertical="center"/>
    </xf>
    <xf numFmtId="176" fontId="3" fillId="0" borderId="0">
      <alignment vertical="center"/>
    </xf>
    <xf numFmtId="176" fontId="47" fillId="0" borderId="0">
      <alignment vertical="center"/>
    </xf>
    <xf numFmtId="0" fontId="4" fillId="0" borderId="0"/>
    <xf numFmtId="179" fontId="7" fillId="0" borderId="0" applyFont="0" applyFill="0" applyBorder="0" applyAlignment="0" applyProtection="0">
      <alignment vertical="center"/>
    </xf>
    <xf numFmtId="0" fontId="3" fillId="0" borderId="0">
      <alignment vertical="center"/>
    </xf>
  </cellStyleXfs>
  <cellXfs count="173">
    <xf numFmtId="0" fontId="0" fillId="0" borderId="0" xfId="0">
      <alignment vertical="center"/>
    </xf>
    <xf numFmtId="0" fontId="2" fillId="2" borderId="0" xfId="0" applyFont="1" applyFill="1" applyAlignment="1" applyProtection="1">
      <protection locked="0"/>
    </xf>
    <xf numFmtId="178" fontId="2" fillId="2" borderId="12" xfId="0" applyNumberFormat="1" applyFont="1" applyFill="1" applyBorder="1" applyAlignment="1" applyProtection="1">
      <protection locked="0"/>
    </xf>
    <xf numFmtId="0" fontId="41" fillId="2" borderId="0" xfId="0" applyFont="1" applyFill="1" applyAlignment="1" applyProtection="1">
      <protection locked="0"/>
    </xf>
    <xf numFmtId="49" fontId="40" fillId="2" borderId="12" xfId="0" applyNumberFormat="1" applyFont="1" applyFill="1" applyBorder="1" applyAlignment="1" applyProtection="1">
      <alignment vertical="center"/>
      <protection locked="0"/>
    </xf>
    <xf numFmtId="0" fontId="2" fillId="2" borderId="12" xfId="0" applyFont="1" applyFill="1" applyBorder="1" applyAlignment="1" applyProtection="1">
      <alignment wrapText="1"/>
      <protection locked="0"/>
    </xf>
    <xf numFmtId="49" fontId="40" fillId="2" borderId="1" xfId="0" applyNumberFormat="1" applyFont="1" applyFill="1" applyBorder="1" applyAlignment="1" applyProtection="1">
      <alignment vertical="center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78" fontId="2" fillId="2" borderId="1" xfId="0" applyNumberFormat="1" applyFont="1" applyFill="1" applyBorder="1" applyAlignment="1" applyProtection="1">
      <protection locked="0"/>
    </xf>
    <xf numFmtId="0" fontId="2" fillId="2" borderId="0" xfId="0" applyFont="1" applyFill="1" applyAlignment="1" applyProtection="1">
      <alignment horizontal="center"/>
      <protection locked="0"/>
    </xf>
    <xf numFmtId="0" fontId="2" fillId="2" borderId="0" xfId="0" applyFont="1" applyFill="1" applyAlignment="1" applyProtection="1">
      <alignment wrapText="1"/>
      <protection locked="0"/>
    </xf>
    <xf numFmtId="176" fontId="2" fillId="2" borderId="0" xfId="0" applyNumberFormat="1" applyFont="1" applyFill="1" applyAlignment="1" applyProtection="1">
      <protection locked="0"/>
    </xf>
    <xf numFmtId="178" fontId="2" fillId="2" borderId="0" xfId="0" applyNumberFormat="1" applyFont="1" applyFill="1" applyAlignment="1" applyProtection="1">
      <protection locked="0"/>
    </xf>
    <xf numFmtId="0" fontId="46" fillId="28" borderId="0" xfId="0" applyFont="1" applyFill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50" fillId="0" borderId="14" xfId="0" applyFont="1" applyBorder="1" applyAlignment="1">
      <alignment horizontal="center" vertical="center"/>
    </xf>
    <xf numFmtId="0" fontId="4" fillId="0" borderId="14" xfId="2006" applyBorder="1" applyAlignment="1">
      <alignment horizontal="center" vertical="center"/>
    </xf>
    <xf numFmtId="0" fontId="7" fillId="0" borderId="14" xfId="0" applyNumberFormat="1" applyFont="1" applyBorder="1" applyAlignment="1">
      <alignment horizontal="center" vertical="center"/>
    </xf>
    <xf numFmtId="0" fontId="4" fillId="0" borderId="14" xfId="2006" applyFont="1" applyFill="1" applyBorder="1" applyAlignment="1">
      <alignment horizontal="center" vertical="center"/>
    </xf>
    <xf numFmtId="180" fontId="0" fillId="0" borderId="14" xfId="0" applyNumberFormat="1" applyBorder="1" applyAlignment="1">
      <alignment horizontal="center" vertical="center"/>
    </xf>
    <xf numFmtId="178" fontId="41" fillId="2" borderId="14" xfId="0" applyNumberFormat="1" applyFont="1" applyFill="1" applyBorder="1" applyAlignment="1" applyProtection="1"/>
    <xf numFmtId="0" fontId="39" fillId="2" borderId="14" xfId="0" applyNumberFormat="1" applyFont="1" applyFill="1" applyBorder="1" applyAlignment="1" applyProtection="1">
      <alignment horizontal="center" vertical="center" wrapText="1"/>
      <protection locked="0"/>
    </xf>
    <xf numFmtId="178" fontId="41" fillId="2" borderId="14" xfId="0" applyNumberFormat="1" applyFont="1" applyFill="1" applyBorder="1" applyAlignment="1" applyProtection="1">
      <protection locked="0"/>
    </xf>
    <xf numFmtId="0" fontId="40" fillId="2" borderId="14" xfId="0" applyNumberFormat="1" applyFont="1" applyFill="1" applyBorder="1" applyAlignment="1" applyProtection="1">
      <alignment horizontal="center"/>
      <protection locked="0"/>
    </xf>
    <xf numFmtId="49" fontId="40" fillId="2" borderId="14" xfId="0" applyNumberFormat="1" applyFont="1" applyFill="1" applyBorder="1" applyAlignment="1" applyProtection="1">
      <protection locked="0"/>
    </xf>
    <xf numFmtId="49" fontId="40" fillId="2" borderId="14" xfId="0" applyNumberFormat="1" applyFont="1" applyFill="1" applyBorder="1" applyAlignment="1" applyProtection="1">
      <alignment wrapText="1"/>
      <protection locked="0"/>
    </xf>
    <xf numFmtId="176" fontId="41" fillId="2" borderId="14" xfId="0" applyNumberFormat="1" applyFont="1" applyFill="1" applyBorder="1" applyAlignment="1" applyProtection="1"/>
    <xf numFmtId="49" fontId="41" fillId="2" borderId="14" xfId="0" applyNumberFormat="1" applyFont="1" applyFill="1" applyBorder="1" applyAlignment="1" applyProtection="1">
      <protection locked="0"/>
    </xf>
    <xf numFmtId="49" fontId="2" fillId="2" borderId="14" xfId="0" applyNumberFormat="1" applyFont="1" applyFill="1" applyBorder="1" applyAlignment="1" applyProtection="1">
      <protection locked="0"/>
    </xf>
    <xf numFmtId="49" fontId="2" fillId="2" borderId="14" xfId="0" applyNumberFormat="1" applyFont="1" applyFill="1" applyBorder="1" applyAlignment="1" applyProtection="1">
      <alignment wrapText="1"/>
      <protection locked="0"/>
    </xf>
    <xf numFmtId="178" fontId="2" fillId="2" borderId="14" xfId="0" applyNumberFormat="1" applyFont="1" applyFill="1" applyBorder="1" applyAlignment="1" applyProtection="1">
      <protection locked="0"/>
    </xf>
    <xf numFmtId="178" fontId="2" fillId="2" borderId="14" xfId="0" applyNumberFormat="1" applyFont="1" applyFill="1" applyBorder="1" applyAlignment="1" applyProtection="1"/>
    <xf numFmtId="49" fontId="41" fillId="2" borderId="14" xfId="0" applyNumberFormat="1" applyFont="1" applyFill="1" applyBorder="1" applyAlignment="1" applyProtection="1">
      <alignment wrapText="1"/>
      <protection locked="0"/>
    </xf>
    <xf numFmtId="0" fontId="2" fillId="2" borderId="14" xfId="0" applyNumberFormat="1" applyFont="1" applyFill="1" applyBorder="1" applyAlignment="1" applyProtection="1">
      <alignment horizontal="center"/>
      <protection locked="0"/>
    </xf>
    <xf numFmtId="0" fontId="2" fillId="2" borderId="14" xfId="0" applyFont="1" applyFill="1" applyBorder="1" applyAlignment="1" applyProtection="1">
      <alignment wrapText="1"/>
      <protection locked="0"/>
    </xf>
    <xf numFmtId="0" fontId="41" fillId="2" borderId="14" xfId="0" applyFont="1" applyFill="1" applyBorder="1" applyAlignment="1" applyProtection="1">
      <alignment wrapText="1"/>
      <protection locked="0"/>
    </xf>
    <xf numFmtId="179" fontId="2" fillId="2" borderId="14" xfId="0" applyNumberFormat="1" applyFont="1" applyFill="1" applyBorder="1" applyAlignment="1" applyProtection="1">
      <protection locked="0"/>
    </xf>
    <xf numFmtId="49" fontId="40" fillId="2" borderId="14" xfId="0" applyNumberFormat="1" applyFont="1" applyFill="1" applyBorder="1" applyAlignment="1" applyProtection="1">
      <alignment horizontal="left"/>
      <protection locked="0"/>
    </xf>
    <xf numFmtId="0" fontId="2" fillId="2" borderId="0" xfId="0" applyNumberFormat="1" applyFont="1" applyFill="1" applyAlignment="1" applyProtection="1">
      <protection locked="0"/>
    </xf>
    <xf numFmtId="0" fontId="43" fillId="0" borderId="14" xfId="0" applyNumberFormat="1" applyFont="1" applyBorder="1" applyAlignment="1">
      <alignment horizontal="center" vertical="center"/>
    </xf>
    <xf numFmtId="0" fontId="55" fillId="28" borderId="0" xfId="0" applyFont="1" applyFill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55" fillId="2" borderId="14" xfId="0" applyFont="1" applyFill="1" applyBorder="1" applyAlignment="1">
      <alignment horizontal="left" vertical="center" wrapText="1"/>
    </xf>
    <xf numFmtId="181" fontId="43" fillId="2" borderId="0" xfId="0" applyNumberFormat="1" applyFont="1" applyFill="1">
      <alignment vertical="center"/>
    </xf>
    <xf numFmtId="181" fontId="2" fillId="29" borderId="14" xfId="0" applyNumberFormat="1" applyFont="1" applyFill="1" applyBorder="1" applyAlignment="1">
      <alignment horizontal="center" vertical="center" wrapText="1"/>
    </xf>
    <xf numFmtId="181" fontId="45" fillId="2" borderId="14" xfId="0" applyNumberFormat="1" applyFont="1" applyFill="1" applyBorder="1" applyAlignment="1">
      <alignment horizontal="center" vertical="center"/>
    </xf>
    <xf numFmtId="181" fontId="2" fillId="2" borderId="14" xfId="0" applyNumberFormat="1" applyFont="1" applyFill="1" applyBorder="1" applyAlignment="1">
      <alignment horizontal="center" vertical="center"/>
    </xf>
    <xf numFmtId="176" fontId="2" fillId="2" borderId="14" xfId="0" applyNumberFormat="1" applyFont="1" applyFill="1" applyBorder="1" applyAlignment="1">
      <alignment horizontal="center" vertical="center"/>
    </xf>
    <xf numFmtId="176" fontId="45" fillId="2" borderId="14" xfId="0" applyNumberFormat="1" applyFont="1" applyFill="1" applyBorder="1" applyAlignment="1">
      <alignment horizontal="center" vertical="center"/>
    </xf>
    <xf numFmtId="181" fontId="45" fillId="2" borderId="0" xfId="0" applyNumberFormat="1" applyFont="1" applyFill="1">
      <alignment vertical="center"/>
    </xf>
    <xf numFmtId="176" fontId="45" fillId="29" borderId="14" xfId="0" applyNumberFormat="1" applyFont="1" applyFill="1" applyBorder="1" applyAlignment="1">
      <alignment horizontal="center" vertical="center"/>
    </xf>
    <xf numFmtId="181" fontId="43" fillId="29" borderId="0" xfId="0" applyNumberFormat="1" applyFont="1" applyFill="1">
      <alignment vertical="center"/>
    </xf>
    <xf numFmtId="176" fontId="2" fillId="2" borderId="14" xfId="0" applyNumberFormat="1" applyFont="1" applyFill="1" applyBorder="1" applyAlignment="1">
      <alignment horizontal="center" vertical="center" wrapText="1"/>
    </xf>
    <xf numFmtId="176" fontId="43" fillId="2" borderId="0" xfId="0" applyNumberFormat="1" applyFont="1" applyFill="1">
      <alignment vertical="center"/>
    </xf>
    <xf numFmtId="1" fontId="2" fillId="2" borderId="14" xfId="0" applyNumberFormat="1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181" fontId="59" fillId="29" borderId="14" xfId="0" applyNumberFormat="1" applyFont="1" applyFill="1" applyBorder="1" applyAlignment="1">
      <alignment horizontal="center" vertical="center" wrapText="1"/>
    </xf>
    <xf numFmtId="176" fontId="60" fillId="2" borderId="14" xfId="0" applyNumberFormat="1" applyFont="1" applyFill="1" applyBorder="1" applyAlignment="1">
      <alignment horizontal="center" vertical="center"/>
    </xf>
    <xf numFmtId="181" fontId="60" fillId="2" borderId="0" xfId="0" applyNumberFormat="1" applyFont="1" applyFill="1">
      <alignment vertical="center"/>
    </xf>
    <xf numFmtId="0" fontId="42" fillId="0" borderId="0" xfId="0" applyNumberFormat="1" applyFont="1">
      <alignment vertical="center"/>
    </xf>
    <xf numFmtId="0" fontId="43" fillId="30" borderId="14" xfId="0" applyNumberFormat="1" applyFont="1" applyFill="1" applyBorder="1" applyAlignment="1">
      <alignment horizontal="center" vertical="center"/>
    </xf>
    <xf numFmtId="0" fontId="43" fillId="0" borderId="0" xfId="0" applyNumberFormat="1" applyFont="1">
      <alignment vertical="center"/>
    </xf>
    <xf numFmtId="0" fontId="61" fillId="2" borderId="14" xfId="1225" applyNumberFormat="1" applyFont="1" applyFill="1" applyBorder="1" applyAlignment="1">
      <alignment horizontal="left" vertical="center"/>
    </xf>
    <xf numFmtId="176" fontId="43" fillId="0" borderId="14" xfId="0" applyNumberFormat="1" applyFont="1" applyBorder="1" applyAlignment="1">
      <alignment horizontal="center" vertical="center"/>
    </xf>
    <xf numFmtId="0" fontId="4" fillId="2" borderId="14" xfId="0" applyNumberFormat="1" applyFont="1" applyFill="1" applyBorder="1" applyAlignment="1">
      <alignment horizontal="left" vertical="center"/>
    </xf>
    <xf numFmtId="0" fontId="44" fillId="30" borderId="14" xfId="0" applyNumberFormat="1" applyFont="1" applyFill="1" applyBorder="1" applyAlignment="1">
      <alignment horizontal="center" vertical="center"/>
    </xf>
    <xf numFmtId="0" fontId="40" fillId="30" borderId="14" xfId="0" applyNumberFormat="1" applyFont="1" applyFill="1" applyBorder="1" applyAlignment="1" applyProtection="1">
      <alignment horizontal="center" vertical="center" wrapText="1"/>
      <protection locked="0"/>
    </xf>
    <xf numFmtId="176" fontId="43" fillId="30" borderId="14" xfId="0" applyNumberFormat="1" applyFont="1" applyFill="1" applyBorder="1" applyAlignment="1">
      <alignment horizontal="center" vertical="center"/>
    </xf>
    <xf numFmtId="0" fontId="3" fillId="0" borderId="0" xfId="0" applyNumberFormat="1" applyFont="1">
      <alignment vertical="center"/>
    </xf>
    <xf numFmtId="177" fontId="45" fillId="2" borderId="14" xfId="0" applyNumberFormat="1" applyFont="1" applyFill="1" applyBorder="1" applyAlignment="1">
      <alignment horizontal="center" vertical="center"/>
    </xf>
    <xf numFmtId="176" fontId="2" fillId="2" borderId="14" xfId="0" applyNumberFormat="1" applyFont="1" applyFill="1" applyBorder="1" applyAlignment="1" applyProtection="1"/>
    <xf numFmtId="0" fontId="43" fillId="2" borderId="14" xfId="0" applyNumberFormat="1" applyFont="1" applyFill="1" applyBorder="1" applyAlignment="1">
      <alignment horizontal="center" vertical="center"/>
    </xf>
    <xf numFmtId="0" fontId="45" fillId="2" borderId="14" xfId="0" applyNumberFormat="1" applyFont="1" applyFill="1" applyBorder="1" applyAlignment="1">
      <alignment horizontal="center" vertical="center"/>
    </xf>
    <xf numFmtId="176" fontId="43" fillId="2" borderId="14" xfId="0" applyNumberFormat="1" applyFont="1" applyFill="1" applyBorder="1" applyAlignment="1">
      <alignment horizontal="center" vertical="center"/>
    </xf>
    <xf numFmtId="0" fontId="43" fillId="2" borderId="0" xfId="0" applyNumberFormat="1" applyFont="1" applyFill="1" applyAlignment="1">
      <alignment horizontal="center" vertical="center"/>
    </xf>
    <xf numFmtId="181" fontId="43" fillId="2" borderId="0" xfId="0" applyNumberFormat="1" applyFont="1" applyFill="1" applyAlignment="1">
      <alignment horizontal="center" vertical="center"/>
    </xf>
    <xf numFmtId="0" fontId="46" fillId="28" borderId="0" xfId="0" applyFont="1" applyFill="1" applyAlignment="1">
      <alignment vertical="center" wrapText="1"/>
    </xf>
    <xf numFmtId="0" fontId="46" fillId="28" borderId="0" xfId="0" applyFont="1" applyFill="1" applyAlignment="1">
      <alignment horizontal="center" vertical="center" wrapText="1"/>
    </xf>
    <xf numFmtId="0" fontId="46" fillId="28" borderId="0" xfId="0" applyFont="1" applyFill="1" applyAlignment="1">
      <alignment horizontal="left" vertical="center" wrapText="1"/>
    </xf>
    <xf numFmtId="179" fontId="46" fillId="28" borderId="0" xfId="1720" applyNumberFormat="1" applyFont="1" applyFill="1" applyAlignment="1">
      <alignment horizontal="center" vertical="center"/>
    </xf>
    <xf numFmtId="179" fontId="46" fillId="28" borderId="0" xfId="0" applyNumberFormat="1" applyFont="1" applyFill="1" applyAlignment="1">
      <alignment horizontal="center" vertical="center"/>
    </xf>
    <xf numFmtId="0" fontId="54" fillId="2" borderId="14" xfId="0" applyFont="1" applyFill="1" applyBorder="1" applyAlignment="1">
      <alignment horizontal="center" vertical="center" wrapText="1"/>
    </xf>
    <xf numFmtId="0" fontId="53" fillId="2" borderId="14" xfId="0" applyFont="1" applyFill="1" applyBorder="1" applyAlignment="1">
      <alignment horizontal="center" vertical="center" wrapText="1"/>
    </xf>
    <xf numFmtId="179" fontId="54" fillId="2" borderId="14" xfId="1720" applyNumberFormat="1" applyFont="1" applyFill="1" applyBorder="1" applyAlignment="1">
      <alignment horizontal="center" vertical="center" wrapText="1"/>
    </xf>
    <xf numFmtId="179" fontId="54" fillId="2" borderId="14" xfId="0" applyNumberFormat="1" applyFont="1" applyFill="1" applyBorder="1" applyAlignment="1">
      <alignment horizontal="center" vertical="center" wrapText="1"/>
    </xf>
    <xf numFmtId="0" fontId="53" fillId="2" borderId="14" xfId="0" applyFont="1" applyFill="1" applyBorder="1" applyAlignment="1">
      <alignment horizontal="center" vertical="center"/>
    </xf>
    <xf numFmtId="0" fontId="31" fillId="2" borderId="14" xfId="0" applyFont="1" applyFill="1" applyBorder="1" applyAlignment="1">
      <alignment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center"/>
    </xf>
    <xf numFmtId="0" fontId="31" fillId="2" borderId="14" xfId="0" applyFont="1" applyFill="1" applyBorder="1" applyAlignment="1">
      <alignment horizontal="center" vertical="center"/>
    </xf>
    <xf numFmtId="43" fontId="31" fillId="2" borderId="14" xfId="1720" applyNumberFormat="1" applyFont="1" applyFill="1" applyBorder="1" applyAlignment="1">
      <alignment horizontal="center" vertical="center"/>
    </xf>
    <xf numFmtId="43" fontId="31" fillId="2" borderId="14" xfId="0" applyNumberFormat="1" applyFont="1" applyFill="1" applyBorder="1" applyAlignment="1">
      <alignment horizontal="center" vertical="center"/>
    </xf>
    <xf numFmtId="0" fontId="55" fillId="2" borderId="14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vertical="center" wrapText="1"/>
    </xf>
    <xf numFmtId="0" fontId="31" fillId="2" borderId="14" xfId="0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left" vertical="center" wrapText="1"/>
    </xf>
    <xf numFmtId="0" fontId="55" fillId="2" borderId="14" xfId="0" applyFont="1" applyFill="1" applyBorder="1" applyAlignment="1">
      <alignment horizontal="center" vertical="center" wrapText="1"/>
    </xf>
    <xf numFmtId="0" fontId="57" fillId="2" borderId="14" xfId="0" applyFont="1" applyFill="1" applyBorder="1" applyAlignment="1">
      <alignment horizontal="left" vertical="center" wrapText="1"/>
    </xf>
    <xf numFmtId="0" fontId="55" fillId="2" borderId="14" xfId="0" applyFont="1" applyFill="1" applyBorder="1" applyAlignment="1">
      <alignment horizontal="left" vertical="center"/>
    </xf>
    <xf numFmtId="0" fontId="56" fillId="2" borderId="14" xfId="0" applyFont="1" applyFill="1" applyBorder="1" applyAlignment="1">
      <alignment horizontal="center" vertical="center"/>
    </xf>
    <xf numFmtId="181" fontId="2" fillId="29" borderId="14" xfId="0" applyNumberFormat="1" applyFont="1" applyFill="1" applyBorder="1" applyAlignment="1">
      <alignment horizontal="center" vertical="center"/>
    </xf>
    <xf numFmtId="181" fontId="45" fillId="29" borderId="14" xfId="0" applyNumberFormat="1" applyFont="1" applyFill="1" applyBorder="1" applyAlignment="1">
      <alignment horizontal="center" vertical="center"/>
    </xf>
    <xf numFmtId="178" fontId="62" fillId="2" borderId="14" xfId="0" applyNumberFormat="1" applyFont="1" applyFill="1" applyBorder="1" applyAlignment="1" applyProtection="1">
      <protection locked="0"/>
    </xf>
    <xf numFmtId="0" fontId="0" fillId="2" borderId="0" xfId="0" applyFill="1">
      <alignment vertical="center"/>
    </xf>
    <xf numFmtId="0" fontId="2" fillId="2" borderId="14" xfId="0" applyFont="1" applyFill="1" applyBorder="1" applyAlignment="1">
      <alignment horizontal="center" vertical="center"/>
    </xf>
    <xf numFmtId="0" fontId="65" fillId="2" borderId="14" xfId="0" applyFont="1" applyFill="1" applyBorder="1" applyAlignment="1">
      <alignment horizontal="center" vertical="center" wrapText="1"/>
    </xf>
    <xf numFmtId="0" fontId="48" fillId="2" borderId="14" xfId="0" applyFont="1" applyFill="1" applyBorder="1" applyAlignment="1">
      <alignment horizontal="center" vertical="center"/>
    </xf>
    <xf numFmtId="176" fontId="43" fillId="2" borderId="14" xfId="0" applyNumberFormat="1" applyFont="1" applyFill="1" applyBorder="1">
      <alignment vertical="center"/>
    </xf>
    <xf numFmtId="0" fontId="43" fillId="2" borderId="0" xfId="0" applyFont="1" applyFill="1">
      <alignment vertical="center"/>
    </xf>
    <xf numFmtId="0" fontId="43" fillId="2" borderId="14" xfId="0" applyFont="1" applyFill="1" applyBorder="1" applyAlignment="1">
      <alignment horizontal="center" vertical="center"/>
    </xf>
    <xf numFmtId="0" fontId="0" fillId="0" borderId="0" xfId="0" applyFont="1">
      <alignment vertical="center"/>
    </xf>
    <xf numFmtId="0" fontId="2" fillId="2" borderId="14" xfId="0" applyNumberFormat="1" applyFont="1" applyFill="1" applyBorder="1" applyAlignment="1">
      <alignment horizontal="center" vertical="center" wrapText="1"/>
    </xf>
    <xf numFmtId="0" fontId="0" fillId="2" borderId="0" xfId="0" applyFont="1" applyFill="1">
      <alignment vertical="center"/>
    </xf>
    <xf numFmtId="0" fontId="48" fillId="0" borderId="14" xfId="0" applyFont="1" applyBorder="1">
      <alignment vertical="center"/>
    </xf>
    <xf numFmtId="0" fontId="68" fillId="0" borderId="14" xfId="0" applyNumberFormat="1" applyFont="1" applyFill="1" applyBorder="1">
      <alignment vertical="center"/>
    </xf>
    <xf numFmtId="176" fontId="68" fillId="0" borderId="14" xfId="0" applyNumberFormat="1" applyFont="1" applyFill="1" applyBorder="1">
      <alignment vertical="center"/>
    </xf>
    <xf numFmtId="176" fontId="48" fillId="0" borderId="14" xfId="0" applyNumberFormat="1" applyFont="1" applyBorder="1">
      <alignment vertical="center"/>
    </xf>
    <xf numFmtId="0" fontId="69" fillId="0" borderId="14" xfId="0" applyFont="1" applyBorder="1">
      <alignment vertical="center"/>
    </xf>
    <xf numFmtId="0" fontId="0" fillId="0" borderId="0" xfId="0" applyAlignment="1">
      <alignment vertical="center"/>
    </xf>
    <xf numFmtId="182" fontId="71" fillId="0" borderId="14" xfId="0" applyNumberFormat="1" applyFont="1" applyFill="1" applyBorder="1" applyAlignment="1">
      <alignment horizontal="center" vertical="center" wrapText="1"/>
    </xf>
    <xf numFmtId="49" fontId="71" fillId="0" borderId="14" xfId="0" applyNumberFormat="1" applyFont="1" applyFill="1" applyBorder="1" applyAlignment="1">
      <alignment horizontal="center" vertical="center" wrapText="1"/>
    </xf>
    <xf numFmtId="183" fontId="71" fillId="0" borderId="14" xfId="0" applyNumberFormat="1" applyFont="1" applyFill="1" applyBorder="1" applyAlignment="1">
      <alignment horizontal="center" vertical="center" wrapText="1"/>
    </xf>
    <xf numFmtId="0" fontId="72" fillId="0" borderId="0" xfId="0" applyFont="1" applyAlignment="1">
      <alignment vertical="center"/>
    </xf>
    <xf numFmtId="0" fontId="73" fillId="0" borderId="14" xfId="0" applyFont="1" applyFill="1" applyBorder="1" applyAlignment="1" applyProtection="1">
      <alignment horizontal="center" vertical="center"/>
    </xf>
    <xf numFmtId="0" fontId="73" fillId="0" borderId="14" xfId="0" applyFont="1" applyFill="1" applyBorder="1" applyAlignment="1" applyProtection="1">
      <alignment horizontal="center" vertical="center" wrapText="1"/>
    </xf>
    <xf numFmtId="49" fontId="73" fillId="0" borderId="14" xfId="0" applyNumberFormat="1" applyFont="1" applyFill="1" applyBorder="1" applyAlignment="1" applyProtection="1">
      <alignment horizontal="center" vertical="center" wrapText="1"/>
    </xf>
    <xf numFmtId="183" fontId="73" fillId="0" borderId="14" xfId="0" applyNumberFormat="1" applyFont="1" applyFill="1" applyBorder="1" applyAlignment="1" applyProtection="1">
      <alignment horizontal="center" vertical="center"/>
    </xf>
    <xf numFmtId="176" fontId="74" fillId="0" borderId="14" xfId="0" applyNumberFormat="1" applyFont="1" applyFill="1" applyBorder="1" applyAlignment="1">
      <alignment horizontal="center" vertical="center"/>
    </xf>
    <xf numFmtId="0" fontId="73" fillId="0" borderId="14" xfId="0" applyFont="1" applyFill="1" applyBorder="1" applyAlignment="1">
      <alignment horizontal="center" vertical="center" wrapText="1"/>
    </xf>
    <xf numFmtId="0" fontId="73" fillId="0" borderId="15" xfId="0" applyFont="1" applyFill="1" applyBorder="1" applyAlignment="1" applyProtection="1">
      <alignment horizontal="center" vertical="center"/>
    </xf>
    <xf numFmtId="0" fontId="76" fillId="0" borderId="0" xfId="0" applyFont="1" applyAlignment="1">
      <alignment horizontal="center" vertical="center"/>
    </xf>
    <xf numFmtId="0" fontId="0" fillId="0" borderId="0" xfId="0" applyNumberFormat="1">
      <alignment vertical="center"/>
    </xf>
    <xf numFmtId="0" fontId="75" fillId="0" borderId="14" xfId="0" applyNumberFormat="1" applyFont="1" applyBorder="1" applyAlignment="1">
      <alignment horizontal="center" vertical="center"/>
    </xf>
    <xf numFmtId="0" fontId="75" fillId="0" borderId="14" xfId="0" applyNumberFormat="1" applyFont="1" applyBorder="1" applyAlignment="1">
      <alignment horizontal="center" vertical="center" wrapText="1"/>
    </xf>
    <xf numFmtId="0" fontId="75" fillId="0" borderId="0" xfId="0" applyNumberFormat="1" applyFont="1" applyBorder="1" applyAlignment="1">
      <alignment horizontal="center" vertical="center"/>
    </xf>
    <xf numFmtId="0" fontId="75" fillId="0" borderId="1" xfId="0" applyNumberFormat="1" applyFont="1" applyBorder="1" applyAlignment="1">
      <alignment horizontal="center" vertical="center"/>
    </xf>
    <xf numFmtId="43" fontId="75" fillId="0" borderId="1" xfId="0" applyNumberFormat="1" applyFont="1" applyBorder="1" applyAlignment="1">
      <alignment horizontal="center" vertical="center"/>
    </xf>
    <xf numFmtId="43" fontId="75" fillId="0" borderId="14" xfId="0" applyNumberFormat="1" applyFont="1" applyBorder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0" fontId="77" fillId="0" borderId="0" xfId="0" applyNumberFormat="1" applyFont="1" applyBorder="1" applyAlignment="1">
      <alignment horizontal="center" vertical="center"/>
    </xf>
    <xf numFmtId="181" fontId="0" fillId="0" borderId="0" xfId="0" applyNumberFormat="1" applyAlignment="1">
      <alignment vertical="center"/>
    </xf>
    <xf numFmtId="0" fontId="0" fillId="0" borderId="0" xfId="0" applyAlignment="1">
      <alignment vertical="center"/>
    </xf>
    <xf numFmtId="0" fontId="78" fillId="0" borderId="0" xfId="0" applyNumberFormat="1" applyFont="1" applyBorder="1" applyAlignment="1">
      <alignment vertical="center"/>
    </xf>
    <xf numFmtId="181" fontId="0" fillId="0" borderId="0" xfId="0" applyNumberFormat="1" applyBorder="1" applyAlignment="1">
      <alignment vertical="center"/>
    </xf>
    <xf numFmtId="0" fontId="79" fillId="0" borderId="0" xfId="0" applyNumberFormat="1" applyFont="1" applyBorder="1" applyAlignment="1">
      <alignment horizontal="right" vertical="center"/>
    </xf>
    <xf numFmtId="0" fontId="0" fillId="0" borderId="0" xfId="0" applyBorder="1" applyAlignment="1">
      <alignment vertical="center"/>
    </xf>
    <xf numFmtId="0" fontId="37" fillId="2" borderId="0" xfId="0" applyNumberFormat="1" applyFont="1" applyFill="1" applyBorder="1" applyAlignment="1" applyProtection="1">
      <alignment horizontal="center" vertical="center"/>
      <protection locked="0"/>
    </xf>
    <xf numFmtId="0" fontId="38" fillId="2" borderId="0" xfId="0" applyNumberFormat="1" applyFont="1" applyFill="1" applyBorder="1" applyAlignment="1" applyProtection="1">
      <alignment horizontal="center" vertical="center"/>
      <protection locked="0"/>
    </xf>
    <xf numFmtId="0" fontId="2" fillId="2" borderId="0" xfId="0" applyFont="1" applyFill="1" applyAlignment="1" applyProtection="1">
      <alignment wrapText="1"/>
      <protection locked="0"/>
    </xf>
    <xf numFmtId="0" fontId="39" fillId="2" borderId="11" xfId="0" applyNumberFormat="1" applyFont="1" applyFill="1" applyBorder="1" applyAlignment="1" applyProtection="1">
      <alignment horizontal="center" vertical="center"/>
      <protection locked="0"/>
    </xf>
    <xf numFmtId="0" fontId="39" fillId="2" borderId="1" xfId="0" applyNumberFormat="1" applyFont="1" applyFill="1" applyBorder="1" applyAlignment="1" applyProtection="1">
      <alignment horizontal="center" vertical="center"/>
      <protection locked="0"/>
    </xf>
    <xf numFmtId="0" fontId="63" fillId="2" borderId="13" xfId="0" applyFont="1" applyFill="1" applyBorder="1" applyAlignment="1">
      <alignment horizontal="center" vertical="center"/>
    </xf>
    <xf numFmtId="0" fontId="64" fillId="2" borderId="13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65" fillId="2" borderId="11" xfId="0" applyFont="1" applyFill="1" applyBorder="1" applyAlignment="1">
      <alignment horizontal="center" vertical="center" wrapText="1"/>
    </xf>
    <xf numFmtId="0" fontId="65" fillId="2" borderId="11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70" fillId="0" borderId="13" xfId="0" applyFont="1" applyBorder="1" applyAlignment="1" applyProtection="1">
      <alignment horizontal="center" vertical="center"/>
    </xf>
    <xf numFmtId="0" fontId="42" fillId="0" borderId="13" xfId="0" applyNumberFormat="1" applyFont="1" applyBorder="1" applyAlignment="1">
      <alignment horizontal="center" vertical="center"/>
    </xf>
    <xf numFmtId="0" fontId="42" fillId="0" borderId="13" xfId="0" applyNumberFormat="1" applyFont="1" applyBorder="1">
      <alignment vertical="center"/>
    </xf>
    <xf numFmtId="0" fontId="49" fillId="0" borderId="0" xfId="0" applyFont="1" applyAlignment="1">
      <alignment horizontal="center" vertical="center"/>
    </xf>
    <xf numFmtId="0" fontId="52" fillId="28" borderId="13" xfId="0" applyFont="1" applyFill="1" applyBorder="1" applyAlignment="1">
      <alignment horizontal="center" vertical="center"/>
    </xf>
    <xf numFmtId="0" fontId="43" fillId="29" borderId="11" xfId="0" applyNumberFormat="1" applyFont="1" applyFill="1" applyBorder="1" applyAlignment="1">
      <alignment horizontal="center" vertical="center"/>
    </xf>
    <xf numFmtId="0" fontId="43" fillId="29" borderId="1" xfId="0" applyNumberFormat="1" applyFont="1" applyFill="1" applyBorder="1" applyAlignment="1">
      <alignment horizontal="center" vertical="center"/>
    </xf>
    <xf numFmtId="181" fontId="58" fillId="2" borderId="13" xfId="0" applyNumberFormat="1" applyFont="1" applyFill="1" applyBorder="1" applyAlignment="1">
      <alignment horizontal="center" vertical="center"/>
    </xf>
    <xf numFmtId="181" fontId="0" fillId="0" borderId="13" xfId="0" applyNumberFormat="1" applyBorder="1" applyAlignment="1">
      <alignment horizontal="center" vertical="center"/>
    </xf>
    <xf numFmtId="0" fontId="0" fillId="0" borderId="13" xfId="0" applyBorder="1" applyAlignment="1">
      <alignment vertical="center"/>
    </xf>
    <xf numFmtId="181" fontId="2" fillId="29" borderId="14" xfId="0" applyNumberFormat="1" applyFont="1" applyFill="1" applyBorder="1" applyAlignment="1">
      <alignment horizontal="center" vertical="center"/>
    </xf>
    <xf numFmtId="181" fontId="45" fillId="29" borderId="14" xfId="0" applyNumberFormat="1" applyFont="1" applyFill="1" applyBorder="1" applyAlignment="1">
      <alignment horizontal="center" vertical="center"/>
    </xf>
    <xf numFmtId="0" fontId="66" fillId="0" borderId="13" xfId="0" applyFont="1" applyBorder="1" applyAlignment="1">
      <alignment horizontal="center" vertical="center"/>
    </xf>
    <xf numFmtId="0" fontId="67" fillId="0" borderId="13" xfId="0" applyFont="1" applyBorder="1" applyAlignment="1">
      <alignment vertical="center"/>
    </xf>
  </cellXfs>
  <cellStyles count="2009">
    <cellStyle name="20% - 强调文字颜色 1 2" xfId="2"/>
    <cellStyle name="20% - 强调文字颜色 1 2 2" xfId="3"/>
    <cellStyle name="20% - 强调文字颜色 1 2 2 2" xfId="4"/>
    <cellStyle name="20% - 强调文字颜色 1 2 2 2 2" xfId="5"/>
    <cellStyle name="20% - 强调文字颜色 1 2 2 3" xfId="6"/>
    <cellStyle name="20% - 强调文字颜色 1 2 3" xfId="7"/>
    <cellStyle name="20% - 强调文字颜色 1 2 3 2" xfId="8"/>
    <cellStyle name="20% - 强调文字颜色 1 2 4" xfId="9"/>
    <cellStyle name="20% - 强调文字颜色 1 3" xfId="10"/>
    <cellStyle name="20% - 强调文字颜色 1 3 2" xfId="11"/>
    <cellStyle name="20% - 强调文字颜色 1 3 2 2" xfId="12"/>
    <cellStyle name="20% - 强调文字颜色 1 3 2 2 2" xfId="13"/>
    <cellStyle name="20% - 强调文字颜色 1 3 2 3" xfId="14"/>
    <cellStyle name="20% - 强调文字颜色 1 3 3" xfId="15"/>
    <cellStyle name="20% - 强调文字颜色 1 3 3 2" xfId="16"/>
    <cellStyle name="20% - 强调文字颜色 1 3 4" xfId="17"/>
    <cellStyle name="20% - 强调文字颜色 1 4" xfId="18"/>
    <cellStyle name="20% - 强调文字颜色 1 4 2" xfId="19"/>
    <cellStyle name="20% - 强调文字颜色 1 4 2 2" xfId="20"/>
    <cellStyle name="20% - 强调文字颜色 1 4 2 2 2" xfId="21"/>
    <cellStyle name="20% - 强调文字颜色 1 4 2 3" xfId="22"/>
    <cellStyle name="20% - 强调文字颜色 1 4 3" xfId="23"/>
    <cellStyle name="20% - 强调文字颜色 1 4 3 2" xfId="24"/>
    <cellStyle name="20% - 强调文字颜色 1 4 4" xfId="25"/>
    <cellStyle name="20% - 强调文字颜色 1 5" xfId="26"/>
    <cellStyle name="20% - 强调文字颜色 1 5 2" xfId="27"/>
    <cellStyle name="20% - 强调文字颜色 1 5 2 2" xfId="28"/>
    <cellStyle name="20% - 强调文字颜色 1 5 3" xfId="29"/>
    <cellStyle name="20% - 强调文字颜色 1 6" xfId="30"/>
    <cellStyle name="20% - 强调文字颜色 1 6 2" xfId="31"/>
    <cellStyle name="20% - 强调文字颜色 1 6 2 2" xfId="32"/>
    <cellStyle name="20% - 强调文字颜色 1 6 3" xfId="33"/>
    <cellStyle name="20% - 强调文字颜色 1 7" xfId="34"/>
    <cellStyle name="20% - 强调文字颜色 1 7 2" xfId="35"/>
    <cellStyle name="20% - 强调文字颜色 1 7 2 2" xfId="36"/>
    <cellStyle name="20% - 强调文字颜色 1 7 3" xfId="37"/>
    <cellStyle name="20% - 强调文字颜色 2 2" xfId="38"/>
    <cellStyle name="20% - 强调文字颜色 2 2 2" xfId="39"/>
    <cellStyle name="20% - 强调文字颜色 2 2 2 2" xfId="40"/>
    <cellStyle name="20% - 强调文字颜色 2 2 2 2 2" xfId="41"/>
    <cellStyle name="20% - 强调文字颜色 2 2 2 3" xfId="42"/>
    <cellStyle name="20% - 强调文字颜色 2 2 3" xfId="43"/>
    <cellStyle name="20% - 强调文字颜色 2 2 3 2" xfId="44"/>
    <cellStyle name="20% - 强调文字颜色 2 2 4" xfId="45"/>
    <cellStyle name="20% - 强调文字颜色 2 3" xfId="46"/>
    <cellStyle name="20% - 强调文字颜色 2 3 2" xfId="47"/>
    <cellStyle name="20% - 强调文字颜色 2 3 2 2" xfId="48"/>
    <cellStyle name="20% - 强调文字颜色 2 3 2 2 2" xfId="49"/>
    <cellStyle name="20% - 强调文字颜色 2 3 2 3" xfId="50"/>
    <cellStyle name="20% - 强调文字颜色 2 3 3" xfId="51"/>
    <cellStyle name="20% - 强调文字颜色 2 3 3 2" xfId="52"/>
    <cellStyle name="20% - 强调文字颜色 2 3 4" xfId="53"/>
    <cellStyle name="20% - 强调文字颜色 2 4" xfId="54"/>
    <cellStyle name="20% - 强调文字颜色 2 4 2" xfId="55"/>
    <cellStyle name="20% - 强调文字颜色 2 4 2 2" xfId="56"/>
    <cellStyle name="20% - 强调文字颜色 2 4 2 2 2" xfId="57"/>
    <cellStyle name="20% - 强调文字颜色 2 4 2 3" xfId="58"/>
    <cellStyle name="20% - 强调文字颜色 2 4 3" xfId="59"/>
    <cellStyle name="20% - 强调文字颜色 2 4 3 2" xfId="60"/>
    <cellStyle name="20% - 强调文字颜色 2 4 4" xfId="61"/>
    <cellStyle name="20% - 强调文字颜色 2 5" xfId="62"/>
    <cellStyle name="20% - 强调文字颜色 2 5 2" xfId="63"/>
    <cellStyle name="20% - 强调文字颜色 2 5 2 2" xfId="64"/>
    <cellStyle name="20% - 强调文字颜色 2 5 3" xfId="65"/>
    <cellStyle name="20% - 强调文字颜色 2 6" xfId="66"/>
    <cellStyle name="20% - 强调文字颜色 2 6 2" xfId="67"/>
    <cellStyle name="20% - 强调文字颜色 2 6 2 2" xfId="68"/>
    <cellStyle name="20% - 强调文字颜色 2 6 3" xfId="69"/>
    <cellStyle name="20% - 强调文字颜色 2 7" xfId="70"/>
    <cellStyle name="20% - 强调文字颜色 2 7 2" xfId="71"/>
    <cellStyle name="20% - 强调文字颜色 2 7 2 2" xfId="72"/>
    <cellStyle name="20% - 强调文字颜色 2 7 3" xfId="73"/>
    <cellStyle name="20% - 强调文字颜色 3 2" xfId="74"/>
    <cellStyle name="20% - 强调文字颜色 3 2 2" xfId="75"/>
    <cellStyle name="20% - 强调文字颜色 3 2 2 2" xfId="76"/>
    <cellStyle name="20% - 强调文字颜色 3 2 2 2 2" xfId="77"/>
    <cellStyle name="20% - 强调文字颜色 3 2 2 3" xfId="78"/>
    <cellStyle name="20% - 强调文字颜色 3 2 3" xfId="79"/>
    <cellStyle name="20% - 强调文字颜色 3 2 3 2" xfId="80"/>
    <cellStyle name="20% - 强调文字颜色 3 2 4" xfId="81"/>
    <cellStyle name="20% - 强调文字颜色 3 3" xfId="82"/>
    <cellStyle name="20% - 强调文字颜色 3 3 2" xfId="83"/>
    <cellStyle name="20% - 强调文字颜色 3 3 2 2" xfId="84"/>
    <cellStyle name="20% - 强调文字颜色 3 3 2 2 2" xfId="85"/>
    <cellStyle name="20% - 强调文字颜色 3 3 2 3" xfId="86"/>
    <cellStyle name="20% - 强调文字颜色 3 3 3" xfId="87"/>
    <cellStyle name="20% - 强调文字颜色 3 3 3 2" xfId="88"/>
    <cellStyle name="20% - 强调文字颜色 3 3 4" xfId="89"/>
    <cellStyle name="20% - 强调文字颜色 3 4" xfId="90"/>
    <cellStyle name="20% - 强调文字颜色 3 4 2" xfId="91"/>
    <cellStyle name="20% - 强调文字颜色 3 4 2 2" xfId="92"/>
    <cellStyle name="20% - 强调文字颜色 3 4 2 2 2" xfId="93"/>
    <cellStyle name="20% - 强调文字颜色 3 4 2 3" xfId="94"/>
    <cellStyle name="20% - 强调文字颜色 3 4 3" xfId="95"/>
    <cellStyle name="20% - 强调文字颜色 3 4 3 2" xfId="96"/>
    <cellStyle name="20% - 强调文字颜色 3 4 4" xfId="97"/>
    <cellStyle name="20% - 强调文字颜色 3 5" xfId="98"/>
    <cellStyle name="20% - 强调文字颜色 3 5 2" xfId="99"/>
    <cellStyle name="20% - 强调文字颜色 3 5 2 2" xfId="100"/>
    <cellStyle name="20% - 强调文字颜色 3 5 3" xfId="101"/>
    <cellStyle name="20% - 强调文字颜色 3 6" xfId="102"/>
    <cellStyle name="20% - 强调文字颜色 3 6 2" xfId="103"/>
    <cellStyle name="20% - 强调文字颜色 3 6 2 2" xfId="104"/>
    <cellStyle name="20% - 强调文字颜色 3 6 3" xfId="105"/>
    <cellStyle name="20% - 强调文字颜色 3 7" xfId="106"/>
    <cellStyle name="20% - 强调文字颜色 3 7 2" xfId="107"/>
    <cellStyle name="20% - 强调文字颜色 3 7 2 2" xfId="108"/>
    <cellStyle name="20% - 强调文字颜色 3 7 3" xfId="109"/>
    <cellStyle name="20% - 强调文字颜色 4 2" xfId="110"/>
    <cellStyle name="20% - 强调文字颜色 4 2 2" xfId="111"/>
    <cellStyle name="20% - 强调文字颜色 4 2 2 2" xfId="112"/>
    <cellStyle name="20% - 强调文字颜色 4 2 2 2 2" xfId="113"/>
    <cellStyle name="20% - 强调文字颜色 4 2 2 3" xfId="114"/>
    <cellStyle name="20% - 强调文字颜色 4 2 3" xfId="115"/>
    <cellStyle name="20% - 强调文字颜色 4 2 3 2" xfId="116"/>
    <cellStyle name="20% - 强调文字颜色 4 2 4" xfId="117"/>
    <cellStyle name="20% - 强调文字颜色 4 3" xfId="118"/>
    <cellStyle name="20% - 强调文字颜色 4 3 2" xfId="119"/>
    <cellStyle name="20% - 强调文字颜色 4 3 2 2" xfId="120"/>
    <cellStyle name="20% - 强调文字颜色 4 3 2 2 2" xfId="121"/>
    <cellStyle name="20% - 强调文字颜色 4 3 2 3" xfId="122"/>
    <cellStyle name="20% - 强调文字颜色 4 3 3" xfId="123"/>
    <cellStyle name="20% - 强调文字颜色 4 3 3 2" xfId="124"/>
    <cellStyle name="20% - 强调文字颜色 4 3 4" xfId="125"/>
    <cellStyle name="20% - 强调文字颜色 4 4" xfId="126"/>
    <cellStyle name="20% - 强调文字颜色 4 4 2" xfId="127"/>
    <cellStyle name="20% - 强调文字颜色 4 4 2 2" xfId="128"/>
    <cellStyle name="20% - 强调文字颜色 4 4 2 2 2" xfId="129"/>
    <cellStyle name="20% - 强调文字颜色 4 4 2 3" xfId="130"/>
    <cellStyle name="20% - 强调文字颜色 4 4 3" xfId="131"/>
    <cellStyle name="20% - 强调文字颜色 4 4 3 2" xfId="132"/>
    <cellStyle name="20% - 强调文字颜色 4 4 4" xfId="133"/>
    <cellStyle name="20% - 强调文字颜色 4 5" xfId="134"/>
    <cellStyle name="20% - 强调文字颜色 4 5 2" xfId="135"/>
    <cellStyle name="20% - 强调文字颜色 4 5 2 2" xfId="136"/>
    <cellStyle name="20% - 强调文字颜色 4 5 3" xfId="137"/>
    <cellStyle name="20% - 强调文字颜色 4 6" xfId="138"/>
    <cellStyle name="20% - 强调文字颜色 4 6 2" xfId="139"/>
    <cellStyle name="20% - 强调文字颜色 4 6 2 2" xfId="140"/>
    <cellStyle name="20% - 强调文字颜色 4 6 3" xfId="141"/>
    <cellStyle name="20% - 强调文字颜色 4 7" xfId="142"/>
    <cellStyle name="20% - 强调文字颜色 4 7 2" xfId="143"/>
    <cellStyle name="20% - 强调文字颜色 4 7 2 2" xfId="144"/>
    <cellStyle name="20% - 强调文字颜色 4 7 3" xfId="145"/>
    <cellStyle name="20% - 强调文字颜色 5 2" xfId="146"/>
    <cellStyle name="20% - 强调文字颜色 5 2 2" xfId="147"/>
    <cellStyle name="20% - 强调文字颜色 5 2 2 2" xfId="148"/>
    <cellStyle name="20% - 强调文字颜色 5 2 2 2 2" xfId="149"/>
    <cellStyle name="20% - 强调文字颜色 5 2 2 3" xfId="150"/>
    <cellStyle name="20% - 强调文字颜色 5 2 3" xfId="151"/>
    <cellStyle name="20% - 强调文字颜色 5 2 3 2" xfId="152"/>
    <cellStyle name="20% - 强调文字颜色 5 2 4" xfId="153"/>
    <cellStyle name="20% - 强调文字颜色 5 3" xfId="154"/>
    <cellStyle name="20% - 强调文字颜色 5 3 2" xfId="155"/>
    <cellStyle name="20% - 强调文字颜色 5 3 2 2" xfId="156"/>
    <cellStyle name="20% - 强调文字颜色 5 3 2 2 2" xfId="157"/>
    <cellStyle name="20% - 强调文字颜色 5 3 2 3" xfId="158"/>
    <cellStyle name="20% - 强调文字颜色 5 3 3" xfId="159"/>
    <cellStyle name="20% - 强调文字颜色 5 3 3 2" xfId="160"/>
    <cellStyle name="20% - 强调文字颜色 5 3 4" xfId="161"/>
    <cellStyle name="20% - 强调文字颜色 5 4" xfId="162"/>
    <cellStyle name="20% - 强调文字颜色 5 4 2" xfId="163"/>
    <cellStyle name="20% - 强调文字颜色 5 4 2 2" xfId="164"/>
    <cellStyle name="20% - 强调文字颜色 5 4 2 2 2" xfId="165"/>
    <cellStyle name="20% - 强调文字颜色 5 4 2 3" xfId="166"/>
    <cellStyle name="20% - 强调文字颜色 5 4 3" xfId="167"/>
    <cellStyle name="20% - 强调文字颜色 5 4 3 2" xfId="168"/>
    <cellStyle name="20% - 强调文字颜色 5 4 4" xfId="169"/>
    <cellStyle name="20% - 强调文字颜色 5 5" xfId="170"/>
    <cellStyle name="20% - 强调文字颜色 5 5 2" xfId="171"/>
    <cellStyle name="20% - 强调文字颜色 5 5 2 2" xfId="172"/>
    <cellStyle name="20% - 强调文字颜色 5 5 3" xfId="173"/>
    <cellStyle name="20% - 强调文字颜色 5 6" xfId="174"/>
    <cellStyle name="20% - 强调文字颜色 5 6 2" xfId="175"/>
    <cellStyle name="20% - 强调文字颜色 5 6 2 2" xfId="176"/>
    <cellStyle name="20% - 强调文字颜色 5 6 3" xfId="177"/>
    <cellStyle name="20% - 强调文字颜色 5 7" xfId="178"/>
    <cellStyle name="20% - 强调文字颜色 5 7 2" xfId="179"/>
    <cellStyle name="20% - 强调文字颜色 5 7 2 2" xfId="180"/>
    <cellStyle name="20% - 强调文字颜色 5 7 3" xfId="181"/>
    <cellStyle name="20% - 强调文字颜色 6 2" xfId="182"/>
    <cellStyle name="20% - 强调文字颜色 6 2 2" xfId="183"/>
    <cellStyle name="20% - 强调文字颜色 6 2 2 2" xfId="184"/>
    <cellStyle name="20% - 强调文字颜色 6 2 2 2 2" xfId="185"/>
    <cellStyle name="20% - 强调文字颜色 6 2 2 3" xfId="186"/>
    <cellStyle name="20% - 强调文字颜色 6 2 3" xfId="187"/>
    <cellStyle name="20% - 强调文字颜色 6 2 3 2" xfId="188"/>
    <cellStyle name="20% - 强调文字颜色 6 2 4" xfId="189"/>
    <cellStyle name="20% - 强调文字颜色 6 3" xfId="190"/>
    <cellStyle name="20% - 强调文字颜色 6 3 2" xfId="191"/>
    <cellStyle name="20% - 强调文字颜色 6 3 2 2" xfId="192"/>
    <cellStyle name="20% - 强调文字颜色 6 3 2 2 2" xfId="193"/>
    <cellStyle name="20% - 强调文字颜色 6 3 2 3" xfId="194"/>
    <cellStyle name="20% - 强调文字颜色 6 3 3" xfId="195"/>
    <cellStyle name="20% - 强调文字颜色 6 3 3 2" xfId="196"/>
    <cellStyle name="20% - 强调文字颜色 6 3 4" xfId="197"/>
    <cellStyle name="20% - 强调文字颜色 6 4" xfId="198"/>
    <cellStyle name="20% - 强调文字颜色 6 4 2" xfId="199"/>
    <cellStyle name="20% - 强调文字颜色 6 4 2 2" xfId="200"/>
    <cellStyle name="20% - 强调文字颜色 6 4 2 2 2" xfId="201"/>
    <cellStyle name="20% - 强调文字颜色 6 4 2 3" xfId="202"/>
    <cellStyle name="20% - 强调文字颜色 6 4 3" xfId="203"/>
    <cellStyle name="20% - 强调文字颜色 6 4 3 2" xfId="204"/>
    <cellStyle name="20% - 强调文字颜色 6 4 4" xfId="205"/>
    <cellStyle name="20% - 强调文字颜色 6 5" xfId="206"/>
    <cellStyle name="20% - 强调文字颜色 6 5 2" xfId="207"/>
    <cellStyle name="20% - 强调文字颜色 6 5 2 2" xfId="208"/>
    <cellStyle name="20% - 强调文字颜色 6 5 3" xfId="209"/>
    <cellStyle name="20% - 强调文字颜色 6 6" xfId="210"/>
    <cellStyle name="20% - 强调文字颜色 6 6 2" xfId="211"/>
    <cellStyle name="20% - 强调文字颜色 6 6 2 2" xfId="212"/>
    <cellStyle name="20% - 强调文字颜色 6 6 3" xfId="213"/>
    <cellStyle name="20% - 强调文字颜色 6 7" xfId="214"/>
    <cellStyle name="20% - 强调文字颜色 6 7 2" xfId="215"/>
    <cellStyle name="20% - 强调文字颜色 6 7 2 2" xfId="216"/>
    <cellStyle name="20% - 强调文字颜色 6 7 3" xfId="217"/>
    <cellStyle name="20% - 着色 1 2" xfId="218"/>
    <cellStyle name="20% - 着色 1 2 2" xfId="219"/>
    <cellStyle name="20% - 着色 1 2 2 2" xfId="220"/>
    <cellStyle name="20% - 着色 1 2 2 2 2" xfId="221"/>
    <cellStyle name="20% - 着色 1 2 2 3" xfId="222"/>
    <cellStyle name="20% - 着色 1 2 3" xfId="223"/>
    <cellStyle name="20% - 着色 1 2 3 2" xfId="224"/>
    <cellStyle name="20% - 着色 1 2 4" xfId="225"/>
    <cellStyle name="20% - 着色 1 3" xfId="226"/>
    <cellStyle name="20% - 着色 1 3 2" xfId="227"/>
    <cellStyle name="20% - 着色 1 3 2 2" xfId="228"/>
    <cellStyle name="20% - 着色 1 3 3" xfId="229"/>
    <cellStyle name="20% - 着色 1 4" xfId="230"/>
    <cellStyle name="20% - 着色 1 4 2" xfId="231"/>
    <cellStyle name="20% - 着色 1 4 2 2" xfId="232"/>
    <cellStyle name="20% - 着色 1 4 3" xfId="233"/>
    <cellStyle name="20% - 着色 1 5" xfId="234"/>
    <cellStyle name="20% - 着色 1 5 2" xfId="235"/>
    <cellStyle name="20% - 着色 1 6" xfId="236"/>
    <cellStyle name="20% - 着色 2 2" xfId="237"/>
    <cellStyle name="20% - 着色 2 2 2" xfId="238"/>
    <cellStyle name="20% - 着色 2 2 2 2" xfId="239"/>
    <cellStyle name="20% - 着色 2 2 2 2 2" xfId="240"/>
    <cellStyle name="20% - 着色 2 2 2 3" xfId="241"/>
    <cellStyle name="20% - 着色 2 2 3" xfId="242"/>
    <cellStyle name="20% - 着色 2 2 3 2" xfId="243"/>
    <cellStyle name="20% - 着色 2 2 4" xfId="244"/>
    <cellStyle name="20% - 着色 2 3" xfId="245"/>
    <cellStyle name="20% - 着色 2 3 2" xfId="246"/>
    <cellStyle name="20% - 着色 2 3 2 2" xfId="247"/>
    <cellStyle name="20% - 着色 2 3 3" xfId="248"/>
    <cellStyle name="20% - 着色 2 4" xfId="249"/>
    <cellStyle name="20% - 着色 2 4 2" xfId="250"/>
    <cellStyle name="20% - 着色 2 4 2 2" xfId="251"/>
    <cellStyle name="20% - 着色 2 4 3" xfId="252"/>
    <cellStyle name="20% - 着色 2 5" xfId="253"/>
    <cellStyle name="20% - 着色 2 5 2" xfId="254"/>
    <cellStyle name="20% - 着色 2 6" xfId="255"/>
    <cellStyle name="20% - 着色 3 2" xfId="256"/>
    <cellStyle name="20% - 着色 3 2 2" xfId="257"/>
    <cellStyle name="20% - 着色 3 2 2 2" xfId="258"/>
    <cellStyle name="20% - 着色 3 2 2 2 2" xfId="259"/>
    <cellStyle name="20% - 着色 3 2 2 3" xfId="260"/>
    <cellStyle name="20% - 着色 3 2 3" xfId="261"/>
    <cellStyle name="20% - 着色 3 2 3 2" xfId="262"/>
    <cellStyle name="20% - 着色 3 2 4" xfId="263"/>
    <cellStyle name="20% - 着色 3 3" xfId="264"/>
    <cellStyle name="20% - 着色 3 3 2" xfId="265"/>
    <cellStyle name="20% - 着色 3 3 2 2" xfId="266"/>
    <cellStyle name="20% - 着色 3 3 3" xfId="267"/>
    <cellStyle name="20% - 着色 3 4" xfId="268"/>
    <cellStyle name="20% - 着色 3 4 2" xfId="269"/>
    <cellStyle name="20% - 着色 3 4 2 2" xfId="270"/>
    <cellStyle name="20% - 着色 3 4 3" xfId="271"/>
    <cellStyle name="20% - 着色 3 5" xfId="272"/>
    <cellStyle name="20% - 着色 3 5 2" xfId="273"/>
    <cellStyle name="20% - 着色 3 6" xfId="274"/>
    <cellStyle name="20% - 着色 4 2" xfId="275"/>
    <cellStyle name="20% - 着色 4 2 2" xfId="276"/>
    <cellStyle name="20% - 着色 4 2 2 2" xfId="277"/>
    <cellStyle name="20% - 着色 4 2 2 2 2" xfId="278"/>
    <cellStyle name="20% - 着色 4 2 2 3" xfId="279"/>
    <cellStyle name="20% - 着色 4 2 3" xfId="280"/>
    <cellStyle name="20% - 着色 4 2 3 2" xfId="281"/>
    <cellStyle name="20% - 着色 4 2 4" xfId="282"/>
    <cellStyle name="20% - 着色 4 3" xfId="283"/>
    <cellStyle name="20% - 着色 4 3 2" xfId="284"/>
    <cellStyle name="20% - 着色 4 3 2 2" xfId="285"/>
    <cellStyle name="20% - 着色 4 3 3" xfId="286"/>
    <cellStyle name="20% - 着色 4 4" xfId="287"/>
    <cellStyle name="20% - 着色 4 4 2" xfId="288"/>
    <cellStyle name="20% - 着色 4 4 2 2" xfId="289"/>
    <cellStyle name="20% - 着色 4 4 3" xfId="290"/>
    <cellStyle name="20% - 着色 4 5" xfId="291"/>
    <cellStyle name="20% - 着色 4 5 2" xfId="292"/>
    <cellStyle name="20% - 着色 4 6" xfId="293"/>
    <cellStyle name="20% - 着色 5 2" xfId="294"/>
    <cellStyle name="20% - 着色 5 2 2" xfId="295"/>
    <cellStyle name="20% - 着色 5 2 2 2" xfId="296"/>
    <cellStyle name="20% - 着色 5 2 2 2 2" xfId="297"/>
    <cellStyle name="20% - 着色 5 2 2 3" xfId="298"/>
    <cellStyle name="20% - 着色 5 2 3" xfId="299"/>
    <cellStyle name="20% - 着色 5 2 3 2" xfId="300"/>
    <cellStyle name="20% - 着色 5 2 4" xfId="301"/>
    <cellStyle name="20% - 着色 5 3" xfId="302"/>
    <cellStyle name="20% - 着色 5 3 2" xfId="303"/>
    <cellStyle name="20% - 着色 5 3 2 2" xfId="304"/>
    <cellStyle name="20% - 着色 5 3 3" xfId="305"/>
    <cellStyle name="20% - 着色 5 4" xfId="306"/>
    <cellStyle name="20% - 着色 5 4 2" xfId="307"/>
    <cellStyle name="20% - 着色 5 4 2 2" xfId="308"/>
    <cellStyle name="20% - 着色 5 4 3" xfId="309"/>
    <cellStyle name="20% - 着色 5 5" xfId="310"/>
    <cellStyle name="20% - 着色 5 5 2" xfId="311"/>
    <cellStyle name="20% - 着色 5 6" xfId="312"/>
    <cellStyle name="20% - 着色 6 2" xfId="313"/>
    <cellStyle name="20% - 着色 6 2 2" xfId="314"/>
    <cellStyle name="20% - 着色 6 2 2 2" xfId="315"/>
    <cellStyle name="20% - 着色 6 2 2 2 2" xfId="316"/>
    <cellStyle name="20% - 着色 6 2 2 3" xfId="317"/>
    <cellStyle name="20% - 着色 6 2 3" xfId="318"/>
    <cellStyle name="20% - 着色 6 2 3 2" xfId="319"/>
    <cellStyle name="20% - 着色 6 2 4" xfId="320"/>
    <cellStyle name="20% - 着色 6 3" xfId="321"/>
    <cellStyle name="20% - 着色 6 3 2" xfId="322"/>
    <cellStyle name="20% - 着色 6 3 2 2" xfId="323"/>
    <cellStyle name="20% - 着色 6 3 3" xfId="324"/>
    <cellStyle name="20% - 着色 6 4" xfId="325"/>
    <cellStyle name="20% - 着色 6 4 2" xfId="326"/>
    <cellStyle name="20% - 着色 6 4 2 2" xfId="327"/>
    <cellStyle name="20% - 着色 6 4 3" xfId="328"/>
    <cellStyle name="20% - 着色 6 5" xfId="329"/>
    <cellStyle name="20% - 着色 6 5 2" xfId="330"/>
    <cellStyle name="20% - 着色 6 6" xfId="331"/>
    <cellStyle name="40% - 强调文字颜色 1 2" xfId="332"/>
    <cellStyle name="40% - 强调文字颜色 1 2 2" xfId="333"/>
    <cellStyle name="40% - 强调文字颜色 1 2 2 2" xfId="334"/>
    <cellStyle name="40% - 强调文字颜色 1 2 2 2 2" xfId="335"/>
    <cellStyle name="40% - 强调文字颜色 1 2 2 3" xfId="336"/>
    <cellStyle name="40% - 强调文字颜色 1 2 3" xfId="337"/>
    <cellStyle name="40% - 强调文字颜色 1 2 3 2" xfId="338"/>
    <cellStyle name="40% - 强调文字颜色 1 2 4" xfId="339"/>
    <cellStyle name="40% - 强调文字颜色 1 3" xfId="340"/>
    <cellStyle name="40% - 强调文字颜色 1 3 2" xfId="341"/>
    <cellStyle name="40% - 强调文字颜色 1 3 2 2" xfId="342"/>
    <cellStyle name="40% - 强调文字颜色 1 3 2 2 2" xfId="343"/>
    <cellStyle name="40% - 强调文字颜色 1 3 2 3" xfId="344"/>
    <cellStyle name="40% - 强调文字颜色 1 3 3" xfId="345"/>
    <cellStyle name="40% - 强调文字颜色 1 3 3 2" xfId="346"/>
    <cellStyle name="40% - 强调文字颜色 1 3 4" xfId="347"/>
    <cellStyle name="40% - 强调文字颜色 1 4" xfId="348"/>
    <cellStyle name="40% - 强调文字颜色 1 4 2" xfId="349"/>
    <cellStyle name="40% - 强调文字颜色 1 4 2 2" xfId="350"/>
    <cellStyle name="40% - 强调文字颜色 1 4 2 2 2" xfId="351"/>
    <cellStyle name="40% - 强调文字颜色 1 4 2 3" xfId="352"/>
    <cellStyle name="40% - 强调文字颜色 1 4 3" xfId="353"/>
    <cellStyle name="40% - 强调文字颜色 1 4 3 2" xfId="354"/>
    <cellStyle name="40% - 强调文字颜色 1 4 4" xfId="355"/>
    <cellStyle name="40% - 强调文字颜色 1 5" xfId="356"/>
    <cellStyle name="40% - 强调文字颜色 1 5 2" xfId="357"/>
    <cellStyle name="40% - 强调文字颜色 1 5 2 2" xfId="358"/>
    <cellStyle name="40% - 强调文字颜色 1 5 3" xfId="359"/>
    <cellStyle name="40% - 强调文字颜色 1 6" xfId="360"/>
    <cellStyle name="40% - 强调文字颜色 1 6 2" xfId="361"/>
    <cellStyle name="40% - 强调文字颜色 1 6 2 2" xfId="362"/>
    <cellStyle name="40% - 强调文字颜色 1 6 3" xfId="363"/>
    <cellStyle name="40% - 强调文字颜色 1 7" xfId="364"/>
    <cellStyle name="40% - 强调文字颜色 1 7 2" xfId="365"/>
    <cellStyle name="40% - 强调文字颜色 1 7 2 2" xfId="366"/>
    <cellStyle name="40% - 强调文字颜色 1 7 3" xfId="367"/>
    <cellStyle name="40% - 强调文字颜色 2 2" xfId="368"/>
    <cellStyle name="40% - 强调文字颜色 2 2 2" xfId="369"/>
    <cellStyle name="40% - 强调文字颜色 2 2 2 2" xfId="370"/>
    <cellStyle name="40% - 强调文字颜色 2 2 2 2 2" xfId="371"/>
    <cellStyle name="40% - 强调文字颜色 2 2 2 3" xfId="372"/>
    <cellStyle name="40% - 强调文字颜色 2 2 3" xfId="373"/>
    <cellStyle name="40% - 强调文字颜色 2 2 3 2" xfId="374"/>
    <cellStyle name="40% - 强调文字颜色 2 2 4" xfId="375"/>
    <cellStyle name="40% - 强调文字颜色 2 3" xfId="376"/>
    <cellStyle name="40% - 强调文字颜色 2 3 2" xfId="377"/>
    <cellStyle name="40% - 强调文字颜色 2 3 2 2" xfId="378"/>
    <cellStyle name="40% - 强调文字颜色 2 3 2 2 2" xfId="379"/>
    <cellStyle name="40% - 强调文字颜色 2 3 2 3" xfId="380"/>
    <cellStyle name="40% - 强调文字颜色 2 3 3" xfId="381"/>
    <cellStyle name="40% - 强调文字颜色 2 3 3 2" xfId="382"/>
    <cellStyle name="40% - 强调文字颜色 2 3 4" xfId="383"/>
    <cellStyle name="40% - 强调文字颜色 2 4" xfId="384"/>
    <cellStyle name="40% - 强调文字颜色 2 4 2" xfId="385"/>
    <cellStyle name="40% - 强调文字颜色 2 4 2 2" xfId="386"/>
    <cellStyle name="40% - 强调文字颜色 2 4 2 2 2" xfId="387"/>
    <cellStyle name="40% - 强调文字颜色 2 4 2 3" xfId="388"/>
    <cellStyle name="40% - 强调文字颜色 2 4 3" xfId="389"/>
    <cellStyle name="40% - 强调文字颜色 2 4 3 2" xfId="390"/>
    <cellStyle name="40% - 强调文字颜色 2 4 4" xfId="391"/>
    <cellStyle name="40% - 强调文字颜色 2 5" xfId="392"/>
    <cellStyle name="40% - 强调文字颜色 2 5 2" xfId="393"/>
    <cellStyle name="40% - 强调文字颜色 2 5 2 2" xfId="394"/>
    <cellStyle name="40% - 强调文字颜色 2 5 3" xfId="395"/>
    <cellStyle name="40% - 强调文字颜色 2 6" xfId="396"/>
    <cellStyle name="40% - 强调文字颜色 2 6 2" xfId="397"/>
    <cellStyle name="40% - 强调文字颜色 2 6 2 2" xfId="398"/>
    <cellStyle name="40% - 强调文字颜色 2 6 3" xfId="399"/>
    <cellStyle name="40% - 强调文字颜色 2 7" xfId="400"/>
    <cellStyle name="40% - 强调文字颜色 2 7 2" xfId="401"/>
    <cellStyle name="40% - 强调文字颜色 2 7 2 2" xfId="402"/>
    <cellStyle name="40% - 强调文字颜色 2 7 3" xfId="403"/>
    <cellStyle name="40% - 强调文字颜色 3 2" xfId="404"/>
    <cellStyle name="40% - 强调文字颜色 3 2 2" xfId="405"/>
    <cellStyle name="40% - 强调文字颜色 3 2 2 2" xfId="406"/>
    <cellStyle name="40% - 强调文字颜色 3 2 2 2 2" xfId="407"/>
    <cellStyle name="40% - 强调文字颜色 3 2 2 3" xfId="408"/>
    <cellStyle name="40% - 强调文字颜色 3 2 3" xfId="409"/>
    <cellStyle name="40% - 强调文字颜色 3 2 3 2" xfId="410"/>
    <cellStyle name="40% - 强调文字颜色 3 2 4" xfId="411"/>
    <cellStyle name="40% - 强调文字颜色 3 3" xfId="412"/>
    <cellStyle name="40% - 强调文字颜色 3 3 2" xfId="413"/>
    <cellStyle name="40% - 强调文字颜色 3 3 2 2" xfId="414"/>
    <cellStyle name="40% - 强调文字颜色 3 3 2 2 2" xfId="415"/>
    <cellStyle name="40% - 强调文字颜色 3 3 2 3" xfId="416"/>
    <cellStyle name="40% - 强调文字颜色 3 3 3" xfId="417"/>
    <cellStyle name="40% - 强调文字颜色 3 3 3 2" xfId="418"/>
    <cellStyle name="40% - 强调文字颜色 3 3 4" xfId="419"/>
    <cellStyle name="40% - 强调文字颜色 3 4" xfId="420"/>
    <cellStyle name="40% - 强调文字颜色 3 4 2" xfId="421"/>
    <cellStyle name="40% - 强调文字颜色 3 4 2 2" xfId="422"/>
    <cellStyle name="40% - 强调文字颜色 3 4 2 2 2" xfId="423"/>
    <cellStyle name="40% - 强调文字颜色 3 4 2 3" xfId="424"/>
    <cellStyle name="40% - 强调文字颜色 3 4 3" xfId="425"/>
    <cellStyle name="40% - 强调文字颜色 3 4 3 2" xfId="426"/>
    <cellStyle name="40% - 强调文字颜色 3 4 4" xfId="427"/>
    <cellStyle name="40% - 强调文字颜色 3 5" xfId="428"/>
    <cellStyle name="40% - 强调文字颜色 3 5 2" xfId="429"/>
    <cellStyle name="40% - 强调文字颜色 3 5 2 2" xfId="430"/>
    <cellStyle name="40% - 强调文字颜色 3 5 3" xfId="431"/>
    <cellStyle name="40% - 强调文字颜色 3 6" xfId="432"/>
    <cellStyle name="40% - 强调文字颜色 3 6 2" xfId="433"/>
    <cellStyle name="40% - 强调文字颜色 3 6 2 2" xfId="434"/>
    <cellStyle name="40% - 强调文字颜色 3 6 3" xfId="435"/>
    <cellStyle name="40% - 强调文字颜色 3 7" xfId="436"/>
    <cellStyle name="40% - 强调文字颜色 3 7 2" xfId="437"/>
    <cellStyle name="40% - 强调文字颜色 3 7 2 2" xfId="438"/>
    <cellStyle name="40% - 强调文字颜色 3 7 3" xfId="439"/>
    <cellStyle name="40% - 强调文字颜色 4 2" xfId="440"/>
    <cellStyle name="40% - 强调文字颜色 4 2 2" xfId="441"/>
    <cellStyle name="40% - 强调文字颜色 4 2 2 2" xfId="442"/>
    <cellStyle name="40% - 强调文字颜色 4 2 2 2 2" xfId="443"/>
    <cellStyle name="40% - 强调文字颜色 4 2 2 3" xfId="444"/>
    <cellStyle name="40% - 强调文字颜色 4 2 3" xfId="445"/>
    <cellStyle name="40% - 强调文字颜色 4 2 3 2" xfId="446"/>
    <cellStyle name="40% - 强调文字颜色 4 2 4" xfId="447"/>
    <cellStyle name="40% - 强调文字颜色 4 3" xfId="448"/>
    <cellStyle name="40% - 强调文字颜色 4 3 2" xfId="449"/>
    <cellStyle name="40% - 强调文字颜色 4 3 2 2" xfId="450"/>
    <cellStyle name="40% - 强调文字颜色 4 3 2 2 2" xfId="451"/>
    <cellStyle name="40% - 强调文字颜色 4 3 2 3" xfId="452"/>
    <cellStyle name="40% - 强调文字颜色 4 3 3" xfId="453"/>
    <cellStyle name="40% - 强调文字颜色 4 3 3 2" xfId="454"/>
    <cellStyle name="40% - 强调文字颜色 4 3 4" xfId="455"/>
    <cellStyle name="40% - 强调文字颜色 4 4" xfId="456"/>
    <cellStyle name="40% - 强调文字颜色 4 4 2" xfId="457"/>
    <cellStyle name="40% - 强调文字颜色 4 4 2 2" xfId="458"/>
    <cellStyle name="40% - 强调文字颜色 4 4 2 2 2" xfId="459"/>
    <cellStyle name="40% - 强调文字颜色 4 4 2 3" xfId="460"/>
    <cellStyle name="40% - 强调文字颜色 4 4 3" xfId="461"/>
    <cellStyle name="40% - 强调文字颜色 4 4 3 2" xfId="462"/>
    <cellStyle name="40% - 强调文字颜色 4 4 4" xfId="463"/>
    <cellStyle name="40% - 强调文字颜色 4 5" xfId="464"/>
    <cellStyle name="40% - 强调文字颜色 4 5 2" xfId="465"/>
    <cellStyle name="40% - 强调文字颜色 4 5 2 2" xfId="466"/>
    <cellStyle name="40% - 强调文字颜色 4 5 3" xfId="467"/>
    <cellStyle name="40% - 强调文字颜色 4 6" xfId="468"/>
    <cellStyle name="40% - 强调文字颜色 4 6 2" xfId="469"/>
    <cellStyle name="40% - 强调文字颜色 4 6 2 2" xfId="470"/>
    <cellStyle name="40% - 强调文字颜色 4 6 3" xfId="471"/>
    <cellStyle name="40% - 强调文字颜色 4 7" xfId="472"/>
    <cellStyle name="40% - 强调文字颜色 4 7 2" xfId="473"/>
    <cellStyle name="40% - 强调文字颜色 4 7 2 2" xfId="474"/>
    <cellStyle name="40% - 强调文字颜色 4 7 3" xfId="475"/>
    <cellStyle name="40% - 强调文字颜色 5 2" xfId="476"/>
    <cellStyle name="40% - 强调文字颜色 5 2 2" xfId="477"/>
    <cellStyle name="40% - 强调文字颜色 5 2 2 2" xfId="478"/>
    <cellStyle name="40% - 强调文字颜色 5 2 2 2 2" xfId="479"/>
    <cellStyle name="40% - 强调文字颜色 5 2 2 3" xfId="480"/>
    <cellStyle name="40% - 强调文字颜色 5 2 3" xfId="481"/>
    <cellStyle name="40% - 强调文字颜色 5 2 3 2" xfId="482"/>
    <cellStyle name="40% - 强调文字颜色 5 2 4" xfId="483"/>
    <cellStyle name="40% - 强调文字颜色 5 3" xfId="484"/>
    <cellStyle name="40% - 强调文字颜色 5 3 2" xfId="485"/>
    <cellStyle name="40% - 强调文字颜色 5 3 2 2" xfId="486"/>
    <cellStyle name="40% - 强调文字颜色 5 3 2 2 2" xfId="487"/>
    <cellStyle name="40% - 强调文字颜色 5 3 2 3" xfId="488"/>
    <cellStyle name="40% - 强调文字颜色 5 3 3" xfId="489"/>
    <cellStyle name="40% - 强调文字颜色 5 3 3 2" xfId="490"/>
    <cellStyle name="40% - 强调文字颜色 5 3 4" xfId="491"/>
    <cellStyle name="40% - 强调文字颜色 5 4" xfId="492"/>
    <cellStyle name="40% - 强调文字颜色 5 4 2" xfId="493"/>
    <cellStyle name="40% - 强调文字颜色 5 4 2 2" xfId="494"/>
    <cellStyle name="40% - 强调文字颜色 5 4 2 2 2" xfId="495"/>
    <cellStyle name="40% - 强调文字颜色 5 4 2 3" xfId="496"/>
    <cellStyle name="40% - 强调文字颜色 5 4 3" xfId="497"/>
    <cellStyle name="40% - 强调文字颜色 5 4 3 2" xfId="498"/>
    <cellStyle name="40% - 强调文字颜色 5 4 4" xfId="499"/>
    <cellStyle name="40% - 强调文字颜色 5 5" xfId="500"/>
    <cellStyle name="40% - 强调文字颜色 5 5 2" xfId="501"/>
    <cellStyle name="40% - 强调文字颜色 5 5 2 2" xfId="502"/>
    <cellStyle name="40% - 强调文字颜色 5 5 3" xfId="503"/>
    <cellStyle name="40% - 强调文字颜色 5 6" xfId="504"/>
    <cellStyle name="40% - 强调文字颜色 5 6 2" xfId="505"/>
    <cellStyle name="40% - 强调文字颜色 5 6 2 2" xfId="506"/>
    <cellStyle name="40% - 强调文字颜色 5 6 3" xfId="507"/>
    <cellStyle name="40% - 强调文字颜色 5 7" xfId="508"/>
    <cellStyle name="40% - 强调文字颜色 5 7 2" xfId="509"/>
    <cellStyle name="40% - 强调文字颜色 5 7 2 2" xfId="510"/>
    <cellStyle name="40% - 强调文字颜色 5 7 3" xfId="511"/>
    <cellStyle name="40% - 强调文字颜色 6 2" xfId="512"/>
    <cellStyle name="40% - 强调文字颜色 6 2 2" xfId="513"/>
    <cellStyle name="40% - 强调文字颜色 6 2 2 2" xfId="514"/>
    <cellStyle name="40% - 强调文字颜色 6 2 2 2 2" xfId="515"/>
    <cellStyle name="40% - 强调文字颜色 6 2 2 3" xfId="516"/>
    <cellStyle name="40% - 强调文字颜色 6 2 3" xfId="517"/>
    <cellStyle name="40% - 强调文字颜色 6 2 3 2" xfId="518"/>
    <cellStyle name="40% - 强调文字颜色 6 2 4" xfId="519"/>
    <cellStyle name="40% - 强调文字颜色 6 3" xfId="520"/>
    <cellStyle name="40% - 强调文字颜色 6 3 2" xfId="521"/>
    <cellStyle name="40% - 强调文字颜色 6 3 2 2" xfId="522"/>
    <cellStyle name="40% - 强调文字颜色 6 3 2 2 2" xfId="523"/>
    <cellStyle name="40% - 强调文字颜色 6 3 2 3" xfId="524"/>
    <cellStyle name="40% - 强调文字颜色 6 3 3" xfId="525"/>
    <cellStyle name="40% - 强调文字颜色 6 3 3 2" xfId="526"/>
    <cellStyle name="40% - 强调文字颜色 6 3 4" xfId="527"/>
    <cellStyle name="40% - 强调文字颜色 6 4" xfId="528"/>
    <cellStyle name="40% - 强调文字颜色 6 4 2" xfId="529"/>
    <cellStyle name="40% - 强调文字颜色 6 4 2 2" xfId="530"/>
    <cellStyle name="40% - 强调文字颜色 6 4 2 2 2" xfId="531"/>
    <cellStyle name="40% - 强调文字颜色 6 4 2 3" xfId="532"/>
    <cellStyle name="40% - 强调文字颜色 6 4 3" xfId="533"/>
    <cellStyle name="40% - 强调文字颜色 6 4 3 2" xfId="534"/>
    <cellStyle name="40% - 强调文字颜色 6 4 4" xfId="535"/>
    <cellStyle name="40% - 强调文字颜色 6 5" xfId="536"/>
    <cellStyle name="40% - 强调文字颜色 6 5 2" xfId="537"/>
    <cellStyle name="40% - 强调文字颜色 6 5 2 2" xfId="538"/>
    <cellStyle name="40% - 强调文字颜色 6 5 3" xfId="539"/>
    <cellStyle name="40% - 强调文字颜色 6 6" xfId="540"/>
    <cellStyle name="40% - 强调文字颜色 6 6 2" xfId="541"/>
    <cellStyle name="40% - 强调文字颜色 6 6 2 2" xfId="542"/>
    <cellStyle name="40% - 强调文字颜色 6 6 3" xfId="543"/>
    <cellStyle name="40% - 强调文字颜色 6 7" xfId="544"/>
    <cellStyle name="40% - 强调文字颜色 6 7 2" xfId="545"/>
    <cellStyle name="40% - 强调文字颜色 6 7 2 2" xfId="546"/>
    <cellStyle name="40% - 强调文字颜色 6 7 3" xfId="547"/>
    <cellStyle name="40% - 着色 1 2" xfId="548"/>
    <cellStyle name="40% - 着色 1 2 2" xfId="549"/>
    <cellStyle name="40% - 着色 1 2 2 2" xfId="550"/>
    <cellStyle name="40% - 着色 1 2 2 2 2" xfId="551"/>
    <cellStyle name="40% - 着色 1 2 2 3" xfId="552"/>
    <cellStyle name="40% - 着色 1 2 3" xfId="553"/>
    <cellStyle name="40% - 着色 1 2 3 2" xfId="554"/>
    <cellStyle name="40% - 着色 1 2 4" xfId="555"/>
    <cellStyle name="40% - 着色 1 3" xfId="556"/>
    <cellStyle name="40% - 着色 1 3 2" xfId="557"/>
    <cellStyle name="40% - 着色 1 3 2 2" xfId="558"/>
    <cellStyle name="40% - 着色 1 3 3" xfId="559"/>
    <cellStyle name="40% - 着色 1 4" xfId="560"/>
    <cellStyle name="40% - 着色 1 4 2" xfId="561"/>
    <cellStyle name="40% - 着色 1 4 2 2" xfId="562"/>
    <cellStyle name="40% - 着色 1 4 3" xfId="563"/>
    <cellStyle name="40% - 着色 1 5" xfId="564"/>
    <cellStyle name="40% - 着色 1 5 2" xfId="565"/>
    <cellStyle name="40% - 着色 1 6" xfId="566"/>
    <cellStyle name="40% - 着色 2 2" xfId="567"/>
    <cellStyle name="40% - 着色 2 2 2" xfId="568"/>
    <cellStyle name="40% - 着色 2 2 2 2" xfId="569"/>
    <cellStyle name="40% - 着色 2 2 2 2 2" xfId="570"/>
    <cellStyle name="40% - 着色 2 2 2 3" xfId="571"/>
    <cellStyle name="40% - 着色 2 2 3" xfId="572"/>
    <cellStyle name="40% - 着色 2 2 3 2" xfId="573"/>
    <cellStyle name="40% - 着色 2 2 4" xfId="574"/>
    <cellStyle name="40% - 着色 2 3" xfId="575"/>
    <cellStyle name="40% - 着色 2 3 2" xfId="576"/>
    <cellStyle name="40% - 着色 2 3 2 2" xfId="577"/>
    <cellStyle name="40% - 着色 2 3 3" xfId="578"/>
    <cellStyle name="40% - 着色 2 4" xfId="579"/>
    <cellStyle name="40% - 着色 2 4 2" xfId="580"/>
    <cellStyle name="40% - 着色 2 4 2 2" xfId="581"/>
    <cellStyle name="40% - 着色 2 4 3" xfId="582"/>
    <cellStyle name="40% - 着色 2 5" xfId="583"/>
    <cellStyle name="40% - 着色 2 5 2" xfId="584"/>
    <cellStyle name="40% - 着色 2 6" xfId="585"/>
    <cellStyle name="40% - 着色 3 2" xfId="586"/>
    <cellStyle name="40% - 着色 3 2 2" xfId="587"/>
    <cellStyle name="40% - 着色 3 2 2 2" xfId="588"/>
    <cellStyle name="40% - 着色 3 2 2 2 2" xfId="589"/>
    <cellStyle name="40% - 着色 3 2 2 3" xfId="590"/>
    <cellStyle name="40% - 着色 3 2 3" xfId="591"/>
    <cellStyle name="40% - 着色 3 2 3 2" xfId="592"/>
    <cellStyle name="40% - 着色 3 2 4" xfId="593"/>
    <cellStyle name="40% - 着色 3 3" xfId="594"/>
    <cellStyle name="40% - 着色 3 3 2" xfId="595"/>
    <cellStyle name="40% - 着色 3 3 2 2" xfId="596"/>
    <cellStyle name="40% - 着色 3 3 3" xfId="597"/>
    <cellStyle name="40% - 着色 3 4" xfId="598"/>
    <cellStyle name="40% - 着色 3 4 2" xfId="599"/>
    <cellStyle name="40% - 着色 3 4 2 2" xfId="600"/>
    <cellStyle name="40% - 着色 3 4 3" xfId="601"/>
    <cellStyle name="40% - 着色 3 5" xfId="602"/>
    <cellStyle name="40% - 着色 3 5 2" xfId="603"/>
    <cellStyle name="40% - 着色 3 6" xfId="604"/>
    <cellStyle name="40% - 着色 4 2" xfId="605"/>
    <cellStyle name="40% - 着色 4 2 2" xfId="606"/>
    <cellStyle name="40% - 着色 4 2 2 2" xfId="607"/>
    <cellStyle name="40% - 着色 4 2 2 2 2" xfId="608"/>
    <cellStyle name="40% - 着色 4 2 2 3" xfId="609"/>
    <cellStyle name="40% - 着色 4 2 3" xfId="610"/>
    <cellStyle name="40% - 着色 4 2 3 2" xfId="611"/>
    <cellStyle name="40% - 着色 4 2 4" xfId="612"/>
    <cellStyle name="40% - 着色 4 3" xfId="613"/>
    <cellStyle name="40% - 着色 4 3 2" xfId="614"/>
    <cellStyle name="40% - 着色 4 3 2 2" xfId="615"/>
    <cellStyle name="40% - 着色 4 3 3" xfId="616"/>
    <cellStyle name="40% - 着色 4 4" xfId="617"/>
    <cellStyle name="40% - 着色 4 4 2" xfId="618"/>
    <cellStyle name="40% - 着色 4 4 2 2" xfId="619"/>
    <cellStyle name="40% - 着色 4 4 3" xfId="620"/>
    <cellStyle name="40% - 着色 4 5" xfId="621"/>
    <cellStyle name="40% - 着色 4 5 2" xfId="622"/>
    <cellStyle name="40% - 着色 4 6" xfId="623"/>
    <cellStyle name="40% - 着色 5 2" xfId="624"/>
    <cellStyle name="40% - 着色 5 2 2" xfId="625"/>
    <cellStyle name="40% - 着色 5 2 2 2" xfId="626"/>
    <cellStyle name="40% - 着色 5 2 2 2 2" xfId="627"/>
    <cellStyle name="40% - 着色 5 2 2 3" xfId="628"/>
    <cellStyle name="40% - 着色 5 2 3" xfId="629"/>
    <cellStyle name="40% - 着色 5 2 3 2" xfId="630"/>
    <cellStyle name="40% - 着色 5 2 4" xfId="631"/>
    <cellStyle name="40% - 着色 5 3" xfId="632"/>
    <cellStyle name="40% - 着色 5 3 2" xfId="633"/>
    <cellStyle name="40% - 着色 5 3 2 2" xfId="634"/>
    <cellStyle name="40% - 着色 5 3 3" xfId="635"/>
    <cellStyle name="40% - 着色 5 4" xfId="636"/>
    <cellStyle name="40% - 着色 5 4 2" xfId="637"/>
    <cellStyle name="40% - 着色 5 4 2 2" xfId="638"/>
    <cellStyle name="40% - 着色 5 4 3" xfId="639"/>
    <cellStyle name="40% - 着色 5 5" xfId="640"/>
    <cellStyle name="40% - 着色 5 5 2" xfId="641"/>
    <cellStyle name="40% - 着色 5 6" xfId="642"/>
    <cellStyle name="40% - 着色 6 2" xfId="643"/>
    <cellStyle name="40% - 着色 6 2 2" xfId="644"/>
    <cellStyle name="40% - 着色 6 2 2 2" xfId="645"/>
    <cellStyle name="40% - 着色 6 2 2 2 2" xfId="646"/>
    <cellStyle name="40% - 着色 6 2 2 3" xfId="647"/>
    <cellStyle name="40% - 着色 6 2 3" xfId="648"/>
    <cellStyle name="40% - 着色 6 2 3 2" xfId="649"/>
    <cellStyle name="40% - 着色 6 2 4" xfId="650"/>
    <cellStyle name="40% - 着色 6 3" xfId="651"/>
    <cellStyle name="40% - 着色 6 3 2" xfId="652"/>
    <cellStyle name="40% - 着色 6 3 2 2" xfId="653"/>
    <cellStyle name="40% - 着色 6 3 3" xfId="654"/>
    <cellStyle name="40% - 着色 6 4" xfId="655"/>
    <cellStyle name="40% - 着色 6 4 2" xfId="656"/>
    <cellStyle name="40% - 着色 6 4 2 2" xfId="657"/>
    <cellStyle name="40% - 着色 6 4 3" xfId="658"/>
    <cellStyle name="40% - 着色 6 5" xfId="659"/>
    <cellStyle name="40% - 着色 6 5 2" xfId="660"/>
    <cellStyle name="40% - 着色 6 6" xfId="661"/>
    <cellStyle name="60% - 强调文字颜色 1 2" xfId="662"/>
    <cellStyle name="60% - 强调文字颜色 1 2 2" xfId="663"/>
    <cellStyle name="60% - 强调文字颜色 1 2 2 2" xfId="664"/>
    <cellStyle name="60% - 强调文字颜色 1 2 3" xfId="665"/>
    <cellStyle name="60% - 强调文字颜色 1 3" xfId="666"/>
    <cellStyle name="60% - 强调文字颜色 1 3 2" xfId="667"/>
    <cellStyle name="60% - 强调文字颜色 1 3 2 2" xfId="668"/>
    <cellStyle name="60% - 强调文字颜色 1 3 3" xfId="669"/>
    <cellStyle name="60% - 强调文字颜色 1 4" xfId="670"/>
    <cellStyle name="60% - 强调文字颜色 1 4 2" xfId="671"/>
    <cellStyle name="60% - 强调文字颜色 1 4 2 2" xfId="672"/>
    <cellStyle name="60% - 强调文字颜色 1 4 3" xfId="673"/>
    <cellStyle name="60% - 强调文字颜色 1 5" xfId="674"/>
    <cellStyle name="60% - 强调文字颜色 1 5 2" xfId="675"/>
    <cellStyle name="60% - 强调文字颜色 1 6" xfId="676"/>
    <cellStyle name="60% - 强调文字颜色 1 6 2" xfId="677"/>
    <cellStyle name="60% - 强调文字颜色 1 7" xfId="678"/>
    <cellStyle name="60% - 强调文字颜色 1 7 2" xfId="679"/>
    <cellStyle name="60% - 强调文字颜色 2 2" xfId="680"/>
    <cellStyle name="60% - 强调文字颜色 2 2 2" xfId="681"/>
    <cellStyle name="60% - 强调文字颜色 2 2 2 2" xfId="682"/>
    <cellStyle name="60% - 强调文字颜色 2 2 3" xfId="683"/>
    <cellStyle name="60% - 强调文字颜色 2 3" xfId="684"/>
    <cellStyle name="60% - 强调文字颜色 2 3 2" xfId="685"/>
    <cellStyle name="60% - 强调文字颜色 2 3 2 2" xfId="686"/>
    <cellStyle name="60% - 强调文字颜色 2 3 3" xfId="687"/>
    <cellStyle name="60% - 强调文字颜色 2 4" xfId="688"/>
    <cellStyle name="60% - 强调文字颜色 2 4 2" xfId="689"/>
    <cellStyle name="60% - 强调文字颜色 2 4 2 2" xfId="690"/>
    <cellStyle name="60% - 强调文字颜色 2 4 3" xfId="691"/>
    <cellStyle name="60% - 强调文字颜色 2 5" xfId="692"/>
    <cellStyle name="60% - 强调文字颜色 2 5 2" xfId="693"/>
    <cellStyle name="60% - 强调文字颜色 2 6" xfId="694"/>
    <cellStyle name="60% - 强调文字颜色 2 6 2" xfId="695"/>
    <cellStyle name="60% - 强调文字颜色 2 7" xfId="696"/>
    <cellStyle name="60% - 强调文字颜色 2 7 2" xfId="697"/>
    <cellStyle name="60% - 强调文字颜色 3 2" xfId="698"/>
    <cellStyle name="60% - 强调文字颜色 3 2 2" xfId="699"/>
    <cellStyle name="60% - 强调文字颜色 3 2 2 2" xfId="700"/>
    <cellStyle name="60% - 强调文字颜色 3 2 3" xfId="701"/>
    <cellStyle name="60% - 强调文字颜色 3 3" xfId="702"/>
    <cellStyle name="60% - 强调文字颜色 3 3 2" xfId="703"/>
    <cellStyle name="60% - 强调文字颜色 3 3 2 2" xfId="704"/>
    <cellStyle name="60% - 强调文字颜色 3 3 3" xfId="705"/>
    <cellStyle name="60% - 强调文字颜色 3 4" xfId="706"/>
    <cellStyle name="60% - 强调文字颜色 3 4 2" xfId="707"/>
    <cellStyle name="60% - 强调文字颜色 3 4 2 2" xfId="708"/>
    <cellStyle name="60% - 强调文字颜色 3 4 3" xfId="709"/>
    <cellStyle name="60% - 强调文字颜色 3 5" xfId="710"/>
    <cellStyle name="60% - 强调文字颜色 3 5 2" xfId="711"/>
    <cellStyle name="60% - 强调文字颜色 3 6" xfId="712"/>
    <cellStyle name="60% - 强调文字颜色 3 6 2" xfId="713"/>
    <cellStyle name="60% - 强调文字颜色 3 7" xfId="714"/>
    <cellStyle name="60% - 强调文字颜色 3 7 2" xfId="715"/>
    <cellStyle name="60% - 强调文字颜色 4 2" xfId="716"/>
    <cellStyle name="60% - 强调文字颜色 4 2 2" xfId="717"/>
    <cellStyle name="60% - 强调文字颜色 4 2 2 2" xfId="718"/>
    <cellStyle name="60% - 强调文字颜色 4 2 3" xfId="719"/>
    <cellStyle name="60% - 强调文字颜色 4 3" xfId="720"/>
    <cellStyle name="60% - 强调文字颜色 4 3 2" xfId="721"/>
    <cellStyle name="60% - 强调文字颜色 4 3 2 2" xfId="722"/>
    <cellStyle name="60% - 强调文字颜色 4 3 3" xfId="723"/>
    <cellStyle name="60% - 强调文字颜色 4 4" xfId="724"/>
    <cellStyle name="60% - 强调文字颜色 4 4 2" xfId="725"/>
    <cellStyle name="60% - 强调文字颜色 4 4 2 2" xfId="726"/>
    <cellStyle name="60% - 强调文字颜色 4 4 3" xfId="727"/>
    <cellStyle name="60% - 强调文字颜色 4 5" xfId="728"/>
    <cellStyle name="60% - 强调文字颜色 4 5 2" xfId="729"/>
    <cellStyle name="60% - 强调文字颜色 4 6" xfId="730"/>
    <cellStyle name="60% - 强调文字颜色 4 6 2" xfId="731"/>
    <cellStyle name="60% - 强调文字颜色 4 7" xfId="732"/>
    <cellStyle name="60% - 强调文字颜色 4 7 2" xfId="733"/>
    <cellStyle name="60% - 强调文字颜色 5 2" xfId="734"/>
    <cellStyle name="60% - 强调文字颜色 5 2 2" xfId="735"/>
    <cellStyle name="60% - 强调文字颜色 5 2 2 2" xfId="736"/>
    <cellStyle name="60% - 强调文字颜色 5 2 3" xfId="737"/>
    <cellStyle name="60% - 强调文字颜色 5 3" xfId="738"/>
    <cellStyle name="60% - 强调文字颜色 5 3 2" xfId="739"/>
    <cellStyle name="60% - 强调文字颜色 5 3 2 2" xfId="740"/>
    <cellStyle name="60% - 强调文字颜色 5 3 3" xfId="741"/>
    <cellStyle name="60% - 强调文字颜色 5 4" xfId="742"/>
    <cellStyle name="60% - 强调文字颜色 5 4 2" xfId="743"/>
    <cellStyle name="60% - 强调文字颜色 5 4 2 2" xfId="744"/>
    <cellStyle name="60% - 强调文字颜色 5 4 3" xfId="745"/>
    <cellStyle name="60% - 强调文字颜色 5 5" xfId="746"/>
    <cellStyle name="60% - 强调文字颜色 5 5 2" xfId="747"/>
    <cellStyle name="60% - 强调文字颜色 5 6" xfId="748"/>
    <cellStyle name="60% - 强调文字颜色 5 6 2" xfId="749"/>
    <cellStyle name="60% - 强调文字颜色 5 7" xfId="750"/>
    <cellStyle name="60% - 强调文字颜色 5 7 2" xfId="751"/>
    <cellStyle name="60% - 强调文字颜色 6 2" xfId="752"/>
    <cellStyle name="60% - 强调文字颜色 6 2 2" xfId="753"/>
    <cellStyle name="60% - 强调文字颜色 6 2 2 2" xfId="754"/>
    <cellStyle name="60% - 强调文字颜色 6 2 3" xfId="755"/>
    <cellStyle name="60% - 强调文字颜色 6 3" xfId="756"/>
    <cellStyle name="60% - 强调文字颜色 6 3 2" xfId="757"/>
    <cellStyle name="60% - 强调文字颜色 6 3 2 2" xfId="758"/>
    <cellStyle name="60% - 强调文字颜色 6 3 3" xfId="759"/>
    <cellStyle name="60% - 强调文字颜色 6 4" xfId="760"/>
    <cellStyle name="60% - 强调文字颜色 6 4 2" xfId="761"/>
    <cellStyle name="60% - 强调文字颜色 6 4 2 2" xfId="762"/>
    <cellStyle name="60% - 强调文字颜色 6 4 3" xfId="763"/>
    <cellStyle name="60% - 强调文字颜色 6 5" xfId="764"/>
    <cellStyle name="60% - 强调文字颜色 6 5 2" xfId="765"/>
    <cellStyle name="60% - 强调文字颜色 6 6" xfId="766"/>
    <cellStyle name="60% - 强调文字颜色 6 6 2" xfId="767"/>
    <cellStyle name="60% - 强调文字颜色 6 7" xfId="768"/>
    <cellStyle name="60% - 强调文字颜色 6 7 2" xfId="769"/>
    <cellStyle name="60% - 着色 1 2" xfId="770"/>
    <cellStyle name="60% - 着色 1 2 2" xfId="771"/>
    <cellStyle name="60% - 着色 1 2 2 2" xfId="772"/>
    <cellStyle name="60% - 着色 1 2 3" xfId="773"/>
    <cellStyle name="60% - 着色 1 3" xfId="774"/>
    <cellStyle name="60% - 着色 1 3 2" xfId="775"/>
    <cellStyle name="60% - 着色 1 4" xfId="776"/>
    <cellStyle name="60% - 着色 1 4 2" xfId="777"/>
    <cellStyle name="60% - 着色 1 5" xfId="778"/>
    <cellStyle name="60% - 着色 2 2" xfId="779"/>
    <cellStyle name="60% - 着色 2 2 2" xfId="780"/>
    <cellStyle name="60% - 着色 2 2 2 2" xfId="781"/>
    <cellStyle name="60% - 着色 2 2 3" xfId="782"/>
    <cellStyle name="60% - 着色 2 3" xfId="783"/>
    <cellStyle name="60% - 着色 2 3 2" xfId="784"/>
    <cellStyle name="60% - 着色 2 4" xfId="785"/>
    <cellStyle name="60% - 着色 2 4 2" xfId="786"/>
    <cellStyle name="60% - 着色 2 5" xfId="787"/>
    <cellStyle name="60% - 着色 3 2" xfId="788"/>
    <cellStyle name="60% - 着色 3 2 2" xfId="789"/>
    <cellStyle name="60% - 着色 3 2 2 2" xfId="790"/>
    <cellStyle name="60% - 着色 3 2 3" xfId="791"/>
    <cellStyle name="60% - 着色 3 3" xfId="792"/>
    <cellStyle name="60% - 着色 3 3 2" xfId="793"/>
    <cellStyle name="60% - 着色 3 4" xfId="794"/>
    <cellStyle name="60% - 着色 3 4 2" xfId="795"/>
    <cellStyle name="60% - 着色 3 5" xfId="796"/>
    <cellStyle name="60% - 着色 4 2" xfId="797"/>
    <cellStyle name="60% - 着色 4 2 2" xfId="798"/>
    <cellStyle name="60% - 着色 4 2 2 2" xfId="799"/>
    <cellStyle name="60% - 着色 4 2 3" xfId="800"/>
    <cellStyle name="60% - 着色 4 3" xfId="801"/>
    <cellStyle name="60% - 着色 4 3 2" xfId="802"/>
    <cellStyle name="60% - 着色 4 4" xfId="803"/>
    <cellStyle name="60% - 着色 4 4 2" xfId="804"/>
    <cellStyle name="60% - 着色 4 5" xfId="805"/>
    <cellStyle name="60% - 着色 5 2" xfId="806"/>
    <cellStyle name="60% - 着色 5 2 2" xfId="807"/>
    <cellStyle name="60% - 着色 5 2 2 2" xfId="808"/>
    <cellStyle name="60% - 着色 5 2 3" xfId="809"/>
    <cellStyle name="60% - 着色 5 3" xfId="810"/>
    <cellStyle name="60% - 着色 5 3 2" xfId="811"/>
    <cellStyle name="60% - 着色 5 4" xfId="812"/>
    <cellStyle name="60% - 着色 5 4 2" xfId="813"/>
    <cellStyle name="60% - 着色 5 5" xfId="814"/>
    <cellStyle name="60% - 着色 6 2" xfId="815"/>
    <cellStyle name="60% - 着色 6 2 2" xfId="816"/>
    <cellStyle name="60% - 着色 6 2 2 2" xfId="817"/>
    <cellStyle name="60% - 着色 6 2 3" xfId="818"/>
    <cellStyle name="60% - 着色 6 3" xfId="819"/>
    <cellStyle name="60% - 着色 6 3 2" xfId="820"/>
    <cellStyle name="60% - 着色 6 4" xfId="821"/>
    <cellStyle name="60% - 着色 6 4 2" xfId="822"/>
    <cellStyle name="60% - 着色 6 5" xfId="823"/>
    <cellStyle name="RowLevel_1" xfId="824"/>
    <cellStyle name="百分比 2" xfId="825"/>
    <cellStyle name="百分比 2 2" xfId="826"/>
    <cellStyle name="百分比 2 2 2" xfId="827"/>
    <cellStyle name="百分比 2 2 2 2" xfId="828"/>
    <cellStyle name="百分比 2 2 3" xfId="829"/>
    <cellStyle name="百分比 2 3" xfId="830"/>
    <cellStyle name="百分比 2 3 2" xfId="831"/>
    <cellStyle name="百分比 2 4" xfId="832"/>
    <cellStyle name="百分比 2 4 2" xfId="833"/>
    <cellStyle name="百分比 2 5" xfId="834"/>
    <cellStyle name="百分比 2 5 2" xfId="835"/>
    <cellStyle name="百分比 2 5 2 2" xfId="836"/>
    <cellStyle name="百分比 2 5 3" xfId="837"/>
    <cellStyle name="百分比 2 6" xfId="838"/>
    <cellStyle name="百分比 2 6 2" xfId="839"/>
    <cellStyle name="百分比 2 7" xfId="840"/>
    <cellStyle name="百分比 3" xfId="841"/>
    <cellStyle name="百分比 3 2" xfId="842"/>
    <cellStyle name="百分比 3 2 2" xfId="843"/>
    <cellStyle name="百分比 3 2 2 2" xfId="844"/>
    <cellStyle name="百分比 3 2 3" xfId="845"/>
    <cellStyle name="百分比 3 3" xfId="846"/>
    <cellStyle name="百分比 3 3 2" xfId="847"/>
    <cellStyle name="百分比 3 4" xfId="848"/>
    <cellStyle name="百分比 3 4 2" xfId="849"/>
    <cellStyle name="百分比 3 5" xfId="850"/>
    <cellStyle name="百分比 3 5 2" xfId="851"/>
    <cellStyle name="百分比 3 6" xfId="852"/>
    <cellStyle name="百分比 4" xfId="853"/>
    <cellStyle name="百分比 4 2" xfId="854"/>
    <cellStyle name="百分比 4 2 2" xfId="855"/>
    <cellStyle name="百分比 4 3" xfId="856"/>
    <cellStyle name="百分比 5" xfId="857"/>
    <cellStyle name="百分比 5 2" xfId="858"/>
    <cellStyle name="百分比 5 2 2" xfId="859"/>
    <cellStyle name="百分比 5 3" xfId="860"/>
    <cellStyle name="百分比 6" xfId="861"/>
    <cellStyle name="百分比 6 2" xfId="862"/>
    <cellStyle name="百分比 6 2 2" xfId="863"/>
    <cellStyle name="百分比 6 3" xfId="864"/>
    <cellStyle name="百分比 7" xfId="865"/>
    <cellStyle name="百分比 7 2" xfId="866"/>
    <cellStyle name="百分比 8" xfId="867"/>
    <cellStyle name="标题 1 2" xfId="868"/>
    <cellStyle name="标题 1 2 2" xfId="869"/>
    <cellStyle name="标题 1 2 2 2" xfId="870"/>
    <cellStyle name="标题 1 2 3" xfId="871"/>
    <cellStyle name="标题 1 3" xfId="872"/>
    <cellStyle name="标题 1 3 2" xfId="873"/>
    <cellStyle name="标题 1 3 2 2" xfId="874"/>
    <cellStyle name="标题 1 3 3" xfId="875"/>
    <cellStyle name="标题 1 4" xfId="876"/>
    <cellStyle name="标题 1 4 2" xfId="877"/>
    <cellStyle name="标题 1 4 2 2" xfId="878"/>
    <cellStyle name="标题 1 4 3" xfId="879"/>
    <cellStyle name="标题 1 5" xfId="880"/>
    <cellStyle name="标题 1 5 2" xfId="881"/>
    <cellStyle name="标题 1 6" xfId="882"/>
    <cellStyle name="标题 1 6 2" xfId="883"/>
    <cellStyle name="标题 2 2" xfId="884"/>
    <cellStyle name="标题 2 2 2" xfId="885"/>
    <cellStyle name="标题 2 2 2 2" xfId="886"/>
    <cellStyle name="标题 2 2 3" xfId="887"/>
    <cellStyle name="标题 2 3" xfId="888"/>
    <cellStyle name="标题 2 3 2" xfId="889"/>
    <cellStyle name="标题 2 3 2 2" xfId="890"/>
    <cellStyle name="标题 2 3 3" xfId="891"/>
    <cellStyle name="标题 2 4" xfId="892"/>
    <cellStyle name="标题 2 4 2" xfId="893"/>
    <cellStyle name="标题 2 4 2 2" xfId="894"/>
    <cellStyle name="标题 2 4 3" xfId="895"/>
    <cellStyle name="标题 2 5" xfId="896"/>
    <cellStyle name="标题 2 5 2" xfId="897"/>
    <cellStyle name="标题 2 6" xfId="898"/>
    <cellStyle name="标题 2 6 2" xfId="899"/>
    <cellStyle name="标题 3 2" xfId="900"/>
    <cellStyle name="标题 3 2 2" xfId="901"/>
    <cellStyle name="标题 3 2 2 2" xfId="902"/>
    <cellStyle name="标题 3 2 3" xfId="903"/>
    <cellStyle name="标题 3 3" xfId="904"/>
    <cellStyle name="标题 3 3 2" xfId="905"/>
    <cellStyle name="标题 3 3 2 2" xfId="906"/>
    <cellStyle name="标题 3 3 3" xfId="907"/>
    <cellStyle name="标题 3 4" xfId="908"/>
    <cellStyle name="标题 3 4 2" xfId="909"/>
    <cellStyle name="标题 3 4 2 2" xfId="910"/>
    <cellStyle name="标题 3 4 3" xfId="911"/>
    <cellStyle name="标题 3 5" xfId="912"/>
    <cellStyle name="标题 3 5 2" xfId="913"/>
    <cellStyle name="标题 3 6" xfId="914"/>
    <cellStyle name="标题 3 6 2" xfId="915"/>
    <cellStyle name="标题 4 2" xfId="916"/>
    <cellStyle name="标题 4 2 2" xfId="917"/>
    <cellStyle name="标题 4 2 2 2" xfId="918"/>
    <cellStyle name="标题 4 2 3" xfId="919"/>
    <cellStyle name="标题 4 3" xfId="920"/>
    <cellStyle name="标题 4 3 2" xfId="921"/>
    <cellStyle name="标题 4 3 2 2" xfId="922"/>
    <cellStyle name="标题 4 3 3" xfId="923"/>
    <cellStyle name="标题 4 4" xfId="924"/>
    <cellStyle name="标题 4 4 2" xfId="925"/>
    <cellStyle name="标题 4 4 2 2" xfId="926"/>
    <cellStyle name="标题 4 4 3" xfId="927"/>
    <cellStyle name="标题 4 5" xfId="928"/>
    <cellStyle name="标题 4 5 2" xfId="929"/>
    <cellStyle name="标题 4 6" xfId="930"/>
    <cellStyle name="标题 4 6 2" xfId="931"/>
    <cellStyle name="标题 5" xfId="932"/>
    <cellStyle name="标题 5 2" xfId="933"/>
    <cellStyle name="标题 5 2 2" xfId="934"/>
    <cellStyle name="标题 5 3" xfId="935"/>
    <cellStyle name="标题 6" xfId="936"/>
    <cellStyle name="标题 6 2" xfId="937"/>
    <cellStyle name="标题 6 2 2" xfId="938"/>
    <cellStyle name="标题 6 3" xfId="939"/>
    <cellStyle name="标题 7" xfId="940"/>
    <cellStyle name="标题 7 2" xfId="941"/>
    <cellStyle name="标题 7 2 2" xfId="942"/>
    <cellStyle name="标题 7 3" xfId="943"/>
    <cellStyle name="标题 8" xfId="944"/>
    <cellStyle name="标题 8 2" xfId="945"/>
    <cellStyle name="标题 9" xfId="946"/>
    <cellStyle name="标题 9 2" xfId="947"/>
    <cellStyle name="差 2" xfId="948"/>
    <cellStyle name="差 2 2" xfId="949"/>
    <cellStyle name="差 2 2 2" xfId="950"/>
    <cellStyle name="差 2 3" xfId="951"/>
    <cellStyle name="差 3" xfId="952"/>
    <cellStyle name="差 3 2" xfId="953"/>
    <cellStyle name="差 3 2 2" xfId="954"/>
    <cellStyle name="差 3 3" xfId="955"/>
    <cellStyle name="差 4" xfId="956"/>
    <cellStyle name="差 4 2" xfId="957"/>
    <cellStyle name="差 4 2 2" xfId="958"/>
    <cellStyle name="差 4 3" xfId="959"/>
    <cellStyle name="差 5" xfId="960"/>
    <cellStyle name="差 5 2" xfId="961"/>
    <cellStyle name="差 6" xfId="962"/>
    <cellStyle name="差 6 2" xfId="963"/>
    <cellStyle name="差 7" xfId="964"/>
    <cellStyle name="差 7 2" xfId="965"/>
    <cellStyle name="差_2013见习培训经费表下半年(chen)2014年9月" xfId="966"/>
    <cellStyle name="差_2013见习培训经费表下半年(chen)2014年9月 2" xfId="967"/>
    <cellStyle name="差_2013见习培训经费表下半年(chen)2014年9月 2 2" xfId="968"/>
    <cellStyle name="差_2013见习培训经费表下半年(chen)2014年9月 2 2 2" xfId="969"/>
    <cellStyle name="差_2013见习培训经费表下半年(chen)2014年9月 2 3" xfId="970"/>
    <cellStyle name="差_2013见习培训经费表下半年(chen)2014年9月 3" xfId="971"/>
    <cellStyle name="差_2013见习培训经费表下半年(chen)2014年9月 3 2" xfId="972"/>
    <cellStyle name="差_2013见习培训经费表下半年(chen)2014年9月 4" xfId="973"/>
    <cellStyle name="差_2013见习培训经费表下半年(chen)2014年9月 4 2" xfId="974"/>
    <cellStyle name="差_2013见习培训经费表下半年(chen)2014年9月 5" xfId="975"/>
    <cellStyle name="差_2014年聘用学校导师带教经费表" xfId="976"/>
    <cellStyle name="差_2014年聘用学校导师带教经费表 2" xfId="977"/>
    <cellStyle name="差_2014年聘用学校导师带教经费表 2 2" xfId="978"/>
    <cellStyle name="差_2014年聘用学校导师带教经费表 2 2 2" xfId="979"/>
    <cellStyle name="差_2014年聘用学校导师带教经费表 2 3" xfId="980"/>
    <cellStyle name="差_2014年聘用学校导师带教经费表 3" xfId="981"/>
    <cellStyle name="差_2014年聘用学校导师带教经费表 3 2" xfId="982"/>
    <cellStyle name="差_2014年聘用学校导师带教经费表 3 2 2" xfId="983"/>
    <cellStyle name="差_2014年聘用学校导师带教经费表 3 3" xfId="984"/>
    <cellStyle name="差_2014年聘用学校导师带教经费表 4" xfId="985"/>
    <cellStyle name="差_2014年聘用学校导师带教经费表 4 2" xfId="986"/>
    <cellStyle name="差_2014年聘用学校导师带教经费表 4 2 2" xfId="987"/>
    <cellStyle name="差_2014年聘用学校导师带教经费表 4 3" xfId="988"/>
    <cellStyle name="差_2014年聘用学校导师带教经费表 5" xfId="989"/>
    <cellStyle name="差_2014年聘用学校导师带教经费表 5 2" xfId="990"/>
    <cellStyle name="差_2014年聘用学校导师带教经费表 6" xfId="991"/>
    <cellStyle name="差_2014年聘用学校导师带教经费表 6 2" xfId="992"/>
    <cellStyle name="差_2014年聘用学校导师带教经费表 7" xfId="993"/>
    <cellStyle name="差_2014年终考核奖完整版-给核算中心" xfId="994"/>
    <cellStyle name="差_2014年终考核奖完整版-给核算中心 2" xfId="995"/>
    <cellStyle name="差_2014年终考核奖完整版-给核算中心 2 2" xfId="996"/>
    <cellStyle name="差_2014年终考核奖完整版-给核算中心 2 2 2" xfId="997"/>
    <cellStyle name="差_2014年终考核奖完整版-给核算中心 2 3" xfId="998"/>
    <cellStyle name="差_2014年终考核奖完整版-给核算中心 3" xfId="999"/>
    <cellStyle name="差_2014年终考核奖完整版-给核算中心 3 2" xfId="1000"/>
    <cellStyle name="差_2014年终考核奖完整版-给核算中心 4" xfId="1001"/>
    <cellStyle name="差_2014年终考核奖完整版-给核算中心 4 2" xfId="1002"/>
    <cellStyle name="差_2014年终考核奖完整版-给核算中心 5" xfId="1003"/>
    <cellStyle name="差_2014优秀学校奖励测算表" xfId="1004"/>
    <cellStyle name="差_2014优秀学校奖励测算表 2" xfId="1005"/>
    <cellStyle name="差_2014优秀学校奖励测算表 2 2" xfId="1006"/>
    <cellStyle name="差_2014优秀学校奖励测算表 2 2 2" xfId="1007"/>
    <cellStyle name="差_2014优秀学校奖励测算表 2 3" xfId="1008"/>
    <cellStyle name="差_2014优秀学校奖励测算表 3" xfId="1009"/>
    <cellStyle name="差_2014优秀学校奖励测算表 3 2" xfId="1010"/>
    <cellStyle name="差_2014优秀学校奖励测算表 4" xfId="1011"/>
    <cellStyle name="差_2014优秀学校奖励测算表 4 2" xfId="1012"/>
    <cellStyle name="差_2014优秀学校奖励测算表 5" xfId="1013"/>
    <cellStyle name="差_2015年年终奖预发表-给核算中心" xfId="1014"/>
    <cellStyle name="差_2015年年终奖预发表-给核算中心 2" xfId="1015"/>
    <cellStyle name="差_2015年年终奖预发表-给核算中心 2 2" xfId="1016"/>
    <cellStyle name="差_2015年年终奖预发表-给核算中心 2 2 2" xfId="1017"/>
    <cellStyle name="差_2015年年终奖预发表-给核算中心 2 3" xfId="1018"/>
    <cellStyle name="差_2015年年终奖预发表-给核算中心 3" xfId="1019"/>
    <cellStyle name="差_2015年年终奖预发表-给核算中心 3 2" xfId="1020"/>
    <cellStyle name="差_2015年年终奖预发表-给核算中心 4" xfId="1021"/>
    <cellStyle name="差_2015年年终奖预发表-给核算中心 4 2" xfId="1022"/>
    <cellStyle name="差_2015年年终奖预发表-给核算中心 5" xfId="1023"/>
    <cellStyle name="差_2016年3月校长职级工资（核算中心）" xfId="1024"/>
    <cellStyle name="差_2016年3月校长职级工资（核算中心） 2" xfId="1025"/>
    <cellStyle name="差_2016年3月校长职级工资（核算中心） 2 2" xfId="1026"/>
    <cellStyle name="差_2016年3月校长职级工资（核算中心） 2 2 2" xfId="1027"/>
    <cellStyle name="差_2016年3月校长职级工资（核算中心） 2 3" xfId="1028"/>
    <cellStyle name="差_2016年3月校长职级工资（核算中心） 3" xfId="1029"/>
    <cellStyle name="差_2016年3月校长职级工资（核算中心） 3 2" xfId="1030"/>
    <cellStyle name="差_2016年3月校长职级工资（核算中心） 4" xfId="1031"/>
    <cellStyle name="差_2016年3月校长职级工资（核算中心） 4 2" xfId="1032"/>
    <cellStyle name="差_2016年3月校长职级工资（核算中心） 5" xfId="1033"/>
    <cellStyle name="差_2016统计人数汇总表（完稿版）9.12" xfId="1034"/>
    <cellStyle name="差_2016统计人数汇总表（完稿版）9.12 2" xfId="1035"/>
    <cellStyle name="差_2016统计人数汇总表（完稿版）9.12 2 2" xfId="1036"/>
    <cellStyle name="差_2016统计人数汇总表（完稿版）9.12 2 2 2" xfId="1037"/>
    <cellStyle name="差_2016统计人数汇总表（完稿版）9.12 2 3" xfId="1038"/>
    <cellStyle name="差_2016统计人数汇总表（完稿版）9.12 3" xfId="1039"/>
    <cellStyle name="差_2016统计人数汇总表（完稿版）9.12 3 2" xfId="1040"/>
    <cellStyle name="差_2016统计人数汇总表（完稿版）9.12 4" xfId="1041"/>
    <cellStyle name="差_2016统计人数汇总表（完稿版）9.12 4 2" xfId="1042"/>
    <cellStyle name="差_2016统计人数汇总表（完稿版）9.12 5" xfId="1043"/>
    <cellStyle name="差_A0汇总表（报计财科：项目津贴发放）" xfId="1044"/>
    <cellStyle name="差_A0汇总表（报计财科：项目津贴发放） 2" xfId="1045"/>
    <cellStyle name="差_A0汇总表（报计财科：项目津贴发放） 2 2" xfId="1046"/>
    <cellStyle name="差_A0汇总表（报计财科：项目津贴发放） 2 2 2" xfId="1047"/>
    <cellStyle name="差_A0汇总表（报计财科：项目津贴发放） 2 3" xfId="1048"/>
    <cellStyle name="差_A0汇总表（报计财科：项目津贴发放） 3" xfId="1049"/>
    <cellStyle name="差_A0汇总表（报计财科：项目津贴发放） 3 2" xfId="1050"/>
    <cellStyle name="差_A0汇总表（报计财科：项目津贴发放） 4" xfId="1051"/>
    <cellStyle name="差_A0汇总表（报计财科：项目津贴发放） 4 2" xfId="1052"/>
    <cellStyle name="差_A0汇总表（报计财科：项目津贴发放） 5" xfId="1053"/>
    <cellStyle name="差_统筹-校长（暂估）" xfId="1054"/>
    <cellStyle name="差_统筹-校长（暂估） 2" xfId="1055"/>
    <cellStyle name="差_统筹-校长（暂估） 2 2" xfId="1056"/>
    <cellStyle name="差_统筹-校长（暂估） 2 2 2" xfId="1057"/>
    <cellStyle name="差_统筹-校长（暂估） 2 3" xfId="1058"/>
    <cellStyle name="差_统筹-校长（暂估） 3" xfId="1059"/>
    <cellStyle name="差_统筹-校长（暂估） 3 2" xfId="1060"/>
    <cellStyle name="差_统筹-校长（暂估） 4" xfId="1061"/>
    <cellStyle name="差_统筹-校长（暂估） 4 2" xfId="1062"/>
    <cellStyle name="差_统筹-校长（暂估） 5" xfId="1063"/>
    <cellStyle name="差_校长、书记2015年增量部分发放清单" xfId="1064"/>
    <cellStyle name="差_校长、书记2015年增量部分发放清单 2" xfId="1065"/>
    <cellStyle name="差_校长、书记2015年增量部分发放清单 2 2" xfId="1066"/>
    <cellStyle name="差_校长、书记2015年增量部分发放清单 2 2 2" xfId="1067"/>
    <cellStyle name="差_校长、书记2015年增量部分发放清单 2 3" xfId="1068"/>
    <cellStyle name="差_校长、书记2015年增量部分发放清单 3" xfId="1069"/>
    <cellStyle name="差_校长、书记2015年增量部分发放清单 3 2" xfId="1070"/>
    <cellStyle name="差_校长、书记2015年增量部分发放清单 4" xfId="1071"/>
    <cellStyle name="差_校长、书记2015年增量部分发放清单 4 2" xfId="1072"/>
    <cellStyle name="差_校长、书记2015年增量部分发放清单 5" xfId="1073"/>
    <cellStyle name="差_校长职级、亚信会奖励、教师节奖励镇管" xfId="1074"/>
    <cellStyle name="差_校长职级、亚信会奖励、教师节奖励镇管 2" xfId="1075"/>
    <cellStyle name="差_校长职级、亚信会奖励、教师节奖励镇管 2 2" xfId="1076"/>
    <cellStyle name="差_校长职级、亚信会奖励、教师节奖励镇管 2 2 2" xfId="1077"/>
    <cellStyle name="差_校长职级、亚信会奖励、教师节奖励镇管 2 3" xfId="1078"/>
    <cellStyle name="差_校长职级、亚信会奖励、教师节奖励镇管 3" xfId="1079"/>
    <cellStyle name="差_校长职级、亚信会奖励、教师节奖励镇管 3 2" xfId="1080"/>
    <cellStyle name="差_校长职级、亚信会奖励、教师节奖励镇管 4" xfId="1081"/>
    <cellStyle name="差_校长职级、亚信会奖励、教师节奖励镇管 4 2" xfId="1082"/>
    <cellStyle name="差_校长职级、亚信会奖励、教师节奖励镇管 5" xfId="1083"/>
    <cellStyle name="差_镇管汇总" xfId="1084"/>
    <cellStyle name="差_镇管汇总 2" xfId="1085"/>
    <cellStyle name="差_镇管汇总 2 2" xfId="1086"/>
    <cellStyle name="差_镇管汇总 2 2 2" xfId="1087"/>
    <cellStyle name="差_镇管汇总 2 3" xfId="1088"/>
    <cellStyle name="差_镇管汇总 3" xfId="1089"/>
    <cellStyle name="差_镇管汇总 3 2" xfId="1090"/>
    <cellStyle name="差_镇管汇总 4" xfId="1091"/>
    <cellStyle name="差_镇管汇总 4 2" xfId="1092"/>
    <cellStyle name="差_镇管汇总 5" xfId="1093"/>
    <cellStyle name="常规" xfId="0" builtinId="0"/>
    <cellStyle name="常规 10" xfId="1094"/>
    <cellStyle name="常规 10 2" xfId="1095"/>
    <cellStyle name="常规 10 2 2" xfId="1096"/>
    <cellStyle name="常规 10 3" xfId="1097"/>
    <cellStyle name="常规 10 4" xfId="1098"/>
    <cellStyle name="常规 100" xfId="1"/>
    <cellStyle name="常规 107" xfId="2000"/>
    <cellStyle name="常规 11" xfId="1099"/>
    <cellStyle name="常规 11 2" xfId="1100"/>
    <cellStyle name="常规 11 2 2" xfId="1101"/>
    <cellStyle name="常规 11 3" xfId="1102"/>
    <cellStyle name="常规 11 4" xfId="1103"/>
    <cellStyle name="常规 11 9" xfId="2003"/>
    <cellStyle name="常规 111" xfId="2006"/>
    <cellStyle name="常规 12" xfId="1104"/>
    <cellStyle name="常规 12 2" xfId="1105"/>
    <cellStyle name="常规 12 2 2" xfId="1106"/>
    <cellStyle name="常规 12 3" xfId="1107"/>
    <cellStyle name="常规 12 4" xfId="1108"/>
    <cellStyle name="常规 13" xfId="1109"/>
    <cellStyle name="常规 13 2" xfId="1110"/>
    <cellStyle name="常规 14" xfId="1111"/>
    <cellStyle name="常规 14 2" xfId="1112"/>
    <cellStyle name="常规 15" xfId="1113"/>
    <cellStyle name="常规 15 2" xfId="1114"/>
    <cellStyle name="常规 16" xfId="1115"/>
    <cellStyle name="常规 16 2" xfId="1116"/>
    <cellStyle name="常规 17" xfId="1117"/>
    <cellStyle name="常规 17 2" xfId="1118"/>
    <cellStyle name="常规 172" xfId="2008"/>
    <cellStyle name="常规 18" xfId="1119"/>
    <cellStyle name="常规 18 2" xfId="1120"/>
    <cellStyle name="常规 19" xfId="1121"/>
    <cellStyle name="常规 19 2" xfId="1122"/>
    <cellStyle name="常规 2" xfId="1123"/>
    <cellStyle name="常规 2 10" xfId="1124"/>
    <cellStyle name="常规 2 10 2" xfId="1125"/>
    <cellStyle name="常规 2 11" xfId="1126"/>
    <cellStyle name="常规 2 11 2" xfId="1127"/>
    <cellStyle name="常规 2 12" xfId="1128"/>
    <cellStyle name="常规 2 2" xfId="1129"/>
    <cellStyle name="常规 2 2 2" xfId="1130"/>
    <cellStyle name="常规 2 2 2 2" xfId="1131"/>
    <cellStyle name="常规 2 2 2 2 2" xfId="1132"/>
    <cellStyle name="常规 2 2 2 2 2 2" xfId="1133"/>
    <cellStyle name="常规 2 2 2 2 3" xfId="1134"/>
    <cellStyle name="常规 2 2 2 3" xfId="1135"/>
    <cellStyle name="常规 2 2 2 3 2" xfId="1136"/>
    <cellStyle name="常规 2 2 2 4" xfId="1137"/>
    <cellStyle name="常规 2 2 3" xfId="1138"/>
    <cellStyle name="常规 2 2 3 2" xfId="1139"/>
    <cellStyle name="常规 2 2 3 2 2" xfId="1140"/>
    <cellStyle name="常规 2 2 3 3" xfId="1141"/>
    <cellStyle name="常规 2 2 4" xfId="1142"/>
    <cellStyle name="常规 2 2 4 2" xfId="1143"/>
    <cellStyle name="常规 2 2 4 2 2" xfId="1144"/>
    <cellStyle name="常规 2 2 4 3" xfId="1145"/>
    <cellStyle name="常规 2 2 5" xfId="1146"/>
    <cellStyle name="常规 2 2 5 2" xfId="1147"/>
    <cellStyle name="常规 2 2 6" xfId="1148"/>
    <cellStyle name="常规 2 24" xfId="2002"/>
    <cellStyle name="常规 2 3" xfId="1149"/>
    <cellStyle name="常规 2 3 2" xfId="1150"/>
    <cellStyle name="常规 2 3 2 2" xfId="1151"/>
    <cellStyle name="常规 2 3 2 2 2" xfId="1152"/>
    <cellStyle name="常规 2 3 2 3" xfId="1153"/>
    <cellStyle name="常规 2 3 3" xfId="1154"/>
    <cellStyle name="常规 2 3 3 2" xfId="1155"/>
    <cellStyle name="常规 2 3 4" xfId="1156"/>
    <cellStyle name="常规 2 3 4 2" xfId="1157"/>
    <cellStyle name="常规 2 4" xfId="1158"/>
    <cellStyle name="常规 2 4 2" xfId="1159"/>
    <cellStyle name="常规 2 4 2 2" xfId="1160"/>
    <cellStyle name="常规 2 4 2 2 2" xfId="1161"/>
    <cellStyle name="常规 2 4 2 3" xfId="1162"/>
    <cellStyle name="常规 2 4 3" xfId="1163"/>
    <cellStyle name="常规 2 4 3 2" xfId="1164"/>
    <cellStyle name="常规 2 4 4" xfId="1165"/>
    <cellStyle name="常规 2 5" xfId="1166"/>
    <cellStyle name="常规 2 5 2" xfId="1167"/>
    <cellStyle name="常规 2 5 2 2" xfId="1168"/>
    <cellStyle name="常规 2 5 3" xfId="1169"/>
    <cellStyle name="常规 2 6" xfId="1170"/>
    <cellStyle name="常规 2 6 2" xfId="1171"/>
    <cellStyle name="常规 2 7" xfId="1172"/>
    <cellStyle name="常规 2 8" xfId="1173"/>
    <cellStyle name="常规 2 8 2" xfId="1174"/>
    <cellStyle name="常规 2 8 2 2" xfId="1175"/>
    <cellStyle name="常规 2 8 3" xfId="1176"/>
    <cellStyle name="常规 2 9" xfId="1177"/>
    <cellStyle name="常规 2 9 2" xfId="1178"/>
    <cellStyle name="常规 2 9 2 2" xfId="1179"/>
    <cellStyle name="常规 2 9 3" xfId="1180"/>
    <cellStyle name="常规 2_统筹-校长（暂估）" xfId="1181"/>
    <cellStyle name="常规 20" xfId="1182"/>
    <cellStyle name="常规 21" xfId="1183"/>
    <cellStyle name="常规 21 2" xfId="1184"/>
    <cellStyle name="常规 22" xfId="1185"/>
    <cellStyle name="常规 23" xfId="1186"/>
    <cellStyle name="常规 23 2" xfId="1187"/>
    <cellStyle name="常规 24" xfId="1188"/>
    <cellStyle name="常规 25" xfId="1189"/>
    <cellStyle name="常规 25 2" xfId="1190"/>
    <cellStyle name="常规 26" xfId="1191"/>
    <cellStyle name="常规 26 2" xfId="1192"/>
    <cellStyle name="常规 27" xfId="1193"/>
    <cellStyle name="常规 27 2" xfId="1194"/>
    <cellStyle name="常规 28" xfId="1195"/>
    <cellStyle name="常规 28 2" xfId="1196"/>
    <cellStyle name="常规 29" xfId="1197"/>
    <cellStyle name="常规 29 2" xfId="1198"/>
    <cellStyle name="常规 292 2" xfId="2001"/>
    <cellStyle name="常规 293" xfId="2005"/>
    <cellStyle name="常规 3" xfId="1199"/>
    <cellStyle name="常规 3 2" xfId="1200"/>
    <cellStyle name="常规 3 2 2" xfId="1201"/>
    <cellStyle name="常规 3 2 2 2" xfId="1202"/>
    <cellStyle name="常规 3 2 2 2 2" xfId="1203"/>
    <cellStyle name="常规 3 2 2 3" xfId="1204"/>
    <cellStyle name="常规 3 2 3" xfId="1205"/>
    <cellStyle name="常规 3 2 3 2" xfId="1206"/>
    <cellStyle name="常规 3 2 4" xfId="1207"/>
    <cellStyle name="常规 3 2 4 2" xfId="1208"/>
    <cellStyle name="常规 3 2 5" xfId="1209"/>
    <cellStyle name="常规 3 2 5 2" xfId="1210"/>
    <cellStyle name="常规 3 2 6" xfId="1211"/>
    <cellStyle name="常规 3 2 7" xfId="1212"/>
    <cellStyle name="常规 3 3" xfId="1213"/>
    <cellStyle name="常规 3 3 2" xfId="1214"/>
    <cellStyle name="常规 3 3 2 2" xfId="1215"/>
    <cellStyle name="常规 3 3 2 2 2" xfId="1216"/>
    <cellStyle name="常规 3 3 2 3" xfId="1217"/>
    <cellStyle name="常规 3 3 3" xfId="1218"/>
    <cellStyle name="常规 3 3 3 2" xfId="1219"/>
    <cellStyle name="常规 3 3 4" xfId="1220"/>
    <cellStyle name="常规 3 3 4 2" xfId="1221"/>
    <cellStyle name="常规 3 3 5" xfId="1222"/>
    <cellStyle name="常规 3 3 5 2" xfId="1223"/>
    <cellStyle name="常规 3 3 6" xfId="1224"/>
    <cellStyle name="常规 3 4" xfId="1225"/>
    <cellStyle name="常规 3 4 2" xfId="1226"/>
    <cellStyle name="常规 3 4 2 2" xfId="1227"/>
    <cellStyle name="常规 3 4 2 2 2" xfId="1228"/>
    <cellStyle name="常规 3 4 2 3" xfId="1229"/>
    <cellStyle name="常规 3 4 3" xfId="1230"/>
    <cellStyle name="常规 3 4 3 2" xfId="1231"/>
    <cellStyle name="常规 3 4 4" xfId="1232"/>
    <cellStyle name="常规 3 4 4 2" xfId="1233"/>
    <cellStyle name="常规 3 4 9" xfId="2004"/>
    <cellStyle name="常规 3 5" xfId="1234"/>
    <cellStyle name="常规 3 5 2" xfId="1235"/>
    <cellStyle name="常规 3 5 2 2" xfId="1236"/>
    <cellStyle name="常规 3 5 3" xfId="1237"/>
    <cellStyle name="常规 3 6" xfId="1238"/>
    <cellStyle name="常规 3 7" xfId="1239"/>
    <cellStyle name="常规 3 7 2" xfId="1240"/>
    <cellStyle name="常规 3 7 2 2" xfId="1241"/>
    <cellStyle name="常规 3 7 3" xfId="1242"/>
    <cellStyle name="常规 3 8" xfId="1243"/>
    <cellStyle name="常规 3 8 2" xfId="1244"/>
    <cellStyle name="常规 3 9" xfId="1245"/>
    <cellStyle name="常规 3_统筹-校长（暂估）" xfId="1246"/>
    <cellStyle name="常规 30" xfId="1247"/>
    <cellStyle name="常规 30 2" xfId="1248"/>
    <cellStyle name="常规 31" xfId="1249"/>
    <cellStyle name="常规 31 2" xfId="1250"/>
    <cellStyle name="常规 32" xfId="1251"/>
    <cellStyle name="常规 32 2" xfId="1252"/>
    <cellStyle name="常规 33" xfId="1253"/>
    <cellStyle name="常规 33 2" xfId="1254"/>
    <cellStyle name="常规 34" xfId="1255"/>
    <cellStyle name="常规 34 2" xfId="1256"/>
    <cellStyle name="常规 35" xfId="1257"/>
    <cellStyle name="常规 35 2" xfId="1258"/>
    <cellStyle name="常规 36" xfId="1259"/>
    <cellStyle name="常规 36 2" xfId="1260"/>
    <cellStyle name="常规 37" xfId="1261"/>
    <cellStyle name="常规 37 2" xfId="1262"/>
    <cellStyle name="常规 38" xfId="1263"/>
    <cellStyle name="常规 38 2" xfId="1264"/>
    <cellStyle name="常规 39" xfId="1265"/>
    <cellStyle name="常规 39 2" xfId="1266"/>
    <cellStyle name="常规 4" xfId="1267"/>
    <cellStyle name="常规 4 2" xfId="1268"/>
    <cellStyle name="常规 4 2 2" xfId="1269"/>
    <cellStyle name="常规 4 2 2 2" xfId="1270"/>
    <cellStyle name="常规 4 2 3" xfId="1271"/>
    <cellStyle name="常规 4 3" xfId="1272"/>
    <cellStyle name="常规 4 3 2" xfId="1273"/>
    <cellStyle name="常规 4 4" xfId="1274"/>
    <cellStyle name="常规 4 4 2" xfId="1275"/>
    <cellStyle name="常规 4 5" xfId="1276"/>
    <cellStyle name="常规 4 5 2" xfId="1277"/>
    <cellStyle name="常规 4 6" xfId="1278"/>
    <cellStyle name="常规 4 6 2" xfId="1279"/>
    <cellStyle name="常规 4 7" xfId="1280"/>
    <cellStyle name="常规 4 8" xfId="1281"/>
    <cellStyle name="常规 40" xfId="1282"/>
    <cellStyle name="常规 40 2" xfId="1283"/>
    <cellStyle name="常规 41" xfId="1284"/>
    <cellStyle name="常规 41 2" xfId="1285"/>
    <cellStyle name="常规 42" xfId="1286"/>
    <cellStyle name="常规 42 2" xfId="1287"/>
    <cellStyle name="常规 43" xfId="1288"/>
    <cellStyle name="常规 43 2" xfId="1289"/>
    <cellStyle name="常规 44" xfId="1290"/>
    <cellStyle name="常规 44 2" xfId="1291"/>
    <cellStyle name="常规 45" xfId="1292"/>
    <cellStyle name="常规 45 2" xfId="1293"/>
    <cellStyle name="常规 46" xfId="1294"/>
    <cellStyle name="常规 46 2" xfId="1295"/>
    <cellStyle name="常规 47" xfId="1296"/>
    <cellStyle name="常规 47 2" xfId="1297"/>
    <cellStyle name="常规 48" xfId="1298"/>
    <cellStyle name="常规 48 2" xfId="1299"/>
    <cellStyle name="常规 49" xfId="1300"/>
    <cellStyle name="常规 49 2" xfId="1301"/>
    <cellStyle name="常规 5" xfId="1302"/>
    <cellStyle name="常规 5 2" xfId="1303"/>
    <cellStyle name="常规 5 2 2" xfId="1304"/>
    <cellStyle name="常规 5 2 2 2" xfId="1305"/>
    <cellStyle name="常规 5 2 3" xfId="1306"/>
    <cellStyle name="常规 5 3" xfId="1307"/>
    <cellStyle name="常规 5 3 2" xfId="1308"/>
    <cellStyle name="常规 5 4" xfId="1309"/>
    <cellStyle name="常规 5 4 2" xfId="1310"/>
    <cellStyle name="常规 5 5" xfId="1311"/>
    <cellStyle name="常规 5 5 2" xfId="1312"/>
    <cellStyle name="常规 5 6" xfId="1313"/>
    <cellStyle name="常规 50" xfId="1314"/>
    <cellStyle name="常规 50 2" xfId="1315"/>
    <cellStyle name="常规 51" xfId="1316"/>
    <cellStyle name="常规 51 2" xfId="1317"/>
    <cellStyle name="常规 52" xfId="1318"/>
    <cellStyle name="常规 52 2" xfId="1319"/>
    <cellStyle name="常规 53" xfId="1320"/>
    <cellStyle name="常规 53 2" xfId="1321"/>
    <cellStyle name="常规 54" xfId="1322"/>
    <cellStyle name="常规 54 2" xfId="1323"/>
    <cellStyle name="常规 55" xfId="1324"/>
    <cellStyle name="常规 55 2" xfId="1325"/>
    <cellStyle name="常规 56" xfId="1326"/>
    <cellStyle name="常规 56 2" xfId="1327"/>
    <cellStyle name="常规 57" xfId="1328"/>
    <cellStyle name="常规 57 2" xfId="1329"/>
    <cellStyle name="常规 58" xfId="1330"/>
    <cellStyle name="常规 58 2" xfId="1331"/>
    <cellStyle name="常规 59" xfId="1332"/>
    <cellStyle name="常规 59 2" xfId="1333"/>
    <cellStyle name="常规 6" xfId="1334"/>
    <cellStyle name="常规 6 2" xfId="1335"/>
    <cellStyle name="常规 6 2 2" xfId="1336"/>
    <cellStyle name="常规 6 2 2 2" xfId="1337"/>
    <cellStyle name="常规 6 2 3" xfId="1338"/>
    <cellStyle name="常规 6 3" xfId="1339"/>
    <cellStyle name="常规 6 3 2" xfId="1340"/>
    <cellStyle name="常规 6 4" xfId="1341"/>
    <cellStyle name="常规 6 4 2" xfId="1342"/>
    <cellStyle name="常规 6 5" xfId="1343"/>
    <cellStyle name="常规 6 5 2" xfId="1344"/>
    <cellStyle name="常规 6 6" xfId="1345"/>
    <cellStyle name="常规 60" xfId="1346"/>
    <cellStyle name="常规 60 2" xfId="1347"/>
    <cellStyle name="常规 61" xfId="1348"/>
    <cellStyle name="常规 61 2" xfId="1349"/>
    <cellStyle name="常规 62" xfId="1350"/>
    <cellStyle name="常规 62 2" xfId="1351"/>
    <cellStyle name="常规 63" xfId="1352"/>
    <cellStyle name="常规 63 2" xfId="1353"/>
    <cellStyle name="常规 64" xfId="1354"/>
    <cellStyle name="常规 64 2" xfId="1355"/>
    <cellStyle name="常规 65" xfId="1356"/>
    <cellStyle name="常规 66" xfId="1357"/>
    <cellStyle name="常规 67" xfId="1358"/>
    <cellStyle name="常规 68" xfId="1359"/>
    <cellStyle name="常规 69" xfId="1360"/>
    <cellStyle name="常规 7" xfId="1361"/>
    <cellStyle name="常规 7 2" xfId="1362"/>
    <cellStyle name="常规 7 2 2" xfId="1363"/>
    <cellStyle name="常规 7 2 2 2" xfId="1364"/>
    <cellStyle name="常规 7 2 3" xfId="1365"/>
    <cellStyle name="常规 7 3" xfId="1366"/>
    <cellStyle name="常规 7 3 2" xfId="1367"/>
    <cellStyle name="常规 7 4" xfId="1368"/>
    <cellStyle name="常规 7 4 2" xfId="1369"/>
    <cellStyle name="常规 7 5" xfId="1370"/>
    <cellStyle name="常规 7 5 2" xfId="1371"/>
    <cellStyle name="常规 7 6" xfId="1372"/>
    <cellStyle name="常规 70" xfId="1373"/>
    <cellStyle name="常规 71" xfId="1374"/>
    <cellStyle name="常规 72" xfId="1375"/>
    <cellStyle name="常规 73" xfId="1376"/>
    <cellStyle name="常规 74" xfId="1377"/>
    <cellStyle name="常规 75" xfId="1378"/>
    <cellStyle name="常规 76" xfId="1379"/>
    <cellStyle name="常规 77" xfId="1380"/>
    <cellStyle name="常规 78" xfId="1381"/>
    <cellStyle name="常规 79" xfId="1382"/>
    <cellStyle name="常规 8" xfId="1383"/>
    <cellStyle name="常规 8 2" xfId="1384"/>
    <cellStyle name="常规 8 2 2" xfId="1385"/>
    <cellStyle name="常规 8 2 2 2" xfId="1386"/>
    <cellStyle name="常规 8 2 3" xfId="1387"/>
    <cellStyle name="常规 8 3" xfId="1388"/>
    <cellStyle name="常规 8 3 2" xfId="1389"/>
    <cellStyle name="常规 8 4" xfId="1390"/>
    <cellStyle name="常规 8 4 2" xfId="1391"/>
    <cellStyle name="常规 8 5" xfId="1392"/>
    <cellStyle name="常规 8 5 2" xfId="1393"/>
    <cellStyle name="常规 8 6" xfId="1394"/>
    <cellStyle name="常规 80" xfId="1395"/>
    <cellStyle name="常规 81" xfId="1396"/>
    <cellStyle name="常规 82" xfId="1397"/>
    <cellStyle name="常规 83" xfId="1398"/>
    <cellStyle name="常规 84" xfId="1399"/>
    <cellStyle name="常规 85" xfId="1400"/>
    <cellStyle name="常规 86" xfId="1401"/>
    <cellStyle name="常规 87" xfId="1402"/>
    <cellStyle name="常规 88" xfId="1403"/>
    <cellStyle name="常规 89" xfId="1404"/>
    <cellStyle name="常规 9" xfId="1405"/>
    <cellStyle name="常规 9 2" xfId="1406"/>
    <cellStyle name="常规 9 2 2" xfId="1407"/>
    <cellStyle name="常规 9 2 2 2" xfId="1408"/>
    <cellStyle name="常规 9 2 2 2 2" xfId="1409"/>
    <cellStyle name="常规 9 2 2 3" xfId="1410"/>
    <cellStyle name="常规 9 2 3" xfId="1411"/>
    <cellStyle name="常规 9 2 3 2" xfId="1412"/>
    <cellStyle name="常规 9 2 4" xfId="1413"/>
    <cellStyle name="常规 9 3" xfId="1414"/>
    <cellStyle name="常规 9 3 2" xfId="1415"/>
    <cellStyle name="常规 9 3 2 2" xfId="1416"/>
    <cellStyle name="常规 9 3 3" xfId="1417"/>
    <cellStyle name="常规 9 4" xfId="1418"/>
    <cellStyle name="常规 9 4 2" xfId="1419"/>
    <cellStyle name="常规 9 4 2 2" xfId="1420"/>
    <cellStyle name="常规 9 4 3" xfId="1421"/>
    <cellStyle name="常规 9 5" xfId="1422"/>
    <cellStyle name="常规 9 5 2" xfId="1423"/>
    <cellStyle name="常规 9 6" xfId="1424"/>
    <cellStyle name="常规 90" xfId="1425"/>
    <cellStyle name="常规 91" xfId="1426"/>
    <cellStyle name="常规 92" xfId="1427"/>
    <cellStyle name="常规 93" xfId="1428"/>
    <cellStyle name="常规 94" xfId="1429"/>
    <cellStyle name="常规 95" xfId="1430"/>
    <cellStyle name="常规 96" xfId="1431"/>
    <cellStyle name="常规 97" xfId="1432"/>
    <cellStyle name="常规 98" xfId="1433"/>
    <cellStyle name="常规 99" xfId="1434"/>
    <cellStyle name="超链接 2" xfId="1435"/>
    <cellStyle name="好 2" xfId="1436"/>
    <cellStyle name="好 2 2" xfId="1437"/>
    <cellStyle name="好 2 2 2" xfId="1438"/>
    <cellStyle name="好 2 3" xfId="1439"/>
    <cellStyle name="好 3" xfId="1440"/>
    <cellStyle name="好 3 2" xfId="1441"/>
    <cellStyle name="好 3 2 2" xfId="1442"/>
    <cellStyle name="好 3 3" xfId="1443"/>
    <cellStyle name="好 4" xfId="1444"/>
    <cellStyle name="好 4 2" xfId="1445"/>
    <cellStyle name="好 4 2 2" xfId="1446"/>
    <cellStyle name="好 4 3" xfId="1447"/>
    <cellStyle name="好 5" xfId="1448"/>
    <cellStyle name="好 5 2" xfId="1449"/>
    <cellStyle name="好 6" xfId="1450"/>
    <cellStyle name="好 6 2" xfId="1451"/>
    <cellStyle name="好 7" xfId="1452"/>
    <cellStyle name="好 7 2" xfId="1453"/>
    <cellStyle name="好 8" xfId="1454"/>
    <cellStyle name="好_2013见习培训经费表下半年(chen)2014年9月" xfId="1455"/>
    <cellStyle name="好_2013见习培训经费表下半年(chen)2014年9月 2" xfId="1456"/>
    <cellStyle name="好_2013见习培训经费表下半年(chen)2014年9月 2 2" xfId="1457"/>
    <cellStyle name="好_2013见习培训经费表下半年(chen)2014年9月 2 2 2" xfId="1458"/>
    <cellStyle name="好_2013见习培训经费表下半年(chen)2014年9月 2 3" xfId="1459"/>
    <cellStyle name="好_2013见习培训经费表下半年(chen)2014年9月 3" xfId="1460"/>
    <cellStyle name="好_2013见习培训经费表下半年(chen)2014年9月 3 2" xfId="1461"/>
    <cellStyle name="好_2013见习培训经费表下半年(chen)2014年9月 4" xfId="1462"/>
    <cellStyle name="好_2013见习培训经费表下半年(chen)2014年9月 4 2" xfId="1463"/>
    <cellStyle name="好_2013见习培训经费表下半年(chen)2014年9月 5" xfId="1464"/>
    <cellStyle name="好_2014年聘用学校导师带教经费表" xfId="1465"/>
    <cellStyle name="好_2014年聘用学校导师带教经费表 2" xfId="1466"/>
    <cellStyle name="好_2014年聘用学校导师带教经费表 2 2" xfId="1467"/>
    <cellStyle name="好_2014年聘用学校导师带教经费表 2 2 2" xfId="1468"/>
    <cellStyle name="好_2014年聘用学校导师带教经费表 2 3" xfId="1469"/>
    <cellStyle name="好_2014年聘用学校导师带教经费表 3" xfId="1470"/>
    <cellStyle name="好_2014年聘用学校导师带教经费表 3 2" xfId="1471"/>
    <cellStyle name="好_2014年聘用学校导师带教经费表 3 2 2" xfId="1472"/>
    <cellStyle name="好_2014年聘用学校导师带教经费表 3 3" xfId="1473"/>
    <cellStyle name="好_2014年聘用学校导师带教经费表 4" xfId="1474"/>
    <cellStyle name="好_2014年聘用学校导师带教经费表 4 2" xfId="1475"/>
    <cellStyle name="好_2014年聘用学校导师带教经费表 4 2 2" xfId="1476"/>
    <cellStyle name="好_2014年聘用学校导师带教经费表 4 3" xfId="1477"/>
    <cellStyle name="好_2014年聘用学校导师带教经费表 5" xfId="1478"/>
    <cellStyle name="好_2014年聘用学校导师带教经费表 5 2" xfId="1479"/>
    <cellStyle name="好_2014年聘用学校导师带教经费表 6" xfId="1480"/>
    <cellStyle name="好_2014年聘用学校导师带教经费表 6 2" xfId="1481"/>
    <cellStyle name="好_2014年聘用学校导师带教经费表 7" xfId="1482"/>
    <cellStyle name="好_2014年终考核奖完整版-给核算中心" xfId="1483"/>
    <cellStyle name="好_2014年终考核奖完整版-给核算中心 2" xfId="1484"/>
    <cellStyle name="好_2014年终考核奖完整版-给核算中心 2 2" xfId="1485"/>
    <cellStyle name="好_2014年终考核奖完整版-给核算中心 2 2 2" xfId="1486"/>
    <cellStyle name="好_2014年终考核奖完整版-给核算中心 2 3" xfId="1487"/>
    <cellStyle name="好_2014年终考核奖完整版-给核算中心 3" xfId="1488"/>
    <cellStyle name="好_2014年终考核奖完整版-给核算中心 3 2" xfId="1489"/>
    <cellStyle name="好_2014年终考核奖完整版-给核算中心 4" xfId="1490"/>
    <cellStyle name="好_2014年终考核奖完整版-给核算中心 4 2" xfId="1491"/>
    <cellStyle name="好_2014年终考核奖完整版-给核算中心 5" xfId="1492"/>
    <cellStyle name="好_2014优秀学校奖励测算表" xfId="1493"/>
    <cellStyle name="好_2014优秀学校奖励测算表 2" xfId="1494"/>
    <cellStyle name="好_2014优秀学校奖励测算表 2 2" xfId="1495"/>
    <cellStyle name="好_2014优秀学校奖励测算表 2 2 2" xfId="1496"/>
    <cellStyle name="好_2014优秀学校奖励测算表 2 3" xfId="1497"/>
    <cellStyle name="好_2014优秀学校奖励测算表 3" xfId="1498"/>
    <cellStyle name="好_2014优秀学校奖励测算表 3 2" xfId="1499"/>
    <cellStyle name="好_2014优秀学校奖励测算表 4" xfId="1500"/>
    <cellStyle name="好_2014优秀学校奖励测算表 4 2" xfId="1501"/>
    <cellStyle name="好_2014优秀学校奖励测算表 5" xfId="1502"/>
    <cellStyle name="好_2015年年终奖预发表-给核算中心" xfId="1503"/>
    <cellStyle name="好_2015年年终奖预发表-给核算中心 2" xfId="1504"/>
    <cellStyle name="好_2015年年终奖预发表-给核算中心 2 2" xfId="1505"/>
    <cellStyle name="好_2015年年终奖预发表-给核算中心 2 2 2" xfId="1506"/>
    <cellStyle name="好_2015年年终奖预发表-给核算中心 2 3" xfId="1507"/>
    <cellStyle name="好_2015年年终奖预发表-给核算中心 3" xfId="1508"/>
    <cellStyle name="好_2015年年终奖预发表-给核算中心 3 2" xfId="1509"/>
    <cellStyle name="好_2015年年终奖预发表-给核算中心 4" xfId="1510"/>
    <cellStyle name="好_2015年年终奖预发表-给核算中心 4 2" xfId="1511"/>
    <cellStyle name="好_2015年年终奖预发表-给核算中心 5" xfId="1512"/>
    <cellStyle name="好_2016年3月校长职级工资（核算中心）" xfId="1513"/>
    <cellStyle name="好_2016年3月校长职级工资（核算中心） 2" xfId="1514"/>
    <cellStyle name="好_2016年3月校长职级工资（核算中心） 2 2" xfId="1515"/>
    <cellStyle name="好_2016年3月校长职级工资（核算中心） 2 2 2" xfId="1516"/>
    <cellStyle name="好_2016年3月校长职级工资（核算中心） 2 3" xfId="1517"/>
    <cellStyle name="好_2016年3月校长职级工资（核算中心） 3" xfId="1518"/>
    <cellStyle name="好_2016年3月校长职级工资（核算中心） 3 2" xfId="1519"/>
    <cellStyle name="好_2016年3月校长职级工资（核算中心） 4" xfId="1520"/>
    <cellStyle name="好_2016年3月校长职级工资（核算中心） 4 2" xfId="1521"/>
    <cellStyle name="好_2016年3月校长职级工资（核算中心） 5" xfId="1522"/>
    <cellStyle name="好_A0汇总表（报计财科：项目津贴发放）" xfId="1523"/>
    <cellStyle name="好_A0汇总表（报计财科：项目津贴发放） 2" xfId="1524"/>
    <cellStyle name="好_A0汇总表（报计财科：项目津贴发放） 2 2" xfId="1525"/>
    <cellStyle name="好_A0汇总表（报计财科：项目津贴发放） 2 2 2" xfId="1526"/>
    <cellStyle name="好_A0汇总表（报计财科：项目津贴发放） 2 3" xfId="1527"/>
    <cellStyle name="好_A0汇总表（报计财科：项目津贴发放） 3" xfId="1528"/>
    <cellStyle name="好_A0汇总表（报计财科：项目津贴发放） 3 2" xfId="1529"/>
    <cellStyle name="好_A0汇总表（报计财科：项目津贴发放） 4" xfId="1530"/>
    <cellStyle name="好_A0汇总表（报计财科：项目津贴发放） 4 2" xfId="1531"/>
    <cellStyle name="好_A0汇总表（报计财科：项目津贴发放） 5" xfId="1532"/>
    <cellStyle name="好_统筹-校长（暂估）" xfId="1533"/>
    <cellStyle name="好_统筹-校长（暂估） 2" xfId="1534"/>
    <cellStyle name="好_统筹-校长（暂估） 2 2" xfId="1535"/>
    <cellStyle name="好_统筹-校长（暂估） 2 2 2" xfId="1536"/>
    <cellStyle name="好_统筹-校长（暂估） 2 3" xfId="1537"/>
    <cellStyle name="好_统筹-校长（暂估） 3" xfId="1538"/>
    <cellStyle name="好_统筹-校长（暂估） 3 2" xfId="1539"/>
    <cellStyle name="好_统筹-校长（暂估） 4" xfId="1540"/>
    <cellStyle name="好_统筹-校长（暂估） 4 2" xfId="1541"/>
    <cellStyle name="好_统筹-校长（暂估） 5" xfId="1542"/>
    <cellStyle name="好_校长、书记2015年增量部分发放清单" xfId="1543"/>
    <cellStyle name="好_校长、书记2015年增量部分发放清单 2" xfId="1544"/>
    <cellStyle name="好_校长、书记2015年增量部分发放清单 2 2" xfId="1545"/>
    <cellStyle name="好_校长、书记2015年增量部分发放清单 2 2 2" xfId="1546"/>
    <cellStyle name="好_校长、书记2015年增量部分发放清单 2 3" xfId="1547"/>
    <cellStyle name="好_校长、书记2015年增量部分发放清单 3" xfId="1548"/>
    <cellStyle name="好_校长、书记2015年增量部分发放清单 3 2" xfId="1549"/>
    <cellStyle name="好_校长、书记2015年增量部分发放清单 4" xfId="1550"/>
    <cellStyle name="好_校长、书记2015年增量部分发放清单 4 2" xfId="1551"/>
    <cellStyle name="好_校长、书记2015年增量部分发放清单 5" xfId="1552"/>
    <cellStyle name="好_校长职级、亚信会奖励、教师节奖励镇管" xfId="1553"/>
    <cellStyle name="好_校长职级、亚信会奖励、教师节奖励镇管 2" xfId="1554"/>
    <cellStyle name="好_校长职级、亚信会奖励、教师节奖励镇管 2 2" xfId="1555"/>
    <cellStyle name="好_校长职级、亚信会奖励、教师节奖励镇管 2 2 2" xfId="1556"/>
    <cellStyle name="好_校长职级、亚信会奖励、教师节奖励镇管 2 3" xfId="1557"/>
    <cellStyle name="好_校长职级、亚信会奖励、教师节奖励镇管 3" xfId="1558"/>
    <cellStyle name="好_校长职级、亚信会奖励、教师节奖励镇管 3 2" xfId="1559"/>
    <cellStyle name="好_校长职级、亚信会奖励、教师节奖励镇管 4" xfId="1560"/>
    <cellStyle name="好_校长职级、亚信会奖励、教师节奖励镇管 4 2" xfId="1561"/>
    <cellStyle name="好_校长职级、亚信会奖励、教师节奖励镇管 5" xfId="1562"/>
    <cellStyle name="好_镇管汇总" xfId="1563"/>
    <cellStyle name="好_镇管汇总 2" xfId="1564"/>
    <cellStyle name="好_镇管汇总 2 2" xfId="1565"/>
    <cellStyle name="好_镇管汇总 2 2 2" xfId="1566"/>
    <cellStyle name="好_镇管汇总 2 3" xfId="1567"/>
    <cellStyle name="好_镇管汇总 3" xfId="1568"/>
    <cellStyle name="好_镇管汇总 3 2" xfId="1569"/>
    <cellStyle name="好_镇管汇总 4" xfId="1570"/>
    <cellStyle name="好_镇管汇总 4 2" xfId="1571"/>
    <cellStyle name="好_镇管汇总 5" xfId="1572"/>
    <cellStyle name="汇总 2" xfId="1573"/>
    <cellStyle name="汇总 2 2" xfId="1574"/>
    <cellStyle name="汇总 2 2 2" xfId="1575"/>
    <cellStyle name="汇总 2 3" xfId="1576"/>
    <cellStyle name="汇总 3" xfId="1577"/>
    <cellStyle name="汇总 3 2" xfId="1578"/>
    <cellStyle name="汇总 3 2 2" xfId="1579"/>
    <cellStyle name="汇总 3 3" xfId="1580"/>
    <cellStyle name="汇总 4" xfId="1581"/>
    <cellStyle name="汇总 4 2" xfId="1582"/>
    <cellStyle name="汇总 4 2 2" xfId="1583"/>
    <cellStyle name="汇总 4 3" xfId="1584"/>
    <cellStyle name="汇总 5" xfId="1585"/>
    <cellStyle name="汇总 5 2" xfId="1586"/>
    <cellStyle name="汇总 6" xfId="1587"/>
    <cellStyle name="汇总 6 2" xfId="1588"/>
    <cellStyle name="计算 2" xfId="1589"/>
    <cellStyle name="计算 2 2" xfId="1590"/>
    <cellStyle name="计算 2 2 2" xfId="1591"/>
    <cellStyle name="计算 2 3" xfId="1592"/>
    <cellStyle name="计算 3" xfId="1593"/>
    <cellStyle name="计算 3 2" xfId="1594"/>
    <cellStyle name="计算 3 2 2" xfId="1595"/>
    <cellStyle name="计算 3 3" xfId="1596"/>
    <cellStyle name="计算 4" xfId="1597"/>
    <cellStyle name="计算 4 2" xfId="1598"/>
    <cellStyle name="计算 4 2 2" xfId="1599"/>
    <cellStyle name="计算 4 3" xfId="1600"/>
    <cellStyle name="计算 5" xfId="1601"/>
    <cellStyle name="计算 5 2" xfId="1602"/>
    <cellStyle name="计算 6" xfId="1603"/>
    <cellStyle name="计算 6 2" xfId="1604"/>
    <cellStyle name="计算 7" xfId="1605"/>
    <cellStyle name="计算 7 2" xfId="1606"/>
    <cellStyle name="检查单元格 2" xfId="1607"/>
    <cellStyle name="检查单元格 2 2" xfId="1608"/>
    <cellStyle name="检查单元格 2 2 2" xfId="1609"/>
    <cellStyle name="检查单元格 2 3" xfId="1610"/>
    <cellStyle name="检查单元格 3" xfId="1611"/>
    <cellStyle name="检查单元格 3 2" xfId="1612"/>
    <cellStyle name="检查单元格 3 2 2" xfId="1613"/>
    <cellStyle name="检查单元格 3 3" xfId="1614"/>
    <cellStyle name="检查单元格 4" xfId="1615"/>
    <cellStyle name="检查单元格 4 2" xfId="1616"/>
    <cellStyle name="检查单元格 4 2 2" xfId="1617"/>
    <cellStyle name="检查单元格 4 3" xfId="1618"/>
    <cellStyle name="检查单元格 5" xfId="1619"/>
    <cellStyle name="检查单元格 5 2" xfId="1620"/>
    <cellStyle name="检查单元格 6" xfId="1621"/>
    <cellStyle name="检查单元格 6 2" xfId="1622"/>
    <cellStyle name="检查单元格 7" xfId="1623"/>
    <cellStyle name="检查单元格 7 2" xfId="1624"/>
    <cellStyle name="解释性文本 2" xfId="1625"/>
    <cellStyle name="解释性文本 2 2" xfId="1626"/>
    <cellStyle name="解释性文本 2 2 2" xfId="1627"/>
    <cellStyle name="解释性文本 2 3" xfId="1628"/>
    <cellStyle name="解释性文本 3" xfId="1629"/>
    <cellStyle name="解释性文本 3 2" xfId="1630"/>
    <cellStyle name="解释性文本 3 2 2" xfId="1631"/>
    <cellStyle name="解释性文本 3 3" xfId="1632"/>
    <cellStyle name="解释性文本 4" xfId="1633"/>
    <cellStyle name="解释性文本 4 2" xfId="1634"/>
    <cellStyle name="解释性文本 4 2 2" xfId="1635"/>
    <cellStyle name="解释性文本 4 3" xfId="1636"/>
    <cellStyle name="解释性文本 5" xfId="1637"/>
    <cellStyle name="解释性文本 5 2" xfId="1638"/>
    <cellStyle name="解释性文本 6" xfId="1639"/>
    <cellStyle name="解释性文本 6 2" xfId="1640"/>
    <cellStyle name="警告文本 2" xfId="1641"/>
    <cellStyle name="警告文本 2 2" xfId="1642"/>
    <cellStyle name="警告文本 2 2 2" xfId="1643"/>
    <cellStyle name="警告文本 2 3" xfId="1644"/>
    <cellStyle name="警告文本 3" xfId="1645"/>
    <cellStyle name="警告文本 3 2" xfId="1646"/>
    <cellStyle name="警告文本 3 2 2" xfId="1647"/>
    <cellStyle name="警告文本 3 3" xfId="1648"/>
    <cellStyle name="警告文本 4" xfId="1649"/>
    <cellStyle name="警告文本 4 2" xfId="1650"/>
    <cellStyle name="警告文本 4 2 2" xfId="1651"/>
    <cellStyle name="警告文本 4 3" xfId="1652"/>
    <cellStyle name="警告文本 5" xfId="1653"/>
    <cellStyle name="警告文本 5 2" xfId="1654"/>
    <cellStyle name="警告文本 6" xfId="1655"/>
    <cellStyle name="警告文本 6 2" xfId="1656"/>
    <cellStyle name="链接单元格 2" xfId="1657"/>
    <cellStyle name="链接单元格 2 2" xfId="1658"/>
    <cellStyle name="链接单元格 2 2 2" xfId="1659"/>
    <cellStyle name="链接单元格 2 3" xfId="1660"/>
    <cellStyle name="链接单元格 3" xfId="1661"/>
    <cellStyle name="链接单元格 3 2" xfId="1662"/>
    <cellStyle name="链接单元格 3 2 2" xfId="1663"/>
    <cellStyle name="链接单元格 3 3" xfId="1664"/>
    <cellStyle name="链接单元格 4" xfId="1665"/>
    <cellStyle name="链接单元格 4 2" xfId="1666"/>
    <cellStyle name="链接单元格 4 2 2" xfId="1667"/>
    <cellStyle name="链接单元格 4 3" xfId="1668"/>
    <cellStyle name="链接单元格 5" xfId="1669"/>
    <cellStyle name="链接单元格 5 2" xfId="1670"/>
    <cellStyle name="链接单元格 6" xfId="1671"/>
    <cellStyle name="链接单元格 6 2" xfId="1672"/>
    <cellStyle name="千位分隔 10" xfId="1673"/>
    <cellStyle name="千位分隔 10 2" xfId="1674"/>
    <cellStyle name="千位分隔 11" xfId="1675"/>
    <cellStyle name="千位分隔 12" xfId="1676"/>
    <cellStyle name="千位分隔 12 2" xfId="1677"/>
    <cellStyle name="千位分隔 13" xfId="1678"/>
    <cellStyle name="千位分隔 14" xfId="1679"/>
    <cellStyle name="千位分隔 14 2" xfId="1680"/>
    <cellStyle name="千位分隔 2" xfId="1681"/>
    <cellStyle name="千位分隔 2 2" xfId="1682"/>
    <cellStyle name="千位分隔 2 2 2" xfId="1683"/>
    <cellStyle name="千位分隔 2 2 2 2" xfId="1684"/>
    <cellStyle name="千位分隔 2 2 3" xfId="1685"/>
    <cellStyle name="千位分隔 2 2 4" xfId="1686"/>
    <cellStyle name="千位分隔 2 3" xfId="1687"/>
    <cellStyle name="千位分隔 2 3 2" xfId="1688"/>
    <cellStyle name="千位分隔 2 3 3" xfId="1689"/>
    <cellStyle name="千位分隔 2 4" xfId="1690"/>
    <cellStyle name="千位分隔 2 4 2" xfId="1691"/>
    <cellStyle name="千位分隔 2 4 2 2" xfId="1692"/>
    <cellStyle name="千位分隔 2 4 3" xfId="1693"/>
    <cellStyle name="千位分隔 2 5" xfId="1694"/>
    <cellStyle name="千位分隔 2 5 2" xfId="1695"/>
    <cellStyle name="千位分隔 2 6" xfId="1696"/>
    <cellStyle name="千位分隔 2 6 2" xfId="1697"/>
    <cellStyle name="千位分隔 2 7" xfId="1698"/>
    <cellStyle name="千位分隔 2 7 2" xfId="1699"/>
    <cellStyle name="千位分隔 2 8" xfId="1700"/>
    <cellStyle name="千位分隔 2 8 2" xfId="1701"/>
    <cellStyle name="千位分隔 2 9" xfId="1702"/>
    <cellStyle name="千位分隔 3" xfId="1703"/>
    <cellStyle name="千位分隔 3 2" xfId="1704"/>
    <cellStyle name="千位分隔 3 2 2" xfId="1705"/>
    <cellStyle name="千位分隔 3 2 2 2" xfId="1706"/>
    <cellStyle name="千位分隔 3 2 3" xfId="1707"/>
    <cellStyle name="千位分隔 3 3" xfId="1708"/>
    <cellStyle name="千位分隔 3 3 2" xfId="1709"/>
    <cellStyle name="千位分隔 3 4" xfId="1710"/>
    <cellStyle name="千位分隔 4" xfId="1711"/>
    <cellStyle name="千位分隔 4 2" xfId="1712"/>
    <cellStyle name="千位分隔 4 3" xfId="1713"/>
    <cellStyle name="千位分隔 5" xfId="1714"/>
    <cellStyle name="千位分隔 5 2" xfId="1715"/>
    <cellStyle name="千位分隔 5 2 2" xfId="1716"/>
    <cellStyle name="千位分隔 5 3" xfId="1717"/>
    <cellStyle name="千位分隔 6" xfId="1718"/>
    <cellStyle name="千位分隔 6 2" xfId="1719"/>
    <cellStyle name="千位分隔 6 2 2" xfId="1720"/>
    <cellStyle name="千位分隔 6 3" xfId="1721"/>
    <cellStyle name="千位分隔 7" xfId="1722"/>
    <cellStyle name="千位分隔 7 2" xfId="1723"/>
    <cellStyle name="千位分隔 8" xfId="1724"/>
    <cellStyle name="千位分隔 8 2" xfId="1725"/>
    <cellStyle name="千位分隔 9" xfId="1726"/>
    <cellStyle name="千位分隔[0] 2" xfId="2007"/>
    <cellStyle name="强调文字颜色 1 2" xfId="1727"/>
    <cellStyle name="强调文字颜色 1 2 2" xfId="1728"/>
    <cellStyle name="强调文字颜色 1 2 2 2" xfId="1729"/>
    <cellStyle name="强调文字颜色 1 2 3" xfId="1730"/>
    <cellStyle name="强调文字颜色 1 3" xfId="1731"/>
    <cellStyle name="强调文字颜色 1 3 2" xfId="1732"/>
    <cellStyle name="强调文字颜色 1 3 2 2" xfId="1733"/>
    <cellStyle name="强调文字颜色 1 3 3" xfId="1734"/>
    <cellStyle name="强调文字颜色 1 4" xfId="1735"/>
    <cellStyle name="强调文字颜色 1 4 2" xfId="1736"/>
    <cellStyle name="强调文字颜色 1 4 2 2" xfId="1737"/>
    <cellStyle name="强调文字颜色 1 4 3" xfId="1738"/>
    <cellStyle name="强调文字颜色 1 5" xfId="1739"/>
    <cellStyle name="强调文字颜色 1 5 2" xfId="1740"/>
    <cellStyle name="强调文字颜色 1 6" xfId="1741"/>
    <cellStyle name="强调文字颜色 1 6 2" xfId="1742"/>
    <cellStyle name="强调文字颜色 1 7" xfId="1743"/>
    <cellStyle name="强调文字颜色 1 7 2" xfId="1744"/>
    <cellStyle name="强调文字颜色 2 2" xfId="1745"/>
    <cellStyle name="强调文字颜色 2 2 2" xfId="1746"/>
    <cellStyle name="强调文字颜色 2 2 2 2" xfId="1747"/>
    <cellStyle name="强调文字颜色 2 2 3" xfId="1748"/>
    <cellStyle name="强调文字颜色 2 3" xfId="1749"/>
    <cellStyle name="强调文字颜色 2 3 2" xfId="1750"/>
    <cellStyle name="强调文字颜色 2 3 2 2" xfId="1751"/>
    <cellStyle name="强调文字颜色 2 3 3" xfId="1752"/>
    <cellStyle name="强调文字颜色 2 4" xfId="1753"/>
    <cellStyle name="强调文字颜色 2 4 2" xfId="1754"/>
    <cellStyle name="强调文字颜色 2 4 2 2" xfId="1755"/>
    <cellStyle name="强调文字颜色 2 4 3" xfId="1756"/>
    <cellStyle name="强调文字颜色 2 5" xfId="1757"/>
    <cellStyle name="强调文字颜色 2 5 2" xfId="1758"/>
    <cellStyle name="强调文字颜色 2 6" xfId="1759"/>
    <cellStyle name="强调文字颜色 2 6 2" xfId="1760"/>
    <cellStyle name="强调文字颜色 2 7" xfId="1761"/>
    <cellStyle name="强调文字颜色 2 7 2" xfId="1762"/>
    <cellStyle name="强调文字颜色 3 2" xfId="1763"/>
    <cellStyle name="强调文字颜色 3 2 2" xfId="1764"/>
    <cellStyle name="强调文字颜色 3 2 2 2" xfId="1765"/>
    <cellStyle name="强调文字颜色 3 2 3" xfId="1766"/>
    <cellStyle name="强调文字颜色 3 3" xfId="1767"/>
    <cellStyle name="强调文字颜色 3 3 2" xfId="1768"/>
    <cellStyle name="强调文字颜色 3 3 2 2" xfId="1769"/>
    <cellStyle name="强调文字颜色 3 3 3" xfId="1770"/>
    <cellStyle name="强调文字颜色 3 4" xfId="1771"/>
    <cellStyle name="强调文字颜色 3 4 2" xfId="1772"/>
    <cellStyle name="强调文字颜色 3 4 2 2" xfId="1773"/>
    <cellStyle name="强调文字颜色 3 4 3" xfId="1774"/>
    <cellStyle name="强调文字颜色 3 5" xfId="1775"/>
    <cellStyle name="强调文字颜色 3 5 2" xfId="1776"/>
    <cellStyle name="强调文字颜色 3 6" xfId="1777"/>
    <cellStyle name="强调文字颜色 3 6 2" xfId="1778"/>
    <cellStyle name="强调文字颜色 3 7" xfId="1779"/>
    <cellStyle name="强调文字颜色 3 7 2" xfId="1780"/>
    <cellStyle name="强调文字颜色 4 2" xfId="1781"/>
    <cellStyle name="强调文字颜色 4 2 2" xfId="1782"/>
    <cellStyle name="强调文字颜色 4 2 2 2" xfId="1783"/>
    <cellStyle name="强调文字颜色 4 2 3" xfId="1784"/>
    <cellStyle name="强调文字颜色 4 3" xfId="1785"/>
    <cellStyle name="强调文字颜色 4 3 2" xfId="1786"/>
    <cellStyle name="强调文字颜色 4 3 2 2" xfId="1787"/>
    <cellStyle name="强调文字颜色 4 3 3" xfId="1788"/>
    <cellStyle name="强调文字颜色 4 4" xfId="1789"/>
    <cellStyle name="强调文字颜色 4 4 2" xfId="1790"/>
    <cellStyle name="强调文字颜色 4 4 2 2" xfId="1791"/>
    <cellStyle name="强调文字颜色 4 4 3" xfId="1792"/>
    <cellStyle name="强调文字颜色 4 5" xfId="1793"/>
    <cellStyle name="强调文字颜色 4 5 2" xfId="1794"/>
    <cellStyle name="强调文字颜色 4 6" xfId="1795"/>
    <cellStyle name="强调文字颜色 4 6 2" xfId="1796"/>
    <cellStyle name="强调文字颜色 4 7" xfId="1797"/>
    <cellStyle name="强调文字颜色 4 7 2" xfId="1798"/>
    <cellStyle name="强调文字颜色 5 2" xfId="1799"/>
    <cellStyle name="强调文字颜色 5 2 2" xfId="1800"/>
    <cellStyle name="强调文字颜色 5 2 2 2" xfId="1801"/>
    <cellStyle name="强调文字颜色 5 2 3" xfId="1802"/>
    <cellStyle name="强调文字颜色 5 3" xfId="1803"/>
    <cellStyle name="强调文字颜色 5 3 2" xfId="1804"/>
    <cellStyle name="强调文字颜色 5 3 2 2" xfId="1805"/>
    <cellStyle name="强调文字颜色 5 3 3" xfId="1806"/>
    <cellStyle name="强调文字颜色 5 4" xfId="1807"/>
    <cellStyle name="强调文字颜色 5 4 2" xfId="1808"/>
    <cellStyle name="强调文字颜色 5 4 2 2" xfId="1809"/>
    <cellStyle name="强调文字颜色 5 4 3" xfId="1810"/>
    <cellStyle name="强调文字颜色 5 5" xfId="1811"/>
    <cellStyle name="强调文字颜色 5 5 2" xfId="1812"/>
    <cellStyle name="强调文字颜色 5 6" xfId="1813"/>
    <cellStyle name="强调文字颜色 5 6 2" xfId="1814"/>
    <cellStyle name="强调文字颜色 5 7" xfId="1815"/>
    <cellStyle name="强调文字颜色 5 7 2" xfId="1816"/>
    <cellStyle name="强调文字颜色 6 2" xfId="1817"/>
    <cellStyle name="强调文字颜色 6 2 2" xfId="1818"/>
    <cellStyle name="强调文字颜色 6 2 2 2" xfId="1819"/>
    <cellStyle name="强调文字颜色 6 2 3" xfId="1820"/>
    <cellStyle name="强调文字颜色 6 3" xfId="1821"/>
    <cellStyle name="强调文字颜色 6 3 2" xfId="1822"/>
    <cellStyle name="强调文字颜色 6 3 2 2" xfId="1823"/>
    <cellStyle name="强调文字颜色 6 3 3" xfId="1824"/>
    <cellStyle name="强调文字颜色 6 4" xfId="1825"/>
    <cellStyle name="强调文字颜色 6 4 2" xfId="1826"/>
    <cellStyle name="强调文字颜色 6 4 2 2" xfId="1827"/>
    <cellStyle name="强调文字颜色 6 4 3" xfId="1828"/>
    <cellStyle name="强调文字颜色 6 5" xfId="1829"/>
    <cellStyle name="强调文字颜色 6 5 2" xfId="1830"/>
    <cellStyle name="强调文字颜色 6 6" xfId="1831"/>
    <cellStyle name="强调文字颜色 6 6 2" xfId="1832"/>
    <cellStyle name="强调文字颜色 6 7" xfId="1833"/>
    <cellStyle name="强调文字颜色 6 7 2" xfId="1834"/>
    <cellStyle name="适中 2" xfId="1835"/>
    <cellStyle name="适中 2 2" xfId="1836"/>
    <cellStyle name="适中 2 2 2" xfId="1837"/>
    <cellStyle name="适中 2 3" xfId="1838"/>
    <cellStyle name="适中 3" xfId="1839"/>
    <cellStyle name="适中 3 2" xfId="1840"/>
    <cellStyle name="适中 3 2 2" xfId="1841"/>
    <cellStyle name="适中 3 3" xfId="1842"/>
    <cellStyle name="适中 4" xfId="1843"/>
    <cellStyle name="适中 4 2" xfId="1844"/>
    <cellStyle name="适中 4 2 2" xfId="1845"/>
    <cellStyle name="适中 4 3" xfId="1846"/>
    <cellStyle name="适中 5" xfId="1847"/>
    <cellStyle name="适中 5 2" xfId="1848"/>
    <cellStyle name="适中 6" xfId="1849"/>
    <cellStyle name="适中 6 2" xfId="1850"/>
    <cellStyle name="适中 7" xfId="1851"/>
    <cellStyle name="适中 7 2" xfId="1852"/>
    <cellStyle name="输出 2" xfId="1853"/>
    <cellStyle name="输出 2 2" xfId="1854"/>
    <cellStyle name="输出 2 2 2" xfId="1855"/>
    <cellStyle name="输出 2 3" xfId="1856"/>
    <cellStyle name="输出 3" xfId="1857"/>
    <cellStyle name="输出 3 2" xfId="1858"/>
    <cellStyle name="输出 3 2 2" xfId="1859"/>
    <cellStyle name="输出 3 3" xfId="1860"/>
    <cellStyle name="输出 4" xfId="1861"/>
    <cellStyle name="输出 4 2" xfId="1862"/>
    <cellStyle name="输出 4 2 2" xfId="1863"/>
    <cellStyle name="输出 4 3" xfId="1864"/>
    <cellStyle name="输出 5" xfId="1865"/>
    <cellStyle name="输出 5 2" xfId="1866"/>
    <cellStyle name="输出 6" xfId="1867"/>
    <cellStyle name="输出 6 2" xfId="1868"/>
    <cellStyle name="输出 7" xfId="1869"/>
    <cellStyle name="输出 7 2" xfId="1870"/>
    <cellStyle name="输入 2" xfId="1871"/>
    <cellStyle name="输入 2 2" xfId="1872"/>
    <cellStyle name="输入 2 2 2" xfId="1873"/>
    <cellStyle name="输入 2 3" xfId="1874"/>
    <cellStyle name="输入 3" xfId="1875"/>
    <cellStyle name="输入 3 2" xfId="1876"/>
    <cellStyle name="输入 3 2 2" xfId="1877"/>
    <cellStyle name="输入 3 3" xfId="1878"/>
    <cellStyle name="输入 4" xfId="1879"/>
    <cellStyle name="输入 4 2" xfId="1880"/>
    <cellStyle name="输入 4 2 2" xfId="1881"/>
    <cellStyle name="输入 4 3" xfId="1882"/>
    <cellStyle name="输入 5" xfId="1883"/>
    <cellStyle name="输入 5 2" xfId="1884"/>
    <cellStyle name="输入 6" xfId="1885"/>
    <cellStyle name="输入 6 2" xfId="1886"/>
    <cellStyle name="输入 7" xfId="1887"/>
    <cellStyle name="输入 7 2" xfId="1888"/>
    <cellStyle name="说明文本" xfId="1889"/>
    <cellStyle name="说明文本 2" xfId="1890"/>
    <cellStyle name="说明文本 2 2" xfId="1891"/>
    <cellStyle name="说明文本 2 2 2" xfId="1892"/>
    <cellStyle name="说明文本 2 3" xfId="1893"/>
    <cellStyle name="说明文本 3" xfId="1894"/>
    <cellStyle name="说明文本 3 2" xfId="1895"/>
    <cellStyle name="说明文本 4" xfId="1896"/>
    <cellStyle name="说明文本 4 2" xfId="1897"/>
    <cellStyle name="说明文本 5" xfId="1898"/>
    <cellStyle name="无色" xfId="1899"/>
    <cellStyle name="无色 2" xfId="1900"/>
    <cellStyle name="无色 2 2" xfId="1901"/>
    <cellStyle name="无色 2 2 2" xfId="1902"/>
    <cellStyle name="无色 2 3" xfId="1903"/>
    <cellStyle name="无色 3" xfId="1904"/>
    <cellStyle name="无色 3 2" xfId="1905"/>
    <cellStyle name="无色 4" xfId="1906"/>
    <cellStyle name="无色 4 2" xfId="1907"/>
    <cellStyle name="无色 5" xfId="1908"/>
    <cellStyle name="样式 1" xfId="1909"/>
    <cellStyle name="着色 1 2" xfId="1910"/>
    <cellStyle name="着色 1 2 2" xfId="1911"/>
    <cellStyle name="着色 1 2 2 2" xfId="1912"/>
    <cellStyle name="着色 1 2 3" xfId="1913"/>
    <cellStyle name="着色 1 3" xfId="1914"/>
    <cellStyle name="着色 1 3 2" xfId="1915"/>
    <cellStyle name="着色 1 4" xfId="1916"/>
    <cellStyle name="着色 1 4 2" xfId="1917"/>
    <cellStyle name="着色 1 5" xfId="1918"/>
    <cellStyle name="着色 2 2" xfId="1919"/>
    <cellStyle name="着色 2 2 2" xfId="1920"/>
    <cellStyle name="着色 2 2 2 2" xfId="1921"/>
    <cellStyle name="着色 2 2 3" xfId="1922"/>
    <cellStyle name="着色 2 3" xfId="1923"/>
    <cellStyle name="着色 2 3 2" xfId="1924"/>
    <cellStyle name="着色 2 4" xfId="1925"/>
    <cellStyle name="着色 2 4 2" xfId="1926"/>
    <cellStyle name="着色 2 5" xfId="1927"/>
    <cellStyle name="着色 3 2" xfId="1928"/>
    <cellStyle name="着色 3 2 2" xfId="1929"/>
    <cellStyle name="着色 3 2 2 2" xfId="1930"/>
    <cellStyle name="着色 3 2 3" xfId="1931"/>
    <cellStyle name="着色 3 3" xfId="1932"/>
    <cellStyle name="着色 3 3 2" xfId="1933"/>
    <cellStyle name="着色 3 4" xfId="1934"/>
    <cellStyle name="着色 3 4 2" xfId="1935"/>
    <cellStyle name="着色 3 5" xfId="1936"/>
    <cellStyle name="着色 4 2" xfId="1937"/>
    <cellStyle name="着色 4 2 2" xfId="1938"/>
    <cellStyle name="着色 4 2 2 2" xfId="1939"/>
    <cellStyle name="着色 4 2 3" xfId="1940"/>
    <cellStyle name="着色 4 3" xfId="1941"/>
    <cellStyle name="着色 4 3 2" xfId="1942"/>
    <cellStyle name="着色 4 4" xfId="1943"/>
    <cellStyle name="着色 4 4 2" xfId="1944"/>
    <cellStyle name="着色 4 5" xfId="1945"/>
    <cellStyle name="着色 5 2" xfId="1946"/>
    <cellStyle name="着色 5 2 2" xfId="1947"/>
    <cellStyle name="着色 5 2 2 2" xfId="1948"/>
    <cellStyle name="着色 5 2 3" xfId="1949"/>
    <cellStyle name="着色 5 3" xfId="1950"/>
    <cellStyle name="着色 5 3 2" xfId="1951"/>
    <cellStyle name="着色 5 4" xfId="1952"/>
    <cellStyle name="着色 5 4 2" xfId="1953"/>
    <cellStyle name="着色 5 5" xfId="1954"/>
    <cellStyle name="着色 6 2" xfId="1955"/>
    <cellStyle name="着色 6 2 2" xfId="1956"/>
    <cellStyle name="着色 6 2 2 2" xfId="1957"/>
    <cellStyle name="着色 6 2 3" xfId="1958"/>
    <cellStyle name="着色 6 3" xfId="1959"/>
    <cellStyle name="着色 6 3 2" xfId="1960"/>
    <cellStyle name="着色 6 4" xfId="1961"/>
    <cellStyle name="着色 6 4 2" xfId="1962"/>
    <cellStyle name="着色 6 5" xfId="1963"/>
    <cellStyle name="注释 2" xfId="1964"/>
    <cellStyle name="注释 2 2" xfId="1965"/>
    <cellStyle name="注释 2 2 2" xfId="1966"/>
    <cellStyle name="注释 2 2 2 2" xfId="1967"/>
    <cellStyle name="注释 2 2 3" xfId="1968"/>
    <cellStyle name="注释 2 3" xfId="1969"/>
    <cellStyle name="注释 2 3 2" xfId="1970"/>
    <cellStyle name="注释 2 4" xfId="1971"/>
    <cellStyle name="注释 3" xfId="1972"/>
    <cellStyle name="注释 3 2" xfId="1973"/>
    <cellStyle name="注释 3 2 2" xfId="1974"/>
    <cellStyle name="注释 3 2 2 2" xfId="1975"/>
    <cellStyle name="注释 3 2 3" xfId="1976"/>
    <cellStyle name="注释 3 3" xfId="1977"/>
    <cellStyle name="注释 3 3 2" xfId="1978"/>
    <cellStyle name="注释 3 4" xfId="1979"/>
    <cellStyle name="注释 4" xfId="1980"/>
    <cellStyle name="注释 4 2" xfId="1981"/>
    <cellStyle name="注释 4 2 2" xfId="1982"/>
    <cellStyle name="注释 4 2 2 2" xfId="1983"/>
    <cellStyle name="注释 4 2 3" xfId="1984"/>
    <cellStyle name="注释 4 3" xfId="1985"/>
    <cellStyle name="注释 4 3 2" xfId="1986"/>
    <cellStyle name="注释 4 4" xfId="1987"/>
    <cellStyle name="注释 5" xfId="1988"/>
    <cellStyle name="注释 5 2" xfId="1989"/>
    <cellStyle name="注释 5 2 2" xfId="1990"/>
    <cellStyle name="注释 5 3" xfId="1991"/>
    <cellStyle name="注释 6" xfId="1992"/>
    <cellStyle name="注释 6 2" xfId="1993"/>
    <cellStyle name="注释 6 2 2" xfId="1994"/>
    <cellStyle name="注释 6 3" xfId="1995"/>
    <cellStyle name="注释 7" xfId="1996"/>
    <cellStyle name="注释 7 2" xfId="1997"/>
    <cellStyle name="注释 7 2 2" xfId="1998"/>
    <cellStyle name="注释 7 3" xfId="199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55</xdr:row>
      <xdr:rowOff>19050</xdr:rowOff>
    </xdr:from>
    <xdr:to>
      <xdr:col>8</xdr:col>
      <xdr:colOff>76200</xdr:colOff>
      <xdr:row>55</xdr:row>
      <xdr:rowOff>66675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>
        <a:xfrm>
          <a:off x="7267575" y="14487525"/>
          <a:ext cx="0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VD14"/>
  <sheetViews>
    <sheetView tabSelected="1" workbookViewId="0">
      <selection activeCell="B14" sqref="B14"/>
    </sheetView>
  </sheetViews>
  <sheetFormatPr defaultColWidth="9" defaultRowHeight="13.5"/>
  <cols>
    <col min="1" max="1" width="6.25" style="131" customWidth="1"/>
    <col min="2" max="2" width="25.5" style="138" customWidth="1"/>
    <col min="3" max="5" width="21.25" style="131" customWidth="1"/>
    <col min="6" max="6" width="17.375" style="131" customWidth="1"/>
    <col min="7" max="7" width="21.75" style="131" customWidth="1"/>
    <col min="8" max="240" width="9" style="131"/>
    <col min="241" max="241" width="6.625" style="131" customWidth="1"/>
    <col min="242" max="243" width="21.625" style="131" customWidth="1"/>
    <col min="244" max="244" width="16.125" style="131" customWidth="1"/>
    <col min="245" max="245" width="13.875" style="131" customWidth="1"/>
    <col min="246" max="246" width="17.25" style="131" customWidth="1"/>
    <col min="247" max="248" width="20.5" style="131" customWidth="1"/>
    <col min="249" max="249" width="9" style="131" hidden="1" customWidth="1"/>
    <col min="250" max="250" width="18.375" style="131" customWidth="1"/>
    <col min="251" max="252" width="9" style="131" hidden="1" customWidth="1"/>
    <col min="253" max="496" width="9" style="131"/>
    <col min="497" max="497" width="6.625" style="131" customWidth="1"/>
    <col min="498" max="499" width="21.625" style="131" customWidth="1"/>
    <col min="500" max="500" width="16.125" style="131" customWidth="1"/>
    <col min="501" max="501" width="13.875" style="131" customWidth="1"/>
    <col min="502" max="502" width="17.25" style="131" customWidth="1"/>
    <col min="503" max="504" width="20.5" style="131" customWidth="1"/>
    <col min="505" max="505" width="9" style="131" hidden="1" customWidth="1"/>
    <col min="506" max="506" width="18.375" style="131" customWidth="1"/>
    <col min="507" max="508" width="9" style="131" hidden="1" customWidth="1"/>
    <col min="509" max="752" width="9" style="131"/>
    <col min="753" max="753" width="6.625" style="131" customWidth="1"/>
    <col min="754" max="755" width="21.625" style="131" customWidth="1"/>
    <col min="756" max="756" width="16.125" style="131" customWidth="1"/>
    <col min="757" max="757" width="13.875" style="131" customWidth="1"/>
    <col min="758" max="758" width="17.25" style="131" customWidth="1"/>
    <col min="759" max="760" width="20.5" style="131" customWidth="1"/>
    <col min="761" max="761" width="9" style="131" hidden="1" customWidth="1"/>
    <col min="762" max="762" width="18.375" style="131" customWidth="1"/>
    <col min="763" max="764" width="9" style="131" hidden="1" customWidth="1"/>
    <col min="765" max="1008" width="9" style="131"/>
    <col min="1009" max="1009" width="6.625" style="131" customWidth="1"/>
    <col min="1010" max="1011" width="21.625" style="131" customWidth="1"/>
    <col min="1012" max="1012" width="16.125" style="131" customWidth="1"/>
    <col min="1013" max="1013" width="13.875" style="131" customWidth="1"/>
    <col min="1014" max="1014" width="17.25" style="131" customWidth="1"/>
    <col min="1015" max="1016" width="20.5" style="131" customWidth="1"/>
    <col min="1017" max="1017" width="9" style="131" hidden="1" customWidth="1"/>
    <col min="1018" max="1018" width="18.375" style="131" customWidth="1"/>
    <col min="1019" max="1020" width="9" style="131" hidden="1" customWidth="1"/>
    <col min="1021" max="1264" width="9" style="131"/>
    <col min="1265" max="1265" width="6.625" style="131" customWidth="1"/>
    <col min="1266" max="1267" width="21.625" style="131" customWidth="1"/>
    <col min="1268" max="1268" width="16.125" style="131" customWidth="1"/>
    <col min="1269" max="1269" width="13.875" style="131" customWidth="1"/>
    <col min="1270" max="1270" width="17.25" style="131" customWidth="1"/>
    <col min="1271" max="1272" width="20.5" style="131" customWidth="1"/>
    <col min="1273" max="1273" width="9" style="131" hidden="1" customWidth="1"/>
    <col min="1274" max="1274" width="18.375" style="131" customWidth="1"/>
    <col min="1275" max="1276" width="9" style="131" hidden="1" customWidth="1"/>
    <col min="1277" max="1520" width="9" style="131"/>
    <col min="1521" max="1521" width="6.625" style="131" customWidth="1"/>
    <col min="1522" max="1523" width="21.625" style="131" customWidth="1"/>
    <col min="1524" max="1524" width="16.125" style="131" customWidth="1"/>
    <col min="1525" max="1525" width="13.875" style="131" customWidth="1"/>
    <col min="1526" max="1526" width="17.25" style="131" customWidth="1"/>
    <col min="1527" max="1528" width="20.5" style="131" customWidth="1"/>
    <col min="1529" max="1529" width="9" style="131" hidden="1" customWidth="1"/>
    <col min="1530" max="1530" width="18.375" style="131" customWidth="1"/>
    <col min="1531" max="1532" width="9" style="131" hidden="1" customWidth="1"/>
    <col min="1533" max="1776" width="9" style="131"/>
    <col min="1777" max="1777" width="6.625" style="131" customWidth="1"/>
    <col min="1778" max="1779" width="21.625" style="131" customWidth="1"/>
    <col min="1780" max="1780" width="16.125" style="131" customWidth="1"/>
    <col min="1781" max="1781" width="13.875" style="131" customWidth="1"/>
    <col min="1782" max="1782" width="17.25" style="131" customWidth="1"/>
    <col min="1783" max="1784" width="20.5" style="131" customWidth="1"/>
    <col min="1785" max="1785" width="9" style="131" hidden="1" customWidth="1"/>
    <col min="1786" max="1786" width="18.375" style="131" customWidth="1"/>
    <col min="1787" max="1788" width="9" style="131" hidden="1" customWidth="1"/>
    <col min="1789" max="2032" width="9" style="131"/>
    <col min="2033" max="2033" width="6.625" style="131" customWidth="1"/>
    <col min="2034" max="2035" width="21.625" style="131" customWidth="1"/>
    <col min="2036" max="2036" width="16.125" style="131" customWidth="1"/>
    <col min="2037" max="2037" width="13.875" style="131" customWidth="1"/>
    <col min="2038" max="2038" width="17.25" style="131" customWidth="1"/>
    <col min="2039" max="2040" width="20.5" style="131" customWidth="1"/>
    <col min="2041" max="2041" width="9" style="131" hidden="1" customWidth="1"/>
    <col min="2042" max="2042" width="18.375" style="131" customWidth="1"/>
    <col min="2043" max="2044" width="9" style="131" hidden="1" customWidth="1"/>
    <col min="2045" max="2288" width="9" style="131"/>
    <col min="2289" max="2289" width="6.625" style="131" customWidth="1"/>
    <col min="2290" max="2291" width="21.625" style="131" customWidth="1"/>
    <col min="2292" max="2292" width="16.125" style="131" customWidth="1"/>
    <col min="2293" max="2293" width="13.875" style="131" customWidth="1"/>
    <col min="2294" max="2294" width="17.25" style="131" customWidth="1"/>
    <col min="2295" max="2296" width="20.5" style="131" customWidth="1"/>
    <col min="2297" max="2297" width="9" style="131" hidden="1" customWidth="1"/>
    <col min="2298" max="2298" width="18.375" style="131" customWidth="1"/>
    <col min="2299" max="2300" width="9" style="131" hidden="1" customWidth="1"/>
    <col min="2301" max="2544" width="9" style="131"/>
    <col min="2545" max="2545" width="6.625" style="131" customWidth="1"/>
    <col min="2546" max="2547" width="21.625" style="131" customWidth="1"/>
    <col min="2548" max="2548" width="16.125" style="131" customWidth="1"/>
    <col min="2549" max="2549" width="13.875" style="131" customWidth="1"/>
    <col min="2550" max="2550" width="17.25" style="131" customWidth="1"/>
    <col min="2551" max="2552" width="20.5" style="131" customWidth="1"/>
    <col min="2553" max="2553" width="9" style="131" hidden="1" customWidth="1"/>
    <col min="2554" max="2554" width="18.375" style="131" customWidth="1"/>
    <col min="2555" max="2556" width="9" style="131" hidden="1" customWidth="1"/>
    <col min="2557" max="2800" width="9" style="131"/>
    <col min="2801" max="2801" width="6.625" style="131" customWidth="1"/>
    <col min="2802" max="2803" width="21.625" style="131" customWidth="1"/>
    <col min="2804" max="2804" width="16.125" style="131" customWidth="1"/>
    <col min="2805" max="2805" width="13.875" style="131" customWidth="1"/>
    <col min="2806" max="2806" width="17.25" style="131" customWidth="1"/>
    <col min="2807" max="2808" width="20.5" style="131" customWidth="1"/>
    <col min="2809" max="2809" width="9" style="131" hidden="1" customWidth="1"/>
    <col min="2810" max="2810" width="18.375" style="131" customWidth="1"/>
    <col min="2811" max="2812" width="9" style="131" hidden="1" customWidth="1"/>
    <col min="2813" max="3056" width="9" style="131"/>
    <col min="3057" max="3057" width="6.625" style="131" customWidth="1"/>
    <col min="3058" max="3059" width="21.625" style="131" customWidth="1"/>
    <col min="3060" max="3060" width="16.125" style="131" customWidth="1"/>
    <col min="3061" max="3061" width="13.875" style="131" customWidth="1"/>
    <col min="3062" max="3062" width="17.25" style="131" customWidth="1"/>
    <col min="3063" max="3064" width="20.5" style="131" customWidth="1"/>
    <col min="3065" max="3065" width="9" style="131" hidden="1" customWidth="1"/>
    <col min="3066" max="3066" width="18.375" style="131" customWidth="1"/>
    <col min="3067" max="3068" width="9" style="131" hidden="1" customWidth="1"/>
    <col min="3069" max="3312" width="9" style="131"/>
    <col min="3313" max="3313" width="6.625" style="131" customWidth="1"/>
    <col min="3314" max="3315" width="21.625" style="131" customWidth="1"/>
    <col min="3316" max="3316" width="16.125" style="131" customWidth="1"/>
    <col min="3317" max="3317" width="13.875" style="131" customWidth="1"/>
    <col min="3318" max="3318" width="17.25" style="131" customWidth="1"/>
    <col min="3319" max="3320" width="20.5" style="131" customWidth="1"/>
    <col min="3321" max="3321" width="9" style="131" hidden="1" customWidth="1"/>
    <col min="3322" max="3322" width="18.375" style="131" customWidth="1"/>
    <col min="3323" max="3324" width="9" style="131" hidden="1" customWidth="1"/>
    <col min="3325" max="3568" width="9" style="131"/>
    <col min="3569" max="3569" width="6.625" style="131" customWidth="1"/>
    <col min="3570" max="3571" width="21.625" style="131" customWidth="1"/>
    <col min="3572" max="3572" width="16.125" style="131" customWidth="1"/>
    <col min="3573" max="3573" width="13.875" style="131" customWidth="1"/>
    <col min="3574" max="3574" width="17.25" style="131" customWidth="1"/>
    <col min="3575" max="3576" width="20.5" style="131" customWidth="1"/>
    <col min="3577" max="3577" width="9" style="131" hidden="1" customWidth="1"/>
    <col min="3578" max="3578" width="18.375" style="131" customWidth="1"/>
    <col min="3579" max="3580" width="9" style="131" hidden="1" customWidth="1"/>
    <col min="3581" max="3824" width="9" style="131"/>
    <col min="3825" max="3825" width="6.625" style="131" customWidth="1"/>
    <col min="3826" max="3827" width="21.625" style="131" customWidth="1"/>
    <col min="3828" max="3828" width="16.125" style="131" customWidth="1"/>
    <col min="3829" max="3829" width="13.875" style="131" customWidth="1"/>
    <col min="3830" max="3830" width="17.25" style="131" customWidth="1"/>
    <col min="3831" max="3832" width="20.5" style="131" customWidth="1"/>
    <col min="3833" max="3833" width="9" style="131" hidden="1" customWidth="1"/>
    <col min="3834" max="3834" width="18.375" style="131" customWidth="1"/>
    <col min="3835" max="3836" width="9" style="131" hidden="1" customWidth="1"/>
    <col min="3837" max="4080" width="9" style="131"/>
    <col min="4081" max="4081" width="6.625" style="131" customWidth="1"/>
    <col min="4082" max="4083" width="21.625" style="131" customWidth="1"/>
    <col min="4084" max="4084" width="16.125" style="131" customWidth="1"/>
    <col min="4085" max="4085" width="13.875" style="131" customWidth="1"/>
    <col min="4086" max="4086" width="17.25" style="131" customWidth="1"/>
    <col min="4087" max="4088" width="20.5" style="131" customWidth="1"/>
    <col min="4089" max="4089" width="9" style="131" hidden="1" customWidth="1"/>
    <col min="4090" max="4090" width="18.375" style="131" customWidth="1"/>
    <col min="4091" max="4092" width="9" style="131" hidden="1" customWidth="1"/>
    <col min="4093" max="4336" width="9" style="131"/>
    <col min="4337" max="4337" width="6.625" style="131" customWidth="1"/>
    <col min="4338" max="4339" width="21.625" style="131" customWidth="1"/>
    <col min="4340" max="4340" width="16.125" style="131" customWidth="1"/>
    <col min="4341" max="4341" width="13.875" style="131" customWidth="1"/>
    <col min="4342" max="4342" width="17.25" style="131" customWidth="1"/>
    <col min="4343" max="4344" width="20.5" style="131" customWidth="1"/>
    <col min="4345" max="4345" width="9" style="131" hidden="1" customWidth="1"/>
    <col min="4346" max="4346" width="18.375" style="131" customWidth="1"/>
    <col min="4347" max="4348" width="9" style="131" hidden="1" customWidth="1"/>
    <col min="4349" max="4592" width="9" style="131"/>
    <col min="4593" max="4593" width="6.625" style="131" customWidth="1"/>
    <col min="4594" max="4595" width="21.625" style="131" customWidth="1"/>
    <col min="4596" max="4596" width="16.125" style="131" customWidth="1"/>
    <col min="4597" max="4597" width="13.875" style="131" customWidth="1"/>
    <col min="4598" max="4598" width="17.25" style="131" customWidth="1"/>
    <col min="4599" max="4600" width="20.5" style="131" customWidth="1"/>
    <col min="4601" max="4601" width="9" style="131" hidden="1" customWidth="1"/>
    <col min="4602" max="4602" width="18.375" style="131" customWidth="1"/>
    <col min="4603" max="4604" width="9" style="131" hidden="1" customWidth="1"/>
    <col min="4605" max="4848" width="9" style="131"/>
    <col min="4849" max="4849" width="6.625" style="131" customWidth="1"/>
    <col min="4850" max="4851" width="21.625" style="131" customWidth="1"/>
    <col min="4852" max="4852" width="16.125" style="131" customWidth="1"/>
    <col min="4853" max="4853" width="13.875" style="131" customWidth="1"/>
    <col min="4854" max="4854" width="17.25" style="131" customWidth="1"/>
    <col min="4855" max="4856" width="20.5" style="131" customWidth="1"/>
    <col min="4857" max="4857" width="9" style="131" hidden="1" customWidth="1"/>
    <col min="4858" max="4858" width="18.375" style="131" customWidth="1"/>
    <col min="4859" max="4860" width="9" style="131" hidden="1" customWidth="1"/>
    <col min="4861" max="5104" width="9" style="131"/>
    <col min="5105" max="5105" width="6.625" style="131" customWidth="1"/>
    <col min="5106" max="5107" width="21.625" style="131" customWidth="1"/>
    <col min="5108" max="5108" width="16.125" style="131" customWidth="1"/>
    <col min="5109" max="5109" width="13.875" style="131" customWidth="1"/>
    <col min="5110" max="5110" width="17.25" style="131" customWidth="1"/>
    <col min="5111" max="5112" width="20.5" style="131" customWidth="1"/>
    <col min="5113" max="5113" width="9" style="131" hidden="1" customWidth="1"/>
    <col min="5114" max="5114" width="18.375" style="131" customWidth="1"/>
    <col min="5115" max="5116" width="9" style="131" hidden="1" customWidth="1"/>
    <col min="5117" max="5360" width="9" style="131"/>
    <col min="5361" max="5361" width="6.625" style="131" customWidth="1"/>
    <col min="5362" max="5363" width="21.625" style="131" customWidth="1"/>
    <col min="5364" max="5364" width="16.125" style="131" customWidth="1"/>
    <col min="5365" max="5365" width="13.875" style="131" customWidth="1"/>
    <col min="5366" max="5366" width="17.25" style="131" customWidth="1"/>
    <col min="5367" max="5368" width="20.5" style="131" customWidth="1"/>
    <col min="5369" max="5369" width="9" style="131" hidden="1" customWidth="1"/>
    <col min="5370" max="5370" width="18.375" style="131" customWidth="1"/>
    <col min="5371" max="5372" width="9" style="131" hidden="1" customWidth="1"/>
    <col min="5373" max="5616" width="9" style="131"/>
    <col min="5617" max="5617" width="6.625" style="131" customWidth="1"/>
    <col min="5618" max="5619" width="21.625" style="131" customWidth="1"/>
    <col min="5620" max="5620" width="16.125" style="131" customWidth="1"/>
    <col min="5621" max="5621" width="13.875" style="131" customWidth="1"/>
    <col min="5622" max="5622" width="17.25" style="131" customWidth="1"/>
    <col min="5623" max="5624" width="20.5" style="131" customWidth="1"/>
    <col min="5625" max="5625" width="9" style="131" hidden="1" customWidth="1"/>
    <col min="5626" max="5626" width="18.375" style="131" customWidth="1"/>
    <col min="5627" max="5628" width="9" style="131" hidden="1" customWidth="1"/>
    <col min="5629" max="5872" width="9" style="131"/>
    <col min="5873" max="5873" width="6.625" style="131" customWidth="1"/>
    <col min="5874" max="5875" width="21.625" style="131" customWidth="1"/>
    <col min="5876" max="5876" width="16.125" style="131" customWidth="1"/>
    <col min="5877" max="5877" width="13.875" style="131" customWidth="1"/>
    <col min="5878" max="5878" width="17.25" style="131" customWidth="1"/>
    <col min="5879" max="5880" width="20.5" style="131" customWidth="1"/>
    <col min="5881" max="5881" width="9" style="131" hidden="1" customWidth="1"/>
    <col min="5882" max="5882" width="18.375" style="131" customWidth="1"/>
    <col min="5883" max="5884" width="9" style="131" hidden="1" customWidth="1"/>
    <col min="5885" max="6128" width="9" style="131"/>
    <col min="6129" max="6129" width="6.625" style="131" customWidth="1"/>
    <col min="6130" max="6131" width="21.625" style="131" customWidth="1"/>
    <col min="6132" max="6132" width="16.125" style="131" customWidth="1"/>
    <col min="6133" max="6133" width="13.875" style="131" customWidth="1"/>
    <col min="6134" max="6134" width="17.25" style="131" customWidth="1"/>
    <col min="6135" max="6136" width="20.5" style="131" customWidth="1"/>
    <col min="6137" max="6137" width="9" style="131" hidden="1" customWidth="1"/>
    <col min="6138" max="6138" width="18.375" style="131" customWidth="1"/>
    <col min="6139" max="6140" width="9" style="131" hidden="1" customWidth="1"/>
    <col min="6141" max="6384" width="9" style="131"/>
    <col min="6385" max="6385" width="6.625" style="131" customWidth="1"/>
    <col min="6386" max="6387" width="21.625" style="131" customWidth="1"/>
    <col min="6388" max="6388" width="16.125" style="131" customWidth="1"/>
    <col min="6389" max="6389" width="13.875" style="131" customWidth="1"/>
    <col min="6390" max="6390" width="17.25" style="131" customWidth="1"/>
    <col min="6391" max="6392" width="20.5" style="131" customWidth="1"/>
    <col min="6393" max="6393" width="9" style="131" hidden="1" customWidth="1"/>
    <col min="6394" max="6394" width="18.375" style="131" customWidth="1"/>
    <col min="6395" max="6396" width="9" style="131" hidden="1" customWidth="1"/>
    <col min="6397" max="6640" width="9" style="131"/>
    <col min="6641" max="6641" width="6.625" style="131" customWidth="1"/>
    <col min="6642" max="6643" width="21.625" style="131" customWidth="1"/>
    <col min="6644" max="6644" width="16.125" style="131" customWidth="1"/>
    <col min="6645" max="6645" width="13.875" style="131" customWidth="1"/>
    <col min="6646" max="6646" width="17.25" style="131" customWidth="1"/>
    <col min="6647" max="6648" width="20.5" style="131" customWidth="1"/>
    <col min="6649" max="6649" width="9" style="131" hidden="1" customWidth="1"/>
    <col min="6650" max="6650" width="18.375" style="131" customWidth="1"/>
    <col min="6651" max="6652" width="9" style="131" hidden="1" customWidth="1"/>
    <col min="6653" max="6896" width="9" style="131"/>
    <col min="6897" max="6897" width="6.625" style="131" customWidth="1"/>
    <col min="6898" max="6899" width="21.625" style="131" customWidth="1"/>
    <col min="6900" max="6900" width="16.125" style="131" customWidth="1"/>
    <col min="6901" max="6901" width="13.875" style="131" customWidth="1"/>
    <col min="6902" max="6902" width="17.25" style="131" customWidth="1"/>
    <col min="6903" max="6904" width="20.5" style="131" customWidth="1"/>
    <col min="6905" max="6905" width="9" style="131" hidden="1" customWidth="1"/>
    <col min="6906" max="6906" width="18.375" style="131" customWidth="1"/>
    <col min="6907" max="6908" width="9" style="131" hidden="1" customWidth="1"/>
    <col min="6909" max="7152" width="9" style="131"/>
    <col min="7153" max="7153" width="6.625" style="131" customWidth="1"/>
    <col min="7154" max="7155" width="21.625" style="131" customWidth="1"/>
    <col min="7156" max="7156" width="16.125" style="131" customWidth="1"/>
    <col min="7157" max="7157" width="13.875" style="131" customWidth="1"/>
    <col min="7158" max="7158" width="17.25" style="131" customWidth="1"/>
    <col min="7159" max="7160" width="20.5" style="131" customWidth="1"/>
    <col min="7161" max="7161" width="9" style="131" hidden="1" customWidth="1"/>
    <col min="7162" max="7162" width="18.375" style="131" customWidth="1"/>
    <col min="7163" max="7164" width="9" style="131" hidden="1" customWidth="1"/>
    <col min="7165" max="7408" width="9" style="131"/>
    <col min="7409" max="7409" width="6.625" style="131" customWidth="1"/>
    <col min="7410" max="7411" width="21.625" style="131" customWidth="1"/>
    <col min="7412" max="7412" width="16.125" style="131" customWidth="1"/>
    <col min="7413" max="7413" width="13.875" style="131" customWidth="1"/>
    <col min="7414" max="7414" width="17.25" style="131" customWidth="1"/>
    <col min="7415" max="7416" width="20.5" style="131" customWidth="1"/>
    <col min="7417" max="7417" width="9" style="131" hidden="1" customWidth="1"/>
    <col min="7418" max="7418" width="18.375" style="131" customWidth="1"/>
    <col min="7419" max="7420" width="9" style="131" hidden="1" customWidth="1"/>
    <col min="7421" max="7664" width="9" style="131"/>
    <col min="7665" max="7665" width="6.625" style="131" customWidth="1"/>
    <col min="7666" max="7667" width="21.625" style="131" customWidth="1"/>
    <col min="7668" max="7668" width="16.125" style="131" customWidth="1"/>
    <col min="7669" max="7669" width="13.875" style="131" customWidth="1"/>
    <col min="7670" max="7670" width="17.25" style="131" customWidth="1"/>
    <col min="7671" max="7672" width="20.5" style="131" customWidth="1"/>
    <col min="7673" max="7673" width="9" style="131" hidden="1" customWidth="1"/>
    <col min="7674" max="7674" width="18.375" style="131" customWidth="1"/>
    <col min="7675" max="7676" width="9" style="131" hidden="1" customWidth="1"/>
    <col min="7677" max="7920" width="9" style="131"/>
    <col min="7921" max="7921" width="6.625" style="131" customWidth="1"/>
    <col min="7922" max="7923" width="21.625" style="131" customWidth="1"/>
    <col min="7924" max="7924" width="16.125" style="131" customWidth="1"/>
    <col min="7925" max="7925" width="13.875" style="131" customWidth="1"/>
    <col min="7926" max="7926" width="17.25" style="131" customWidth="1"/>
    <col min="7927" max="7928" width="20.5" style="131" customWidth="1"/>
    <col min="7929" max="7929" width="9" style="131" hidden="1" customWidth="1"/>
    <col min="7930" max="7930" width="18.375" style="131" customWidth="1"/>
    <col min="7931" max="7932" width="9" style="131" hidden="1" customWidth="1"/>
    <col min="7933" max="8176" width="9" style="131"/>
    <col min="8177" max="8177" width="6.625" style="131" customWidth="1"/>
    <col min="8178" max="8179" width="21.625" style="131" customWidth="1"/>
    <col min="8180" max="8180" width="16.125" style="131" customWidth="1"/>
    <col min="8181" max="8181" width="13.875" style="131" customWidth="1"/>
    <col min="8182" max="8182" width="17.25" style="131" customWidth="1"/>
    <col min="8183" max="8184" width="20.5" style="131" customWidth="1"/>
    <col min="8185" max="8185" width="9" style="131" hidden="1" customWidth="1"/>
    <col min="8186" max="8186" width="18.375" style="131" customWidth="1"/>
    <col min="8187" max="8188" width="9" style="131" hidden="1" customWidth="1"/>
    <col min="8189" max="8432" width="9" style="131"/>
    <col min="8433" max="8433" width="6.625" style="131" customWidth="1"/>
    <col min="8434" max="8435" width="21.625" style="131" customWidth="1"/>
    <col min="8436" max="8436" width="16.125" style="131" customWidth="1"/>
    <col min="8437" max="8437" width="13.875" style="131" customWidth="1"/>
    <col min="8438" max="8438" width="17.25" style="131" customWidth="1"/>
    <col min="8439" max="8440" width="20.5" style="131" customWidth="1"/>
    <col min="8441" max="8441" width="9" style="131" hidden="1" customWidth="1"/>
    <col min="8442" max="8442" width="18.375" style="131" customWidth="1"/>
    <col min="8443" max="8444" width="9" style="131" hidden="1" customWidth="1"/>
    <col min="8445" max="8688" width="9" style="131"/>
    <col min="8689" max="8689" width="6.625" style="131" customWidth="1"/>
    <col min="8690" max="8691" width="21.625" style="131" customWidth="1"/>
    <col min="8692" max="8692" width="16.125" style="131" customWidth="1"/>
    <col min="8693" max="8693" width="13.875" style="131" customWidth="1"/>
    <col min="8694" max="8694" width="17.25" style="131" customWidth="1"/>
    <col min="8695" max="8696" width="20.5" style="131" customWidth="1"/>
    <col min="8697" max="8697" width="9" style="131" hidden="1" customWidth="1"/>
    <col min="8698" max="8698" width="18.375" style="131" customWidth="1"/>
    <col min="8699" max="8700" width="9" style="131" hidden="1" customWidth="1"/>
    <col min="8701" max="8944" width="9" style="131"/>
    <col min="8945" max="8945" width="6.625" style="131" customWidth="1"/>
    <col min="8946" max="8947" width="21.625" style="131" customWidth="1"/>
    <col min="8948" max="8948" width="16.125" style="131" customWidth="1"/>
    <col min="8949" max="8949" width="13.875" style="131" customWidth="1"/>
    <col min="8950" max="8950" width="17.25" style="131" customWidth="1"/>
    <col min="8951" max="8952" width="20.5" style="131" customWidth="1"/>
    <col min="8953" max="8953" width="9" style="131" hidden="1" customWidth="1"/>
    <col min="8954" max="8954" width="18.375" style="131" customWidth="1"/>
    <col min="8955" max="8956" width="9" style="131" hidden="1" customWidth="1"/>
    <col min="8957" max="9200" width="9" style="131"/>
    <col min="9201" max="9201" width="6.625" style="131" customWidth="1"/>
    <col min="9202" max="9203" width="21.625" style="131" customWidth="1"/>
    <col min="9204" max="9204" width="16.125" style="131" customWidth="1"/>
    <col min="9205" max="9205" width="13.875" style="131" customWidth="1"/>
    <col min="9206" max="9206" width="17.25" style="131" customWidth="1"/>
    <col min="9207" max="9208" width="20.5" style="131" customWidth="1"/>
    <col min="9209" max="9209" width="9" style="131" hidden="1" customWidth="1"/>
    <col min="9210" max="9210" width="18.375" style="131" customWidth="1"/>
    <col min="9211" max="9212" width="9" style="131" hidden="1" customWidth="1"/>
    <col min="9213" max="9456" width="9" style="131"/>
    <col min="9457" max="9457" width="6.625" style="131" customWidth="1"/>
    <col min="9458" max="9459" width="21.625" style="131" customWidth="1"/>
    <col min="9460" max="9460" width="16.125" style="131" customWidth="1"/>
    <col min="9461" max="9461" width="13.875" style="131" customWidth="1"/>
    <col min="9462" max="9462" width="17.25" style="131" customWidth="1"/>
    <col min="9463" max="9464" width="20.5" style="131" customWidth="1"/>
    <col min="9465" max="9465" width="9" style="131" hidden="1" customWidth="1"/>
    <col min="9466" max="9466" width="18.375" style="131" customWidth="1"/>
    <col min="9467" max="9468" width="9" style="131" hidden="1" customWidth="1"/>
    <col min="9469" max="9712" width="9" style="131"/>
    <col min="9713" max="9713" width="6.625" style="131" customWidth="1"/>
    <col min="9714" max="9715" width="21.625" style="131" customWidth="1"/>
    <col min="9716" max="9716" width="16.125" style="131" customWidth="1"/>
    <col min="9717" max="9717" width="13.875" style="131" customWidth="1"/>
    <col min="9718" max="9718" width="17.25" style="131" customWidth="1"/>
    <col min="9719" max="9720" width="20.5" style="131" customWidth="1"/>
    <col min="9721" max="9721" width="9" style="131" hidden="1" customWidth="1"/>
    <col min="9722" max="9722" width="18.375" style="131" customWidth="1"/>
    <col min="9723" max="9724" width="9" style="131" hidden="1" customWidth="1"/>
    <col min="9725" max="9968" width="9" style="131"/>
    <col min="9969" max="9969" width="6.625" style="131" customWidth="1"/>
    <col min="9970" max="9971" width="21.625" style="131" customWidth="1"/>
    <col min="9972" max="9972" width="16.125" style="131" customWidth="1"/>
    <col min="9973" max="9973" width="13.875" style="131" customWidth="1"/>
    <col min="9974" max="9974" width="17.25" style="131" customWidth="1"/>
    <col min="9975" max="9976" width="20.5" style="131" customWidth="1"/>
    <col min="9977" max="9977" width="9" style="131" hidden="1" customWidth="1"/>
    <col min="9978" max="9978" width="18.375" style="131" customWidth="1"/>
    <col min="9979" max="9980" width="9" style="131" hidden="1" customWidth="1"/>
    <col min="9981" max="10224" width="9" style="131"/>
    <col min="10225" max="10225" width="6.625" style="131" customWidth="1"/>
    <col min="10226" max="10227" width="21.625" style="131" customWidth="1"/>
    <col min="10228" max="10228" width="16.125" style="131" customWidth="1"/>
    <col min="10229" max="10229" width="13.875" style="131" customWidth="1"/>
    <col min="10230" max="10230" width="17.25" style="131" customWidth="1"/>
    <col min="10231" max="10232" width="20.5" style="131" customWidth="1"/>
    <col min="10233" max="10233" width="9" style="131" hidden="1" customWidth="1"/>
    <col min="10234" max="10234" width="18.375" style="131" customWidth="1"/>
    <col min="10235" max="10236" width="9" style="131" hidden="1" customWidth="1"/>
    <col min="10237" max="10480" width="9" style="131"/>
    <col min="10481" max="10481" width="6.625" style="131" customWidth="1"/>
    <col min="10482" max="10483" width="21.625" style="131" customWidth="1"/>
    <col min="10484" max="10484" width="16.125" style="131" customWidth="1"/>
    <col min="10485" max="10485" width="13.875" style="131" customWidth="1"/>
    <col min="10486" max="10486" width="17.25" style="131" customWidth="1"/>
    <col min="10487" max="10488" width="20.5" style="131" customWidth="1"/>
    <col min="10489" max="10489" width="9" style="131" hidden="1" customWidth="1"/>
    <col min="10490" max="10490" width="18.375" style="131" customWidth="1"/>
    <col min="10491" max="10492" width="9" style="131" hidden="1" customWidth="1"/>
    <col min="10493" max="10736" width="9" style="131"/>
    <col min="10737" max="10737" width="6.625" style="131" customWidth="1"/>
    <col min="10738" max="10739" width="21.625" style="131" customWidth="1"/>
    <col min="10740" max="10740" width="16.125" style="131" customWidth="1"/>
    <col min="10741" max="10741" width="13.875" style="131" customWidth="1"/>
    <col min="10742" max="10742" width="17.25" style="131" customWidth="1"/>
    <col min="10743" max="10744" width="20.5" style="131" customWidth="1"/>
    <col min="10745" max="10745" width="9" style="131" hidden="1" customWidth="1"/>
    <col min="10746" max="10746" width="18.375" style="131" customWidth="1"/>
    <col min="10747" max="10748" width="9" style="131" hidden="1" customWidth="1"/>
    <col min="10749" max="10992" width="9" style="131"/>
    <col min="10993" max="10993" width="6.625" style="131" customWidth="1"/>
    <col min="10994" max="10995" width="21.625" style="131" customWidth="1"/>
    <col min="10996" max="10996" width="16.125" style="131" customWidth="1"/>
    <col min="10997" max="10997" width="13.875" style="131" customWidth="1"/>
    <col min="10998" max="10998" width="17.25" style="131" customWidth="1"/>
    <col min="10999" max="11000" width="20.5" style="131" customWidth="1"/>
    <col min="11001" max="11001" width="9" style="131" hidden="1" customWidth="1"/>
    <col min="11002" max="11002" width="18.375" style="131" customWidth="1"/>
    <col min="11003" max="11004" width="9" style="131" hidden="1" customWidth="1"/>
    <col min="11005" max="11248" width="9" style="131"/>
    <col min="11249" max="11249" width="6.625" style="131" customWidth="1"/>
    <col min="11250" max="11251" width="21.625" style="131" customWidth="1"/>
    <col min="11252" max="11252" width="16.125" style="131" customWidth="1"/>
    <col min="11253" max="11253" width="13.875" style="131" customWidth="1"/>
    <col min="11254" max="11254" width="17.25" style="131" customWidth="1"/>
    <col min="11255" max="11256" width="20.5" style="131" customWidth="1"/>
    <col min="11257" max="11257" width="9" style="131" hidden="1" customWidth="1"/>
    <col min="11258" max="11258" width="18.375" style="131" customWidth="1"/>
    <col min="11259" max="11260" width="9" style="131" hidden="1" customWidth="1"/>
    <col min="11261" max="11504" width="9" style="131"/>
    <col min="11505" max="11505" width="6.625" style="131" customWidth="1"/>
    <col min="11506" max="11507" width="21.625" style="131" customWidth="1"/>
    <col min="11508" max="11508" width="16.125" style="131" customWidth="1"/>
    <col min="11509" max="11509" width="13.875" style="131" customWidth="1"/>
    <col min="11510" max="11510" width="17.25" style="131" customWidth="1"/>
    <col min="11511" max="11512" width="20.5" style="131" customWidth="1"/>
    <col min="11513" max="11513" width="9" style="131" hidden="1" customWidth="1"/>
    <col min="11514" max="11514" width="18.375" style="131" customWidth="1"/>
    <col min="11515" max="11516" width="9" style="131" hidden="1" customWidth="1"/>
    <col min="11517" max="11760" width="9" style="131"/>
    <col min="11761" max="11761" width="6.625" style="131" customWidth="1"/>
    <col min="11762" max="11763" width="21.625" style="131" customWidth="1"/>
    <col min="11764" max="11764" width="16.125" style="131" customWidth="1"/>
    <col min="11765" max="11765" width="13.875" style="131" customWidth="1"/>
    <col min="11766" max="11766" width="17.25" style="131" customWidth="1"/>
    <col min="11767" max="11768" width="20.5" style="131" customWidth="1"/>
    <col min="11769" max="11769" width="9" style="131" hidden="1" customWidth="1"/>
    <col min="11770" max="11770" width="18.375" style="131" customWidth="1"/>
    <col min="11771" max="11772" width="9" style="131" hidden="1" customWidth="1"/>
    <col min="11773" max="12016" width="9" style="131"/>
    <col min="12017" max="12017" width="6.625" style="131" customWidth="1"/>
    <col min="12018" max="12019" width="21.625" style="131" customWidth="1"/>
    <col min="12020" max="12020" width="16.125" style="131" customWidth="1"/>
    <col min="12021" max="12021" width="13.875" style="131" customWidth="1"/>
    <col min="12022" max="12022" width="17.25" style="131" customWidth="1"/>
    <col min="12023" max="12024" width="20.5" style="131" customWidth="1"/>
    <col min="12025" max="12025" width="9" style="131" hidden="1" customWidth="1"/>
    <col min="12026" max="12026" width="18.375" style="131" customWidth="1"/>
    <col min="12027" max="12028" width="9" style="131" hidden="1" customWidth="1"/>
    <col min="12029" max="12272" width="9" style="131"/>
    <col min="12273" max="12273" width="6.625" style="131" customWidth="1"/>
    <col min="12274" max="12275" width="21.625" style="131" customWidth="1"/>
    <col min="12276" max="12276" width="16.125" style="131" customWidth="1"/>
    <col min="12277" max="12277" width="13.875" style="131" customWidth="1"/>
    <col min="12278" max="12278" width="17.25" style="131" customWidth="1"/>
    <col min="12279" max="12280" width="20.5" style="131" customWidth="1"/>
    <col min="12281" max="12281" width="9" style="131" hidden="1" customWidth="1"/>
    <col min="12282" max="12282" width="18.375" style="131" customWidth="1"/>
    <col min="12283" max="12284" width="9" style="131" hidden="1" customWidth="1"/>
    <col min="12285" max="12528" width="9" style="131"/>
    <col min="12529" max="12529" width="6.625" style="131" customWidth="1"/>
    <col min="12530" max="12531" width="21.625" style="131" customWidth="1"/>
    <col min="12532" max="12532" width="16.125" style="131" customWidth="1"/>
    <col min="12533" max="12533" width="13.875" style="131" customWidth="1"/>
    <col min="12534" max="12534" width="17.25" style="131" customWidth="1"/>
    <col min="12535" max="12536" width="20.5" style="131" customWidth="1"/>
    <col min="12537" max="12537" width="9" style="131" hidden="1" customWidth="1"/>
    <col min="12538" max="12538" width="18.375" style="131" customWidth="1"/>
    <col min="12539" max="12540" width="9" style="131" hidden="1" customWidth="1"/>
    <col min="12541" max="12784" width="9" style="131"/>
    <col min="12785" max="12785" width="6.625" style="131" customWidth="1"/>
    <col min="12786" max="12787" width="21.625" style="131" customWidth="1"/>
    <col min="12788" max="12788" width="16.125" style="131" customWidth="1"/>
    <col min="12789" max="12789" width="13.875" style="131" customWidth="1"/>
    <col min="12790" max="12790" width="17.25" style="131" customWidth="1"/>
    <col min="12791" max="12792" width="20.5" style="131" customWidth="1"/>
    <col min="12793" max="12793" width="9" style="131" hidden="1" customWidth="1"/>
    <col min="12794" max="12794" width="18.375" style="131" customWidth="1"/>
    <col min="12795" max="12796" width="9" style="131" hidden="1" customWidth="1"/>
    <col min="12797" max="13040" width="9" style="131"/>
    <col min="13041" max="13041" width="6.625" style="131" customWidth="1"/>
    <col min="13042" max="13043" width="21.625" style="131" customWidth="1"/>
    <col min="13044" max="13044" width="16.125" style="131" customWidth="1"/>
    <col min="13045" max="13045" width="13.875" style="131" customWidth="1"/>
    <col min="13046" max="13046" width="17.25" style="131" customWidth="1"/>
    <col min="13047" max="13048" width="20.5" style="131" customWidth="1"/>
    <col min="13049" max="13049" width="9" style="131" hidden="1" customWidth="1"/>
    <col min="13050" max="13050" width="18.375" style="131" customWidth="1"/>
    <col min="13051" max="13052" width="9" style="131" hidden="1" customWidth="1"/>
    <col min="13053" max="13296" width="9" style="131"/>
    <col min="13297" max="13297" width="6.625" style="131" customWidth="1"/>
    <col min="13298" max="13299" width="21.625" style="131" customWidth="1"/>
    <col min="13300" max="13300" width="16.125" style="131" customWidth="1"/>
    <col min="13301" max="13301" width="13.875" style="131" customWidth="1"/>
    <col min="13302" max="13302" width="17.25" style="131" customWidth="1"/>
    <col min="13303" max="13304" width="20.5" style="131" customWidth="1"/>
    <col min="13305" max="13305" width="9" style="131" hidden="1" customWidth="1"/>
    <col min="13306" max="13306" width="18.375" style="131" customWidth="1"/>
    <col min="13307" max="13308" width="9" style="131" hidden="1" customWidth="1"/>
    <col min="13309" max="13552" width="9" style="131"/>
    <col min="13553" max="13553" width="6.625" style="131" customWidth="1"/>
    <col min="13554" max="13555" width="21.625" style="131" customWidth="1"/>
    <col min="13556" max="13556" width="16.125" style="131" customWidth="1"/>
    <col min="13557" max="13557" width="13.875" style="131" customWidth="1"/>
    <col min="13558" max="13558" width="17.25" style="131" customWidth="1"/>
    <col min="13559" max="13560" width="20.5" style="131" customWidth="1"/>
    <col min="13561" max="13561" width="9" style="131" hidden="1" customWidth="1"/>
    <col min="13562" max="13562" width="18.375" style="131" customWidth="1"/>
    <col min="13563" max="13564" width="9" style="131" hidden="1" customWidth="1"/>
    <col min="13565" max="13808" width="9" style="131"/>
    <col min="13809" max="13809" width="6.625" style="131" customWidth="1"/>
    <col min="13810" max="13811" width="21.625" style="131" customWidth="1"/>
    <col min="13812" max="13812" width="16.125" style="131" customWidth="1"/>
    <col min="13813" max="13813" width="13.875" style="131" customWidth="1"/>
    <col min="13814" max="13814" width="17.25" style="131" customWidth="1"/>
    <col min="13815" max="13816" width="20.5" style="131" customWidth="1"/>
    <col min="13817" max="13817" width="9" style="131" hidden="1" customWidth="1"/>
    <col min="13818" max="13818" width="18.375" style="131" customWidth="1"/>
    <col min="13819" max="13820" width="9" style="131" hidden="1" customWidth="1"/>
    <col min="13821" max="14064" width="9" style="131"/>
    <col min="14065" max="14065" width="6.625" style="131" customWidth="1"/>
    <col min="14066" max="14067" width="21.625" style="131" customWidth="1"/>
    <col min="14068" max="14068" width="16.125" style="131" customWidth="1"/>
    <col min="14069" max="14069" width="13.875" style="131" customWidth="1"/>
    <col min="14070" max="14070" width="17.25" style="131" customWidth="1"/>
    <col min="14071" max="14072" width="20.5" style="131" customWidth="1"/>
    <col min="14073" max="14073" width="9" style="131" hidden="1" customWidth="1"/>
    <col min="14074" max="14074" width="18.375" style="131" customWidth="1"/>
    <col min="14075" max="14076" width="9" style="131" hidden="1" customWidth="1"/>
    <col min="14077" max="14320" width="9" style="131"/>
    <col min="14321" max="14321" width="6.625" style="131" customWidth="1"/>
    <col min="14322" max="14323" width="21.625" style="131" customWidth="1"/>
    <col min="14324" max="14324" width="16.125" style="131" customWidth="1"/>
    <col min="14325" max="14325" width="13.875" style="131" customWidth="1"/>
    <col min="14326" max="14326" width="17.25" style="131" customWidth="1"/>
    <col min="14327" max="14328" width="20.5" style="131" customWidth="1"/>
    <col min="14329" max="14329" width="9" style="131" hidden="1" customWidth="1"/>
    <col min="14330" max="14330" width="18.375" style="131" customWidth="1"/>
    <col min="14331" max="14332" width="9" style="131" hidden="1" customWidth="1"/>
    <col min="14333" max="14576" width="9" style="131"/>
    <col min="14577" max="14577" width="6.625" style="131" customWidth="1"/>
    <col min="14578" max="14579" width="21.625" style="131" customWidth="1"/>
    <col min="14580" max="14580" width="16.125" style="131" customWidth="1"/>
    <col min="14581" max="14581" width="13.875" style="131" customWidth="1"/>
    <col min="14582" max="14582" width="17.25" style="131" customWidth="1"/>
    <col min="14583" max="14584" width="20.5" style="131" customWidth="1"/>
    <col min="14585" max="14585" width="9" style="131" hidden="1" customWidth="1"/>
    <col min="14586" max="14586" width="18.375" style="131" customWidth="1"/>
    <col min="14587" max="14588" width="9" style="131" hidden="1" customWidth="1"/>
    <col min="14589" max="14832" width="9" style="131"/>
    <col min="14833" max="14833" width="6.625" style="131" customWidth="1"/>
    <col min="14834" max="14835" width="21.625" style="131" customWidth="1"/>
    <col min="14836" max="14836" width="16.125" style="131" customWidth="1"/>
    <col min="14837" max="14837" width="13.875" style="131" customWidth="1"/>
    <col min="14838" max="14838" width="17.25" style="131" customWidth="1"/>
    <col min="14839" max="14840" width="20.5" style="131" customWidth="1"/>
    <col min="14841" max="14841" width="9" style="131" hidden="1" customWidth="1"/>
    <col min="14842" max="14842" width="18.375" style="131" customWidth="1"/>
    <col min="14843" max="14844" width="9" style="131" hidden="1" customWidth="1"/>
    <col min="14845" max="15088" width="9" style="131"/>
    <col min="15089" max="15089" width="6.625" style="131" customWidth="1"/>
    <col min="15090" max="15091" width="21.625" style="131" customWidth="1"/>
    <col min="15092" max="15092" width="16.125" style="131" customWidth="1"/>
    <col min="15093" max="15093" width="13.875" style="131" customWidth="1"/>
    <col min="15094" max="15094" width="17.25" style="131" customWidth="1"/>
    <col min="15095" max="15096" width="20.5" style="131" customWidth="1"/>
    <col min="15097" max="15097" width="9" style="131" hidden="1" customWidth="1"/>
    <col min="15098" max="15098" width="18.375" style="131" customWidth="1"/>
    <col min="15099" max="15100" width="9" style="131" hidden="1" customWidth="1"/>
    <col min="15101" max="15344" width="9" style="131"/>
    <col min="15345" max="15345" width="6.625" style="131" customWidth="1"/>
    <col min="15346" max="15347" width="21.625" style="131" customWidth="1"/>
    <col min="15348" max="15348" width="16.125" style="131" customWidth="1"/>
    <col min="15349" max="15349" width="13.875" style="131" customWidth="1"/>
    <col min="15350" max="15350" width="17.25" style="131" customWidth="1"/>
    <col min="15351" max="15352" width="20.5" style="131" customWidth="1"/>
    <col min="15353" max="15353" width="9" style="131" hidden="1" customWidth="1"/>
    <col min="15354" max="15354" width="18.375" style="131" customWidth="1"/>
    <col min="15355" max="15356" width="9" style="131" hidden="1" customWidth="1"/>
    <col min="15357" max="15600" width="9" style="131"/>
    <col min="15601" max="15601" width="6.625" style="131" customWidth="1"/>
    <col min="15602" max="15603" width="21.625" style="131" customWidth="1"/>
    <col min="15604" max="15604" width="16.125" style="131" customWidth="1"/>
    <col min="15605" max="15605" width="13.875" style="131" customWidth="1"/>
    <col min="15606" max="15606" width="17.25" style="131" customWidth="1"/>
    <col min="15607" max="15608" width="20.5" style="131" customWidth="1"/>
    <col min="15609" max="15609" width="9" style="131" hidden="1" customWidth="1"/>
    <col min="15610" max="15610" width="18.375" style="131" customWidth="1"/>
    <col min="15611" max="15612" width="9" style="131" hidden="1" customWidth="1"/>
    <col min="15613" max="15856" width="9" style="131"/>
    <col min="15857" max="15857" width="6.625" style="131" customWidth="1"/>
    <col min="15858" max="15859" width="21.625" style="131" customWidth="1"/>
    <col min="15860" max="15860" width="16.125" style="131" customWidth="1"/>
    <col min="15861" max="15861" width="13.875" style="131" customWidth="1"/>
    <col min="15862" max="15862" width="17.25" style="131" customWidth="1"/>
    <col min="15863" max="15864" width="20.5" style="131" customWidth="1"/>
    <col min="15865" max="15865" width="9" style="131" hidden="1" customWidth="1"/>
    <col min="15866" max="15866" width="18.375" style="131" customWidth="1"/>
    <col min="15867" max="15868" width="9" style="131" hidden="1" customWidth="1"/>
    <col min="15869" max="16112" width="9" style="131"/>
    <col min="16113" max="16113" width="6.625" style="131" customWidth="1"/>
    <col min="16114" max="16115" width="21.625" style="131" customWidth="1"/>
    <col min="16116" max="16116" width="16.125" style="131" customWidth="1"/>
    <col min="16117" max="16117" width="13.875" style="131" customWidth="1"/>
    <col min="16118" max="16118" width="17.25" style="131" customWidth="1"/>
    <col min="16119" max="16120" width="20.5" style="131" customWidth="1"/>
    <col min="16121" max="16121" width="9" style="131" hidden="1" customWidth="1"/>
    <col min="16122" max="16122" width="18.375" style="131" customWidth="1"/>
    <col min="16123" max="16124" width="9" style="131" hidden="1" customWidth="1"/>
    <col min="16125" max="16384" width="9" style="131"/>
  </cols>
  <sheetData>
    <row r="1" spans="1:7" ht="30" customHeight="1">
      <c r="A1" s="139" t="s">
        <v>374</v>
      </c>
      <c r="B1" s="140"/>
      <c r="C1" s="140"/>
      <c r="D1" s="140"/>
      <c r="E1" s="140"/>
      <c r="F1" s="141"/>
      <c r="G1" s="141"/>
    </row>
    <row r="2" spans="1:7" ht="35.1" customHeight="1">
      <c r="A2" s="142" t="s">
        <v>388</v>
      </c>
      <c r="B2" s="143"/>
      <c r="C2" s="144" t="s">
        <v>375</v>
      </c>
      <c r="D2" s="144"/>
      <c r="E2" s="144"/>
      <c r="F2" s="145"/>
      <c r="G2" s="145"/>
    </row>
    <row r="3" spans="1:7" s="134" customFormat="1" ht="30" customHeight="1">
      <c r="A3" s="132" t="s">
        <v>3</v>
      </c>
      <c r="B3" s="132" t="s">
        <v>376</v>
      </c>
      <c r="C3" s="132" t="s">
        <v>377</v>
      </c>
      <c r="D3" s="133" t="s">
        <v>378</v>
      </c>
      <c r="E3" s="132" t="s">
        <v>379</v>
      </c>
      <c r="F3" s="132" t="s">
        <v>380</v>
      </c>
      <c r="G3" s="132" t="s">
        <v>381</v>
      </c>
    </row>
    <row r="4" spans="1:7" ht="30" customHeight="1">
      <c r="A4" s="135">
        <v>1</v>
      </c>
      <c r="B4" s="135" t="s">
        <v>0</v>
      </c>
      <c r="C4" s="136">
        <f>颛桥!T5+清算2024年绩效!Q19+补缴年金!J4</f>
        <v>375192509.03999996</v>
      </c>
      <c r="D4" s="136">
        <f>补缴年金!J4</f>
        <v>23988.42</v>
      </c>
      <c r="E4" s="136">
        <f>C4-D4</f>
        <v>375168520.61999995</v>
      </c>
      <c r="F4" s="136"/>
      <c r="G4" s="136">
        <f>C4-F4-D4</f>
        <v>375168520.61999995</v>
      </c>
    </row>
    <row r="5" spans="1:7" ht="30" customHeight="1">
      <c r="A5" s="132">
        <v>2</v>
      </c>
      <c r="B5" s="132" t="s">
        <v>1</v>
      </c>
      <c r="C5" s="137">
        <f>颛桥!T37</f>
        <v>67734418.019999996</v>
      </c>
      <c r="D5" s="137"/>
      <c r="E5" s="136">
        <f t="shared" ref="E5:E11" si="0">C5-D5</f>
        <v>67734418.019999996</v>
      </c>
      <c r="F5" s="137"/>
      <c r="G5" s="136">
        <f t="shared" ref="G5:G11" si="1">C5-F5-D5</f>
        <v>67734418.019999996</v>
      </c>
    </row>
    <row r="6" spans="1:7" ht="30" customHeight="1">
      <c r="A6" s="132">
        <v>3</v>
      </c>
      <c r="B6" s="132" t="s">
        <v>382</v>
      </c>
      <c r="C6" s="137">
        <f>颛桥!T32</f>
        <v>6566040</v>
      </c>
      <c r="D6" s="137"/>
      <c r="E6" s="136">
        <f t="shared" si="0"/>
        <v>6566040</v>
      </c>
      <c r="F6" s="137"/>
      <c r="G6" s="136">
        <f t="shared" si="1"/>
        <v>6566040</v>
      </c>
    </row>
    <row r="7" spans="1:7" ht="30" customHeight="1">
      <c r="A7" s="135">
        <v>4</v>
      </c>
      <c r="B7" s="132" t="s">
        <v>383</v>
      </c>
      <c r="C7" s="137">
        <f>残疾就业保障!E18</f>
        <v>2696173.4799999995</v>
      </c>
      <c r="D7" s="137"/>
      <c r="E7" s="136">
        <f t="shared" si="0"/>
        <v>2696173.4799999995</v>
      </c>
      <c r="F7" s="137"/>
      <c r="G7" s="136">
        <f t="shared" si="1"/>
        <v>2696173.4799999995</v>
      </c>
    </row>
    <row r="8" spans="1:7" ht="30" customHeight="1">
      <c r="A8" s="132">
        <v>5</v>
      </c>
      <c r="B8" s="132" t="s">
        <v>384</v>
      </c>
      <c r="C8" s="137">
        <f>社区教育!C4</f>
        <v>648114</v>
      </c>
      <c r="D8" s="137"/>
      <c r="E8" s="136">
        <f t="shared" si="0"/>
        <v>648114</v>
      </c>
      <c r="F8" s="137"/>
      <c r="G8" s="136">
        <f t="shared" si="1"/>
        <v>648114</v>
      </c>
    </row>
    <row r="9" spans="1:7" ht="30" customHeight="1">
      <c r="A9" s="132">
        <v>6</v>
      </c>
      <c r="B9" s="132" t="s">
        <v>385</v>
      </c>
      <c r="C9" s="137">
        <f>保安经费!G27</f>
        <v>13860000</v>
      </c>
      <c r="D9" s="137"/>
      <c r="E9" s="136">
        <f t="shared" si="0"/>
        <v>13860000</v>
      </c>
      <c r="F9" s="137">
        <f>C9</f>
        <v>13860000</v>
      </c>
      <c r="G9" s="136">
        <f t="shared" si="1"/>
        <v>0</v>
      </c>
    </row>
    <row r="10" spans="1:7" ht="30" customHeight="1">
      <c r="A10" s="135">
        <v>7</v>
      </c>
      <c r="B10" s="132" t="s">
        <v>386</v>
      </c>
      <c r="C10" s="137">
        <v>40000</v>
      </c>
      <c r="D10" s="137"/>
      <c r="E10" s="136">
        <f t="shared" si="0"/>
        <v>40000</v>
      </c>
      <c r="F10" s="137"/>
      <c r="G10" s="136">
        <f t="shared" si="1"/>
        <v>40000</v>
      </c>
    </row>
    <row r="11" spans="1:7" ht="30" customHeight="1">
      <c r="A11" s="132">
        <v>8</v>
      </c>
      <c r="B11" s="132" t="s">
        <v>387</v>
      </c>
      <c r="C11" s="137">
        <f>补充公用经费!AO18+清算补充公用经费!E11</f>
        <v>44969429</v>
      </c>
      <c r="D11" s="137"/>
      <c r="E11" s="136">
        <f t="shared" si="0"/>
        <v>44969429</v>
      </c>
      <c r="F11" s="137"/>
      <c r="G11" s="136">
        <f t="shared" si="1"/>
        <v>44969429</v>
      </c>
    </row>
    <row r="12" spans="1:7" ht="30" customHeight="1">
      <c r="A12" s="132"/>
      <c r="B12" s="132" t="s">
        <v>7</v>
      </c>
      <c r="C12" s="137">
        <f>SUM(C4:C11)</f>
        <v>511706683.53999996</v>
      </c>
      <c r="D12" s="137">
        <f>SUM(D4:D11)</f>
        <v>23988.42</v>
      </c>
      <c r="E12" s="137">
        <f>SUM(E4:E11)</f>
        <v>511682695.11999995</v>
      </c>
      <c r="F12" s="137">
        <f>SUM(F4:F11)</f>
        <v>13860000</v>
      </c>
      <c r="G12" s="137">
        <f>SUM(G4:G11)</f>
        <v>497822695.11999995</v>
      </c>
    </row>
    <row r="13" spans="1:7" ht="30" customHeight="1"/>
    <row r="14" spans="1:7" ht="30" customHeight="1"/>
  </sheetData>
  <mergeCells count="3">
    <mergeCell ref="A1:G1"/>
    <mergeCell ref="A2:B2"/>
    <mergeCell ref="C2:G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3"/>
  <sheetViews>
    <sheetView topLeftCell="B16" workbookViewId="0">
      <selection activeCell="H52" sqref="H52"/>
    </sheetView>
  </sheetViews>
  <sheetFormatPr defaultColWidth="12.625" defaultRowHeight="11.25"/>
  <cols>
    <col min="1" max="1" width="4.5" style="9" customWidth="1"/>
    <col min="2" max="2" width="23.5" style="1" customWidth="1"/>
    <col min="3" max="3" width="11.875" style="1" hidden="1" customWidth="1"/>
    <col min="4" max="4" width="8.125" style="10" hidden="1" customWidth="1"/>
    <col min="5" max="19" width="11.625" style="1" customWidth="1"/>
    <col min="20" max="20" width="11.625" style="11" customWidth="1"/>
    <col min="21" max="16384" width="12.625" style="1"/>
  </cols>
  <sheetData>
    <row r="1" spans="1:20" ht="25.5">
      <c r="A1" s="146" t="s">
        <v>168</v>
      </c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  <c r="M1" s="147"/>
      <c r="N1" s="147"/>
      <c r="O1" s="147"/>
      <c r="P1" s="147"/>
      <c r="Q1" s="147"/>
      <c r="R1" s="147"/>
      <c r="S1" s="147"/>
      <c r="T1" s="147"/>
    </row>
    <row r="2" spans="1:20" ht="20.100000000000001" customHeight="1">
      <c r="A2" s="149" t="s">
        <v>3</v>
      </c>
      <c r="B2" s="149" t="s">
        <v>4</v>
      </c>
      <c r="C2" s="149" t="s">
        <v>5</v>
      </c>
      <c r="D2" s="149" t="s">
        <v>6</v>
      </c>
      <c r="E2" s="21" t="s">
        <v>125</v>
      </c>
      <c r="F2" s="21" t="s">
        <v>126</v>
      </c>
      <c r="G2" s="21" t="s">
        <v>127</v>
      </c>
      <c r="H2" s="21" t="s">
        <v>128</v>
      </c>
      <c r="I2" s="21" t="s">
        <v>129</v>
      </c>
      <c r="J2" s="21" t="s">
        <v>130</v>
      </c>
      <c r="K2" s="21" t="s">
        <v>131</v>
      </c>
      <c r="L2" s="21" t="s">
        <v>132</v>
      </c>
      <c r="M2" s="21" t="s">
        <v>133</v>
      </c>
      <c r="N2" s="21" t="s">
        <v>134</v>
      </c>
      <c r="O2" s="21" t="s">
        <v>135</v>
      </c>
      <c r="P2" s="21" t="s">
        <v>136</v>
      </c>
      <c r="Q2" s="21" t="s">
        <v>169</v>
      </c>
      <c r="R2" s="21" t="s">
        <v>170</v>
      </c>
      <c r="S2" s="21" t="s">
        <v>171</v>
      </c>
      <c r="T2" s="149" t="s">
        <v>7</v>
      </c>
    </row>
    <row r="3" spans="1:20" ht="20.100000000000001" customHeight="1">
      <c r="A3" s="150"/>
      <c r="B3" s="150"/>
      <c r="C3" s="150"/>
      <c r="D3" s="150"/>
      <c r="E3" s="21" t="s">
        <v>203</v>
      </c>
      <c r="F3" s="21" t="s">
        <v>203</v>
      </c>
      <c r="G3" s="21" t="s">
        <v>202</v>
      </c>
      <c r="H3" s="21" t="s">
        <v>202</v>
      </c>
      <c r="I3" s="21" t="s">
        <v>202</v>
      </c>
      <c r="J3" s="21" t="s">
        <v>202</v>
      </c>
      <c r="K3" s="21" t="s">
        <v>199</v>
      </c>
      <c r="L3" s="21" t="s">
        <v>199</v>
      </c>
      <c r="M3" s="21" t="s">
        <v>199</v>
      </c>
      <c r="N3" s="21" t="s">
        <v>199</v>
      </c>
      <c r="O3" s="21" t="s">
        <v>201</v>
      </c>
      <c r="P3" s="21" t="s">
        <v>200</v>
      </c>
      <c r="Q3" s="21" t="s">
        <v>199</v>
      </c>
      <c r="R3" s="21" t="s">
        <v>203</v>
      </c>
      <c r="S3" s="21" t="s">
        <v>199</v>
      </c>
      <c r="T3" s="150"/>
    </row>
    <row r="4" spans="1:20" ht="20.100000000000001" customHeight="1">
      <c r="A4" s="23" t="s">
        <v>8</v>
      </c>
      <c r="B4" s="24" t="s">
        <v>9</v>
      </c>
      <c r="C4" s="24"/>
      <c r="D4" s="25" t="s">
        <v>10</v>
      </c>
      <c r="E4" s="20">
        <f t="shared" ref="E4:S4" si="0">E5+E32+E37</f>
        <v>54543098</v>
      </c>
      <c r="F4" s="20">
        <f t="shared" si="0"/>
        <v>33998741.420000002</v>
      </c>
      <c r="G4" s="20">
        <f t="shared" si="0"/>
        <v>35345707.850000001</v>
      </c>
      <c r="H4" s="20">
        <f t="shared" si="0"/>
        <v>37169830.579999998</v>
      </c>
      <c r="I4" s="20">
        <f t="shared" si="0"/>
        <v>81358433.019999996</v>
      </c>
      <c r="J4" s="20">
        <f t="shared" si="0"/>
        <v>24678234.799999997</v>
      </c>
      <c r="K4" s="20">
        <f t="shared" si="0"/>
        <v>21121154.180000003</v>
      </c>
      <c r="L4" s="20">
        <f t="shared" si="0"/>
        <v>18230312.050000001</v>
      </c>
      <c r="M4" s="20">
        <f t="shared" si="0"/>
        <v>15264764.600000001</v>
      </c>
      <c r="N4" s="20">
        <f t="shared" si="0"/>
        <v>16255652.65</v>
      </c>
      <c r="O4" s="20">
        <f t="shared" si="0"/>
        <v>57176650.079999998</v>
      </c>
      <c r="P4" s="20">
        <f t="shared" si="0"/>
        <v>2168252.27</v>
      </c>
      <c r="Q4" s="20">
        <f t="shared" si="0"/>
        <v>6255688.7299999995</v>
      </c>
      <c r="R4" s="20">
        <f t="shared" si="0"/>
        <v>37264985.280000001</v>
      </c>
      <c r="S4" s="20">
        <f t="shared" si="0"/>
        <v>11821625.379999999</v>
      </c>
      <c r="T4" s="26">
        <f>SUM(E4:S4)</f>
        <v>452653130.88999999</v>
      </c>
    </row>
    <row r="5" spans="1:20" ht="20.100000000000001" customHeight="1">
      <c r="A5" s="23" t="s">
        <v>11</v>
      </c>
      <c r="B5" s="24" t="s">
        <v>0</v>
      </c>
      <c r="C5" s="24"/>
      <c r="D5" s="25" t="s">
        <v>10</v>
      </c>
      <c r="E5" s="20">
        <f>E6+E9+E13+E16+E21+E26+E28+E30+E31</f>
        <v>44642376</v>
      </c>
      <c r="F5" s="20">
        <f t="shared" ref="F5:S5" si="1">F6+F9+F13+F16+F21+F26+F28+F30+F31</f>
        <v>28039746.850000001</v>
      </c>
      <c r="G5" s="20">
        <f t="shared" si="1"/>
        <v>29046767.710000001</v>
      </c>
      <c r="H5" s="20">
        <f t="shared" si="1"/>
        <v>31542499.149999999</v>
      </c>
      <c r="I5" s="20">
        <f t="shared" si="1"/>
        <v>68203284.849999994</v>
      </c>
      <c r="J5" s="20">
        <f t="shared" si="1"/>
        <v>20988874.289999999</v>
      </c>
      <c r="K5" s="20">
        <f t="shared" si="1"/>
        <v>18041181.150000002</v>
      </c>
      <c r="L5" s="20">
        <f t="shared" si="1"/>
        <v>14440029.710000001</v>
      </c>
      <c r="M5" s="20">
        <f t="shared" si="1"/>
        <v>12796217.710000001</v>
      </c>
      <c r="N5" s="20">
        <f t="shared" si="1"/>
        <v>13983989.710000001</v>
      </c>
      <c r="O5" s="20">
        <f t="shared" si="1"/>
        <v>48615909.439999998</v>
      </c>
      <c r="P5" s="20">
        <f t="shared" si="1"/>
        <v>1844086.5599999998</v>
      </c>
      <c r="Q5" s="20">
        <f t="shared" si="1"/>
        <v>5140763.4399999995</v>
      </c>
      <c r="R5" s="20">
        <f t="shared" si="1"/>
        <v>31125677.149999999</v>
      </c>
      <c r="S5" s="20">
        <f t="shared" si="1"/>
        <v>9901269.1499999985</v>
      </c>
      <c r="T5" s="26">
        <f t="shared" ref="T5:T32" si="2">SUM(E5:S5)</f>
        <v>378352672.86999995</v>
      </c>
    </row>
    <row r="6" spans="1:20" ht="20.100000000000001" customHeight="1">
      <c r="A6" s="23" t="s">
        <v>12</v>
      </c>
      <c r="B6" s="24" t="s">
        <v>13</v>
      </c>
      <c r="C6" s="24"/>
      <c r="D6" s="25" t="s">
        <v>10</v>
      </c>
      <c r="E6" s="20">
        <f>E7+E8</f>
        <v>5655684</v>
      </c>
      <c r="F6" s="20">
        <f t="shared" ref="F6:S6" si="3">F7+F8</f>
        <v>3729912</v>
      </c>
      <c r="G6" s="20">
        <f t="shared" si="3"/>
        <v>4124088</v>
      </c>
      <c r="H6" s="20">
        <f t="shared" si="3"/>
        <v>4477608</v>
      </c>
      <c r="I6" s="20">
        <f t="shared" si="3"/>
        <v>8628396</v>
      </c>
      <c r="J6" s="20">
        <f t="shared" si="3"/>
        <v>2452596</v>
      </c>
      <c r="K6" s="20">
        <f t="shared" si="3"/>
        <v>2573184</v>
      </c>
      <c r="L6" s="20">
        <f t="shared" si="3"/>
        <v>2074392</v>
      </c>
      <c r="M6" s="20">
        <f t="shared" si="3"/>
        <v>1690656</v>
      </c>
      <c r="N6" s="20">
        <f t="shared" si="3"/>
        <v>1923372</v>
      </c>
      <c r="O6" s="20">
        <f t="shared" si="3"/>
        <v>5945388</v>
      </c>
      <c r="P6" s="20">
        <f t="shared" si="3"/>
        <v>248256</v>
      </c>
      <c r="Q6" s="20">
        <f t="shared" si="3"/>
        <v>626304</v>
      </c>
      <c r="R6" s="20">
        <f t="shared" si="3"/>
        <v>3279684</v>
      </c>
      <c r="S6" s="20">
        <f t="shared" si="3"/>
        <v>1311504</v>
      </c>
      <c r="T6" s="26">
        <f t="shared" si="2"/>
        <v>48741024</v>
      </c>
    </row>
    <row r="7" spans="1:20" ht="20.100000000000001" customHeight="1">
      <c r="A7" s="23" t="s">
        <v>14</v>
      </c>
      <c r="B7" s="24" t="s">
        <v>15</v>
      </c>
      <c r="C7" s="24" t="s">
        <v>16</v>
      </c>
      <c r="D7" s="25" t="s">
        <v>17</v>
      </c>
      <c r="E7" s="22">
        <f>260255*12</f>
        <v>3123060</v>
      </c>
      <c r="F7" s="22">
        <f>174196*12</f>
        <v>2090352</v>
      </c>
      <c r="G7" s="22">
        <f>175147*12</f>
        <v>2101764</v>
      </c>
      <c r="H7" s="22">
        <f>198727*12</f>
        <v>2384724</v>
      </c>
      <c r="I7" s="22">
        <f>430218*12</f>
        <v>5162616</v>
      </c>
      <c r="J7" s="22">
        <f>129657*12</f>
        <v>1555884</v>
      </c>
      <c r="K7" s="22">
        <f>119383*12</f>
        <v>1432596</v>
      </c>
      <c r="L7" s="22">
        <f>99210*12</f>
        <v>1190520</v>
      </c>
      <c r="M7" s="22">
        <f>86647*12</f>
        <v>1039764</v>
      </c>
      <c r="N7" s="22">
        <f>95558*12</f>
        <v>1146696</v>
      </c>
      <c r="O7" s="22">
        <f>295759*12</f>
        <v>3549108</v>
      </c>
      <c r="P7" s="22">
        <f>11583*12</f>
        <v>138996</v>
      </c>
      <c r="Q7" s="22">
        <f>34843*12</f>
        <v>418116</v>
      </c>
      <c r="R7" s="22">
        <f>179760*12</f>
        <v>2157120</v>
      </c>
      <c r="S7" s="22">
        <f>66319*12</f>
        <v>795828</v>
      </c>
      <c r="T7" s="26">
        <f t="shared" si="2"/>
        <v>28287144</v>
      </c>
    </row>
    <row r="8" spans="1:20" ht="20.100000000000001" customHeight="1">
      <c r="A8" s="23" t="s">
        <v>18</v>
      </c>
      <c r="B8" s="24" t="s">
        <v>19</v>
      </c>
      <c r="C8" s="24" t="s">
        <v>16</v>
      </c>
      <c r="D8" s="25" t="s">
        <v>17</v>
      </c>
      <c r="E8" s="22">
        <f>211052*12</f>
        <v>2532624</v>
      </c>
      <c r="F8" s="22">
        <f>136630*12</f>
        <v>1639560</v>
      </c>
      <c r="G8" s="22">
        <f>168527*12</f>
        <v>2022324</v>
      </c>
      <c r="H8" s="22">
        <f>174407*12</f>
        <v>2092884</v>
      </c>
      <c r="I8" s="22">
        <f>288815*12</f>
        <v>3465780</v>
      </c>
      <c r="J8" s="22">
        <f>74726*12</f>
        <v>896712</v>
      </c>
      <c r="K8" s="22">
        <f>95049*12</f>
        <v>1140588</v>
      </c>
      <c r="L8" s="22">
        <f>73656*12</f>
        <v>883872</v>
      </c>
      <c r="M8" s="22">
        <f>54241*12</f>
        <v>650892</v>
      </c>
      <c r="N8" s="22">
        <f>64723*12</f>
        <v>776676</v>
      </c>
      <c r="O8" s="22">
        <f>199690*12</f>
        <v>2396280</v>
      </c>
      <c r="P8" s="22">
        <f>9105*12</f>
        <v>109260</v>
      </c>
      <c r="Q8" s="22">
        <f>17349*12</f>
        <v>208188</v>
      </c>
      <c r="R8" s="22">
        <f>93547*12</f>
        <v>1122564</v>
      </c>
      <c r="S8" s="22">
        <f>42973*12</f>
        <v>515676</v>
      </c>
      <c r="T8" s="26">
        <f t="shared" si="2"/>
        <v>20453880</v>
      </c>
    </row>
    <row r="9" spans="1:20" ht="20.100000000000001" customHeight="1">
      <c r="A9" s="23" t="s">
        <v>20</v>
      </c>
      <c r="B9" s="24" t="s">
        <v>21</v>
      </c>
      <c r="C9" s="24"/>
      <c r="D9" s="25" t="s">
        <v>10</v>
      </c>
      <c r="E9" s="20">
        <f>E10+E11</f>
        <v>600084</v>
      </c>
      <c r="F9" s="20">
        <f t="shared" ref="F9:S9" si="4">F10+F11</f>
        <v>385644</v>
      </c>
      <c r="G9" s="20">
        <f t="shared" si="4"/>
        <v>413868</v>
      </c>
      <c r="H9" s="20">
        <f t="shared" si="4"/>
        <v>455004</v>
      </c>
      <c r="I9" s="20">
        <f t="shared" si="4"/>
        <v>1008564</v>
      </c>
      <c r="J9" s="20">
        <f t="shared" si="4"/>
        <v>319284</v>
      </c>
      <c r="K9" s="20">
        <f t="shared" si="4"/>
        <v>294900</v>
      </c>
      <c r="L9" s="20">
        <f t="shared" si="4"/>
        <v>235476</v>
      </c>
      <c r="M9" s="20">
        <f t="shared" si="4"/>
        <v>213696</v>
      </c>
      <c r="N9" s="20">
        <f t="shared" si="4"/>
        <v>230040</v>
      </c>
      <c r="O9" s="20">
        <f t="shared" si="4"/>
        <v>689484</v>
      </c>
      <c r="P9" s="20">
        <f t="shared" si="4"/>
        <v>26772</v>
      </c>
      <c r="Q9" s="20">
        <f t="shared" si="4"/>
        <v>90360</v>
      </c>
      <c r="R9" s="20">
        <f t="shared" si="4"/>
        <v>445920</v>
      </c>
      <c r="S9" s="20">
        <f t="shared" si="4"/>
        <v>165504</v>
      </c>
      <c r="T9" s="26">
        <f t="shared" si="2"/>
        <v>5574600</v>
      </c>
    </row>
    <row r="10" spans="1:20" ht="20.100000000000001" customHeight="1">
      <c r="A10" s="23" t="s">
        <v>22</v>
      </c>
      <c r="B10" s="24" t="s">
        <v>23</v>
      </c>
      <c r="C10" s="24" t="s">
        <v>16</v>
      </c>
      <c r="D10" s="25" t="s">
        <v>17</v>
      </c>
      <c r="E10" s="22">
        <f>727*12</f>
        <v>8724</v>
      </c>
      <c r="F10" s="22">
        <f>457*12</f>
        <v>5484</v>
      </c>
      <c r="G10" s="22">
        <f>609*12</f>
        <v>7308</v>
      </c>
      <c r="H10" s="22">
        <f>517*12</f>
        <v>6204</v>
      </c>
      <c r="I10" s="22">
        <f>887*12</f>
        <v>10644</v>
      </c>
      <c r="J10" s="22">
        <f>207*12</f>
        <v>2484</v>
      </c>
      <c r="K10" s="22">
        <f>375*12</f>
        <v>4500</v>
      </c>
      <c r="L10" s="22">
        <f>263*12</f>
        <v>3156</v>
      </c>
      <c r="M10" s="22">
        <f>208*12</f>
        <v>2496</v>
      </c>
      <c r="N10" s="22">
        <f>250*12</f>
        <v>3000</v>
      </c>
      <c r="O10" s="22">
        <f>697*12</f>
        <v>8364</v>
      </c>
      <c r="P10" s="22">
        <f>31*12</f>
        <v>372</v>
      </c>
      <c r="Q10" s="22">
        <f>50*12</f>
        <v>600</v>
      </c>
      <c r="R10" s="22">
        <f>200*12</f>
        <v>2400</v>
      </c>
      <c r="S10" s="22">
        <f>152*12</f>
        <v>1824</v>
      </c>
      <c r="T10" s="26">
        <f t="shared" si="2"/>
        <v>67560</v>
      </c>
    </row>
    <row r="11" spans="1:20" ht="20.100000000000001" customHeight="1">
      <c r="A11" s="23" t="s">
        <v>24</v>
      </c>
      <c r="B11" s="24" t="s">
        <v>25</v>
      </c>
      <c r="C11" s="24"/>
      <c r="D11" s="25" t="s">
        <v>10</v>
      </c>
      <c r="E11" s="20">
        <f>E12</f>
        <v>591360</v>
      </c>
      <c r="F11" s="20">
        <f t="shared" ref="F11:S11" si="5">F12</f>
        <v>380160</v>
      </c>
      <c r="G11" s="20">
        <f t="shared" si="5"/>
        <v>406560</v>
      </c>
      <c r="H11" s="20">
        <f t="shared" si="5"/>
        <v>448800</v>
      </c>
      <c r="I11" s="20">
        <f t="shared" si="5"/>
        <v>997920</v>
      </c>
      <c r="J11" s="20">
        <f t="shared" si="5"/>
        <v>316800</v>
      </c>
      <c r="K11" s="20">
        <f t="shared" si="5"/>
        <v>290400</v>
      </c>
      <c r="L11" s="20">
        <f t="shared" si="5"/>
        <v>232320</v>
      </c>
      <c r="M11" s="20">
        <f t="shared" si="5"/>
        <v>211200</v>
      </c>
      <c r="N11" s="20">
        <f t="shared" si="5"/>
        <v>227040</v>
      </c>
      <c r="O11" s="20">
        <f t="shared" si="5"/>
        <v>681120</v>
      </c>
      <c r="P11" s="20">
        <f t="shared" si="5"/>
        <v>26400</v>
      </c>
      <c r="Q11" s="20">
        <f t="shared" si="5"/>
        <v>89760</v>
      </c>
      <c r="R11" s="20">
        <f t="shared" si="5"/>
        <v>443520</v>
      </c>
      <c r="S11" s="20">
        <f t="shared" si="5"/>
        <v>163680</v>
      </c>
      <c r="T11" s="26">
        <f t="shared" si="2"/>
        <v>5507040</v>
      </c>
    </row>
    <row r="12" spans="1:20" s="3" customFormat="1" ht="20.100000000000001" customHeight="1">
      <c r="A12" s="23" t="s">
        <v>26</v>
      </c>
      <c r="B12" s="27" t="s">
        <v>137</v>
      </c>
      <c r="C12" s="27" t="s">
        <v>16</v>
      </c>
      <c r="D12" s="25" t="s">
        <v>17</v>
      </c>
      <c r="E12" s="22">
        <f>440*12*E60</f>
        <v>591360</v>
      </c>
      <c r="F12" s="22">
        <f t="shared" ref="F12:S12" si="6">440*12*F60</f>
        <v>380160</v>
      </c>
      <c r="G12" s="22">
        <f t="shared" si="6"/>
        <v>406560</v>
      </c>
      <c r="H12" s="22">
        <f t="shared" si="6"/>
        <v>448800</v>
      </c>
      <c r="I12" s="22">
        <f t="shared" si="6"/>
        <v>997920</v>
      </c>
      <c r="J12" s="22">
        <f t="shared" si="6"/>
        <v>316800</v>
      </c>
      <c r="K12" s="22">
        <f t="shared" si="6"/>
        <v>290400</v>
      </c>
      <c r="L12" s="22">
        <f t="shared" si="6"/>
        <v>232320</v>
      </c>
      <c r="M12" s="22">
        <f t="shared" si="6"/>
        <v>211200</v>
      </c>
      <c r="N12" s="22">
        <f t="shared" si="6"/>
        <v>227040</v>
      </c>
      <c r="O12" s="22">
        <f t="shared" si="6"/>
        <v>681120</v>
      </c>
      <c r="P12" s="22">
        <f t="shared" si="6"/>
        <v>26400</v>
      </c>
      <c r="Q12" s="22">
        <f t="shared" si="6"/>
        <v>89760</v>
      </c>
      <c r="R12" s="22">
        <f t="shared" si="6"/>
        <v>443520</v>
      </c>
      <c r="S12" s="22">
        <f t="shared" si="6"/>
        <v>163680</v>
      </c>
      <c r="T12" s="26">
        <f t="shared" si="2"/>
        <v>5507040</v>
      </c>
    </row>
    <row r="13" spans="1:20" ht="20.100000000000001" customHeight="1">
      <c r="A13" s="23" t="s">
        <v>27</v>
      </c>
      <c r="B13" s="24" t="s">
        <v>28</v>
      </c>
      <c r="C13" s="24"/>
      <c r="D13" s="25" t="s">
        <v>29</v>
      </c>
      <c r="E13" s="20">
        <f>E14+E15</f>
        <v>322320</v>
      </c>
      <c r="F13" s="20">
        <f t="shared" ref="F13:S13" si="7">F14+F15</f>
        <v>190474.28</v>
      </c>
      <c r="G13" s="20">
        <f t="shared" si="7"/>
        <v>197972.58</v>
      </c>
      <c r="H13" s="20">
        <f t="shared" si="7"/>
        <v>208645.72</v>
      </c>
      <c r="I13" s="20">
        <f t="shared" si="7"/>
        <v>450562.28</v>
      </c>
      <c r="J13" s="20">
        <f t="shared" si="7"/>
        <v>134691.42000000001</v>
      </c>
      <c r="K13" s="20">
        <f t="shared" si="7"/>
        <v>124141.72</v>
      </c>
      <c r="L13" s="20">
        <f t="shared" si="7"/>
        <v>99128.58</v>
      </c>
      <c r="M13" s="20">
        <f t="shared" si="7"/>
        <v>87104.58</v>
      </c>
      <c r="N13" s="20">
        <f t="shared" si="7"/>
        <v>96344.58</v>
      </c>
      <c r="O13" s="20">
        <f t="shared" si="7"/>
        <v>321641.14</v>
      </c>
      <c r="P13" s="20">
        <f t="shared" si="7"/>
        <v>12142.86</v>
      </c>
      <c r="Q13" s="20">
        <f t="shared" si="7"/>
        <v>32465.14</v>
      </c>
      <c r="R13" s="20">
        <f t="shared" si="7"/>
        <v>210853.72</v>
      </c>
      <c r="S13" s="20">
        <f t="shared" si="7"/>
        <v>67129.72</v>
      </c>
      <c r="T13" s="26">
        <f t="shared" si="2"/>
        <v>2555618.3200000003</v>
      </c>
    </row>
    <row r="14" spans="1:20" s="3" customFormat="1" ht="20.100000000000001" customHeight="1">
      <c r="A14" s="23" t="s">
        <v>30</v>
      </c>
      <c r="B14" s="27" t="s">
        <v>167</v>
      </c>
      <c r="C14" s="27" t="s">
        <v>16</v>
      </c>
      <c r="D14" s="25" t="s">
        <v>172</v>
      </c>
      <c r="E14" s="22">
        <f>ROUND(E30/0.07*0.005,2)</f>
        <v>161160</v>
      </c>
      <c r="F14" s="22">
        <f t="shared" ref="F14:S14" si="8">ROUND(F30/0.07*0.005,2)</f>
        <v>95237.14</v>
      </c>
      <c r="G14" s="22">
        <f t="shared" si="8"/>
        <v>98986.29</v>
      </c>
      <c r="H14" s="22">
        <f t="shared" si="8"/>
        <v>104322.86</v>
      </c>
      <c r="I14" s="22">
        <f t="shared" si="8"/>
        <v>225281.14</v>
      </c>
      <c r="J14" s="22">
        <f t="shared" si="8"/>
        <v>67345.710000000006</v>
      </c>
      <c r="K14" s="22">
        <f t="shared" si="8"/>
        <v>62070.86</v>
      </c>
      <c r="L14" s="22">
        <f t="shared" si="8"/>
        <v>49564.29</v>
      </c>
      <c r="M14" s="22">
        <f t="shared" si="8"/>
        <v>43552.29</v>
      </c>
      <c r="N14" s="22">
        <f t="shared" si="8"/>
        <v>48172.29</v>
      </c>
      <c r="O14" s="22">
        <f t="shared" si="8"/>
        <v>160820.57</v>
      </c>
      <c r="P14" s="22">
        <f t="shared" si="8"/>
        <v>6071.43</v>
      </c>
      <c r="Q14" s="22">
        <f t="shared" si="8"/>
        <v>16232.57</v>
      </c>
      <c r="R14" s="22">
        <f t="shared" si="8"/>
        <v>105426.86</v>
      </c>
      <c r="S14" s="22">
        <f t="shared" si="8"/>
        <v>33564.86</v>
      </c>
      <c r="T14" s="26">
        <f t="shared" si="2"/>
        <v>1277809.1600000001</v>
      </c>
    </row>
    <row r="15" spans="1:20" s="3" customFormat="1" ht="20.100000000000001" customHeight="1">
      <c r="A15" s="23" t="s">
        <v>32</v>
      </c>
      <c r="B15" s="27" t="s">
        <v>138</v>
      </c>
      <c r="C15" s="27" t="s">
        <v>16</v>
      </c>
      <c r="D15" s="25" t="s">
        <v>172</v>
      </c>
      <c r="E15" s="22">
        <f>ROUND(E30/0.07*0.005,2)</f>
        <v>161160</v>
      </c>
      <c r="F15" s="22">
        <f t="shared" ref="F15:S15" si="9">ROUND(F30/0.07*0.005,2)</f>
        <v>95237.14</v>
      </c>
      <c r="G15" s="22">
        <f t="shared" si="9"/>
        <v>98986.29</v>
      </c>
      <c r="H15" s="22">
        <f t="shared" si="9"/>
        <v>104322.86</v>
      </c>
      <c r="I15" s="22">
        <f t="shared" si="9"/>
        <v>225281.14</v>
      </c>
      <c r="J15" s="22">
        <f t="shared" si="9"/>
        <v>67345.710000000006</v>
      </c>
      <c r="K15" s="22">
        <f t="shared" si="9"/>
        <v>62070.86</v>
      </c>
      <c r="L15" s="22">
        <f t="shared" si="9"/>
        <v>49564.29</v>
      </c>
      <c r="M15" s="22">
        <f t="shared" si="9"/>
        <v>43552.29</v>
      </c>
      <c r="N15" s="22">
        <f t="shared" si="9"/>
        <v>48172.29</v>
      </c>
      <c r="O15" s="22">
        <f t="shared" si="9"/>
        <v>160820.57</v>
      </c>
      <c r="P15" s="22">
        <f t="shared" si="9"/>
        <v>6071.43</v>
      </c>
      <c r="Q15" s="22">
        <f t="shared" si="9"/>
        <v>16232.57</v>
      </c>
      <c r="R15" s="22">
        <f t="shared" si="9"/>
        <v>105426.86</v>
      </c>
      <c r="S15" s="22">
        <f t="shared" si="9"/>
        <v>33564.86</v>
      </c>
      <c r="T15" s="26">
        <f t="shared" si="2"/>
        <v>1277809.1600000001</v>
      </c>
    </row>
    <row r="16" spans="1:20" ht="20.100000000000001" customHeight="1">
      <c r="A16" s="23" t="s">
        <v>33</v>
      </c>
      <c r="B16" s="24" t="s">
        <v>34</v>
      </c>
      <c r="C16" s="24"/>
      <c r="D16" s="25" t="s">
        <v>10</v>
      </c>
      <c r="E16" s="20">
        <f>E17+E18+E19+E20</f>
        <v>23882208</v>
      </c>
      <c r="F16" s="20">
        <f t="shared" ref="F16:S16" si="10">F17+F18+F19+F20</f>
        <v>15352848</v>
      </c>
      <c r="G16" s="20">
        <f t="shared" si="10"/>
        <v>15600046</v>
      </c>
      <c r="H16" s="20">
        <f t="shared" si="10"/>
        <v>17220830</v>
      </c>
      <c r="I16" s="20">
        <f t="shared" si="10"/>
        <v>38291022</v>
      </c>
      <c r="J16" s="20">
        <f t="shared" si="10"/>
        <v>12155880</v>
      </c>
      <c r="K16" s="20">
        <f t="shared" si="10"/>
        <v>9586720</v>
      </c>
      <c r="L16" s="20">
        <f t="shared" si="10"/>
        <v>7669376</v>
      </c>
      <c r="M16" s="20">
        <f t="shared" si="10"/>
        <v>6972160</v>
      </c>
      <c r="N16" s="20">
        <f t="shared" si="10"/>
        <v>7495072</v>
      </c>
      <c r="O16" s="20">
        <f t="shared" si="10"/>
        <v>27507186</v>
      </c>
      <c r="P16" s="20">
        <f t="shared" si="10"/>
        <v>1022630</v>
      </c>
      <c r="Q16" s="20">
        <f t="shared" si="10"/>
        <v>2963168</v>
      </c>
      <c r="R16" s="20">
        <f t="shared" si="10"/>
        <v>17911656</v>
      </c>
      <c r="S16" s="20">
        <f t="shared" si="10"/>
        <v>5403424</v>
      </c>
      <c r="T16" s="26">
        <f t="shared" si="2"/>
        <v>209034226</v>
      </c>
    </row>
    <row r="17" spans="1:20" ht="20.100000000000001" customHeight="1">
      <c r="A17" s="23" t="s">
        <v>35</v>
      </c>
      <c r="B17" s="28" t="s">
        <v>36</v>
      </c>
      <c r="C17" s="28" t="s">
        <v>16</v>
      </c>
      <c r="D17" s="29" t="s">
        <v>139</v>
      </c>
      <c r="E17" s="30">
        <v>21496932</v>
      </c>
      <c r="F17" s="30">
        <v>13960316</v>
      </c>
      <c r="G17" s="30">
        <v>13740716</v>
      </c>
      <c r="H17" s="30">
        <v>15555734</v>
      </c>
      <c r="I17" s="30">
        <v>34593734</v>
      </c>
      <c r="J17" s="30">
        <v>10961008</v>
      </c>
      <c r="K17" s="30">
        <v>9018368</v>
      </c>
      <c r="L17" s="30">
        <v>7135836</v>
      </c>
      <c r="M17" s="30">
        <v>6528094</v>
      </c>
      <c r="N17" s="30">
        <v>7001000</v>
      </c>
      <c r="O17" s="30">
        <v>24830263</v>
      </c>
      <c r="P17" s="30">
        <v>992630</v>
      </c>
      <c r="Q17" s="30">
        <v>2657102</v>
      </c>
      <c r="R17" s="30">
        <v>16315264</v>
      </c>
      <c r="S17" s="30">
        <v>4996640</v>
      </c>
      <c r="T17" s="26">
        <f t="shared" si="2"/>
        <v>189783637</v>
      </c>
    </row>
    <row r="18" spans="1:20" ht="20.100000000000001" customHeight="1">
      <c r="A18" s="23" t="s">
        <v>37</v>
      </c>
      <c r="B18" s="28" t="s">
        <v>38</v>
      </c>
      <c r="C18" s="28" t="s">
        <v>16</v>
      </c>
      <c r="D18" s="29" t="s">
        <v>39</v>
      </c>
      <c r="E18" s="30">
        <v>593276</v>
      </c>
      <c r="F18" s="30">
        <v>240532</v>
      </c>
      <c r="G18" s="30">
        <v>627330</v>
      </c>
      <c r="H18" s="30">
        <v>305096</v>
      </c>
      <c r="I18" s="30">
        <v>673288</v>
      </c>
      <c r="J18" s="30">
        <v>234872</v>
      </c>
      <c r="K18" s="30">
        <v>238352</v>
      </c>
      <c r="L18" s="30">
        <v>269540</v>
      </c>
      <c r="M18" s="30">
        <v>204066</v>
      </c>
      <c r="N18" s="30">
        <v>236072</v>
      </c>
      <c r="O18" s="30">
        <v>612923</v>
      </c>
      <c r="P18" s="30"/>
      <c r="Q18" s="30">
        <v>204066</v>
      </c>
      <c r="R18" s="30">
        <v>252392</v>
      </c>
      <c r="S18" s="30">
        <v>220784</v>
      </c>
      <c r="T18" s="26">
        <f t="shared" si="2"/>
        <v>4912589</v>
      </c>
    </row>
    <row r="19" spans="1:20" ht="20.100000000000001" customHeight="1">
      <c r="A19" s="23" t="s">
        <v>40</v>
      </c>
      <c r="B19" s="28" t="s">
        <v>140</v>
      </c>
      <c r="C19" s="28" t="s">
        <v>16</v>
      </c>
      <c r="D19" s="25" t="s">
        <v>17</v>
      </c>
      <c r="E19" s="30">
        <f>500*12*E60</f>
        <v>672000</v>
      </c>
      <c r="F19" s="30">
        <f t="shared" ref="F19:S19" si="11">500*12*F60</f>
        <v>432000</v>
      </c>
      <c r="G19" s="30">
        <f t="shared" si="11"/>
        <v>462000</v>
      </c>
      <c r="H19" s="30">
        <f t="shared" si="11"/>
        <v>510000</v>
      </c>
      <c r="I19" s="30">
        <f t="shared" si="11"/>
        <v>1134000</v>
      </c>
      <c r="J19" s="30">
        <f t="shared" si="11"/>
        <v>360000</v>
      </c>
      <c r="K19" s="30">
        <f t="shared" si="11"/>
        <v>330000</v>
      </c>
      <c r="L19" s="30">
        <f t="shared" si="11"/>
        <v>264000</v>
      </c>
      <c r="M19" s="30">
        <f t="shared" si="11"/>
        <v>240000</v>
      </c>
      <c r="N19" s="30">
        <f t="shared" si="11"/>
        <v>258000</v>
      </c>
      <c r="O19" s="30">
        <f t="shared" si="11"/>
        <v>774000</v>
      </c>
      <c r="P19" s="30">
        <f t="shared" si="11"/>
        <v>30000</v>
      </c>
      <c r="Q19" s="30">
        <f t="shared" si="11"/>
        <v>102000</v>
      </c>
      <c r="R19" s="30">
        <f t="shared" si="11"/>
        <v>504000</v>
      </c>
      <c r="S19" s="30">
        <f t="shared" si="11"/>
        <v>186000</v>
      </c>
      <c r="T19" s="26">
        <f t="shared" si="2"/>
        <v>6258000</v>
      </c>
    </row>
    <row r="20" spans="1:20" ht="20.100000000000001" customHeight="1">
      <c r="A20" s="23" t="s">
        <v>41</v>
      </c>
      <c r="B20" s="28" t="s">
        <v>141</v>
      </c>
      <c r="C20" s="28" t="s">
        <v>16</v>
      </c>
      <c r="D20" s="25" t="s">
        <v>17</v>
      </c>
      <c r="E20" s="30">
        <f t="shared" ref="E20:J20" si="12">E60*10000</f>
        <v>1120000</v>
      </c>
      <c r="F20" s="30">
        <f t="shared" si="12"/>
        <v>720000</v>
      </c>
      <c r="G20" s="30">
        <f t="shared" si="12"/>
        <v>770000</v>
      </c>
      <c r="H20" s="30">
        <f t="shared" si="12"/>
        <v>850000</v>
      </c>
      <c r="I20" s="30">
        <f t="shared" si="12"/>
        <v>1890000</v>
      </c>
      <c r="J20" s="30">
        <f t="shared" si="12"/>
        <v>600000</v>
      </c>
      <c r="K20" s="30"/>
      <c r="L20" s="30"/>
      <c r="M20" s="30"/>
      <c r="N20" s="30"/>
      <c r="O20" s="30">
        <f>O60*10000</f>
        <v>1290000</v>
      </c>
      <c r="P20" s="30"/>
      <c r="Q20" s="30"/>
      <c r="R20" s="30">
        <f>R60*10000</f>
        <v>840000</v>
      </c>
      <c r="S20" s="30"/>
      <c r="T20" s="26">
        <f t="shared" si="2"/>
        <v>8080000</v>
      </c>
    </row>
    <row r="21" spans="1:20" ht="20.100000000000001" customHeight="1">
      <c r="A21" s="23" t="s">
        <v>42</v>
      </c>
      <c r="B21" s="24" t="s">
        <v>43</v>
      </c>
      <c r="C21" s="24"/>
      <c r="D21" s="29" t="s">
        <v>10</v>
      </c>
      <c r="E21" s="31">
        <f>E22+E23</f>
        <v>4190160</v>
      </c>
      <c r="F21" s="31">
        <f t="shared" ref="F21:S21" si="13">F22+F23</f>
        <v>2476165.71</v>
      </c>
      <c r="G21" s="31">
        <f t="shared" si="13"/>
        <v>2573643.42</v>
      </c>
      <c r="H21" s="31">
        <f t="shared" si="13"/>
        <v>2712394.29</v>
      </c>
      <c r="I21" s="31">
        <f t="shared" si="13"/>
        <v>5857309.71</v>
      </c>
      <c r="J21" s="31">
        <f t="shared" si="13"/>
        <v>1750988.58</v>
      </c>
      <c r="K21" s="31">
        <f t="shared" si="13"/>
        <v>1613842.29</v>
      </c>
      <c r="L21" s="31">
        <f t="shared" si="13"/>
        <v>1288671.42</v>
      </c>
      <c r="M21" s="31">
        <f t="shared" si="13"/>
        <v>1132359.42</v>
      </c>
      <c r="N21" s="31">
        <f t="shared" si="13"/>
        <v>1252479.42</v>
      </c>
      <c r="O21" s="31">
        <f t="shared" si="13"/>
        <v>4181334.87</v>
      </c>
      <c r="P21" s="31">
        <f t="shared" si="13"/>
        <v>157857.13</v>
      </c>
      <c r="Q21" s="31">
        <f t="shared" si="13"/>
        <v>422046.87</v>
      </c>
      <c r="R21" s="31">
        <f t="shared" si="13"/>
        <v>2741098.29</v>
      </c>
      <c r="S21" s="31">
        <f t="shared" si="13"/>
        <v>872686.29</v>
      </c>
      <c r="T21" s="26">
        <f t="shared" si="2"/>
        <v>33223037.710000005</v>
      </c>
    </row>
    <row r="22" spans="1:20" ht="20.100000000000001" customHeight="1">
      <c r="A22" s="23" t="s">
        <v>44</v>
      </c>
      <c r="B22" s="24" t="s">
        <v>173</v>
      </c>
      <c r="C22" s="24" t="s">
        <v>45</v>
      </c>
      <c r="D22" s="25" t="s">
        <v>172</v>
      </c>
      <c r="E22" s="30">
        <f>ROUND(E30/0.07*0.09,2)</f>
        <v>2900880</v>
      </c>
      <c r="F22" s="30">
        <f t="shared" ref="F22:S22" si="14">ROUND(F30/0.07*0.09,2)</f>
        <v>1714268.57</v>
      </c>
      <c r="G22" s="30">
        <f t="shared" si="14"/>
        <v>1781753.14</v>
      </c>
      <c r="H22" s="30">
        <f t="shared" si="14"/>
        <v>1877811.43</v>
      </c>
      <c r="I22" s="30">
        <f t="shared" si="14"/>
        <v>4055060.57</v>
      </c>
      <c r="J22" s="30">
        <f t="shared" si="14"/>
        <v>1212222.8600000001</v>
      </c>
      <c r="K22" s="30">
        <f t="shared" si="14"/>
        <v>1117275.43</v>
      </c>
      <c r="L22" s="30">
        <f t="shared" si="14"/>
        <v>892157.14</v>
      </c>
      <c r="M22" s="30">
        <f t="shared" si="14"/>
        <v>783941.14</v>
      </c>
      <c r="N22" s="30">
        <f t="shared" si="14"/>
        <v>867101.14</v>
      </c>
      <c r="O22" s="30">
        <f t="shared" si="14"/>
        <v>2894770.29</v>
      </c>
      <c r="P22" s="30">
        <f t="shared" si="14"/>
        <v>109285.71</v>
      </c>
      <c r="Q22" s="30">
        <f t="shared" si="14"/>
        <v>292186.28999999998</v>
      </c>
      <c r="R22" s="30">
        <f t="shared" si="14"/>
        <v>1897683.43</v>
      </c>
      <c r="S22" s="30">
        <f t="shared" si="14"/>
        <v>604167.43000000005</v>
      </c>
      <c r="T22" s="26">
        <f t="shared" si="2"/>
        <v>23000564.569999997</v>
      </c>
    </row>
    <row r="23" spans="1:20" ht="20.100000000000001" customHeight="1">
      <c r="A23" s="23" t="s">
        <v>46</v>
      </c>
      <c r="B23" s="24" t="s">
        <v>174</v>
      </c>
      <c r="C23" s="24"/>
      <c r="D23" s="29" t="s">
        <v>31</v>
      </c>
      <c r="E23" s="31">
        <f>E24+E25</f>
        <v>1289280</v>
      </c>
      <c r="F23" s="31">
        <f t="shared" ref="F23:S23" si="15">F24+F25</f>
        <v>761897.14</v>
      </c>
      <c r="G23" s="31">
        <f t="shared" si="15"/>
        <v>791890.28</v>
      </c>
      <c r="H23" s="31">
        <f t="shared" si="15"/>
        <v>834582.86</v>
      </c>
      <c r="I23" s="31">
        <f t="shared" si="15"/>
        <v>1802249.14</v>
      </c>
      <c r="J23" s="31">
        <f t="shared" si="15"/>
        <v>538765.72</v>
      </c>
      <c r="K23" s="31">
        <f t="shared" si="15"/>
        <v>496566.86</v>
      </c>
      <c r="L23" s="31">
        <f t="shared" si="15"/>
        <v>396514.28</v>
      </c>
      <c r="M23" s="31">
        <f t="shared" si="15"/>
        <v>348418.28</v>
      </c>
      <c r="N23" s="31">
        <f t="shared" si="15"/>
        <v>385378.28</v>
      </c>
      <c r="O23" s="31">
        <f t="shared" si="15"/>
        <v>1286564.58</v>
      </c>
      <c r="P23" s="31">
        <f t="shared" si="15"/>
        <v>48571.42</v>
      </c>
      <c r="Q23" s="31">
        <f t="shared" si="15"/>
        <v>129860.58</v>
      </c>
      <c r="R23" s="31">
        <f t="shared" si="15"/>
        <v>843414.86</v>
      </c>
      <c r="S23" s="31">
        <f t="shared" si="15"/>
        <v>268518.86</v>
      </c>
      <c r="T23" s="26">
        <f t="shared" si="2"/>
        <v>10222473.140000001</v>
      </c>
    </row>
    <row r="24" spans="1:20" ht="20.100000000000001" customHeight="1">
      <c r="A24" s="23" t="s">
        <v>47</v>
      </c>
      <c r="B24" s="24" t="s">
        <v>175</v>
      </c>
      <c r="C24" s="24" t="s">
        <v>45</v>
      </c>
      <c r="D24" s="25" t="s">
        <v>176</v>
      </c>
      <c r="E24" s="30">
        <f>ROUND(E30/0.07*0.02,2)</f>
        <v>644640</v>
      </c>
      <c r="F24" s="30">
        <f t="shared" ref="F24:S24" si="16">ROUND(F30/0.07*0.02,2)</f>
        <v>380948.57</v>
      </c>
      <c r="G24" s="30">
        <f t="shared" si="16"/>
        <v>395945.14</v>
      </c>
      <c r="H24" s="30">
        <f t="shared" si="16"/>
        <v>417291.43</v>
      </c>
      <c r="I24" s="30">
        <f t="shared" si="16"/>
        <v>901124.57</v>
      </c>
      <c r="J24" s="30">
        <f t="shared" si="16"/>
        <v>269382.86</v>
      </c>
      <c r="K24" s="30">
        <f t="shared" si="16"/>
        <v>248283.43</v>
      </c>
      <c r="L24" s="30">
        <f t="shared" si="16"/>
        <v>198257.14</v>
      </c>
      <c r="M24" s="30">
        <f t="shared" si="16"/>
        <v>174209.14</v>
      </c>
      <c r="N24" s="30">
        <f t="shared" si="16"/>
        <v>192689.14</v>
      </c>
      <c r="O24" s="30">
        <f t="shared" si="16"/>
        <v>643282.29</v>
      </c>
      <c r="P24" s="30">
        <f t="shared" si="16"/>
        <v>24285.71</v>
      </c>
      <c r="Q24" s="30">
        <f t="shared" si="16"/>
        <v>64930.29</v>
      </c>
      <c r="R24" s="30">
        <f t="shared" si="16"/>
        <v>421707.43</v>
      </c>
      <c r="S24" s="30">
        <f t="shared" si="16"/>
        <v>134259.43</v>
      </c>
      <c r="T24" s="26">
        <f t="shared" si="2"/>
        <v>5111236.57</v>
      </c>
    </row>
    <row r="25" spans="1:20" ht="20.100000000000001" customHeight="1">
      <c r="A25" s="23" t="s">
        <v>48</v>
      </c>
      <c r="B25" s="24" t="s">
        <v>177</v>
      </c>
      <c r="C25" s="24" t="s">
        <v>45</v>
      </c>
      <c r="D25" s="25" t="s">
        <v>176</v>
      </c>
      <c r="E25" s="30">
        <f>ROUND(E30/0.07*0.02,2)</f>
        <v>644640</v>
      </c>
      <c r="F25" s="30">
        <f t="shared" ref="F25:S25" si="17">ROUND(F30/0.07*0.02,2)</f>
        <v>380948.57</v>
      </c>
      <c r="G25" s="30">
        <f t="shared" si="17"/>
        <v>395945.14</v>
      </c>
      <c r="H25" s="30">
        <f t="shared" si="17"/>
        <v>417291.43</v>
      </c>
      <c r="I25" s="30">
        <f t="shared" si="17"/>
        <v>901124.57</v>
      </c>
      <c r="J25" s="30">
        <f t="shared" si="17"/>
        <v>269382.86</v>
      </c>
      <c r="K25" s="30">
        <f t="shared" si="17"/>
        <v>248283.43</v>
      </c>
      <c r="L25" s="30">
        <f t="shared" si="17"/>
        <v>198257.14</v>
      </c>
      <c r="M25" s="30">
        <f t="shared" si="17"/>
        <v>174209.14</v>
      </c>
      <c r="N25" s="30">
        <f t="shared" si="17"/>
        <v>192689.14</v>
      </c>
      <c r="O25" s="30">
        <f t="shared" si="17"/>
        <v>643282.29</v>
      </c>
      <c r="P25" s="30">
        <f t="shared" si="17"/>
        <v>24285.71</v>
      </c>
      <c r="Q25" s="30">
        <f t="shared" si="17"/>
        <v>64930.29</v>
      </c>
      <c r="R25" s="30">
        <f t="shared" si="17"/>
        <v>421707.43</v>
      </c>
      <c r="S25" s="30">
        <f t="shared" si="17"/>
        <v>134259.43</v>
      </c>
      <c r="T25" s="26">
        <f t="shared" si="2"/>
        <v>5111236.57</v>
      </c>
    </row>
    <row r="26" spans="1:20" ht="20.100000000000001" customHeight="1">
      <c r="A26" s="23" t="s">
        <v>49</v>
      </c>
      <c r="B26" s="24" t="s">
        <v>50</v>
      </c>
      <c r="C26" s="24"/>
      <c r="D26" s="25" t="s">
        <v>10</v>
      </c>
      <c r="E26" s="20">
        <f t="shared" ref="E26:S26" si="18">E27</f>
        <v>5157120</v>
      </c>
      <c r="F26" s="20">
        <f t="shared" si="18"/>
        <v>3047588.57</v>
      </c>
      <c r="G26" s="20">
        <f t="shared" si="18"/>
        <v>3167561.14</v>
      </c>
      <c r="H26" s="20">
        <f t="shared" si="18"/>
        <v>3338331.43</v>
      </c>
      <c r="I26" s="20">
        <f t="shared" si="18"/>
        <v>7208996.5700000003</v>
      </c>
      <c r="J26" s="20">
        <f t="shared" si="18"/>
        <v>2155062.86</v>
      </c>
      <c r="K26" s="20">
        <f t="shared" si="18"/>
        <v>1986267.43</v>
      </c>
      <c r="L26" s="20">
        <f t="shared" si="18"/>
        <v>1586057.14</v>
      </c>
      <c r="M26" s="20">
        <f t="shared" si="18"/>
        <v>1393673.14</v>
      </c>
      <c r="N26" s="20">
        <f t="shared" si="18"/>
        <v>1541513.14</v>
      </c>
      <c r="O26" s="20">
        <f t="shared" si="18"/>
        <v>5146258.29</v>
      </c>
      <c r="P26" s="20">
        <f t="shared" si="18"/>
        <v>194285.71</v>
      </c>
      <c r="Q26" s="20">
        <f t="shared" si="18"/>
        <v>519442.29</v>
      </c>
      <c r="R26" s="20">
        <f t="shared" si="18"/>
        <v>3373659.43</v>
      </c>
      <c r="S26" s="20">
        <f t="shared" si="18"/>
        <v>1074075.43</v>
      </c>
      <c r="T26" s="26">
        <f t="shared" si="2"/>
        <v>40889892.57</v>
      </c>
    </row>
    <row r="27" spans="1:20" s="3" customFormat="1" ht="20.100000000000001" customHeight="1">
      <c r="A27" s="23" t="s">
        <v>51</v>
      </c>
      <c r="B27" s="27" t="s">
        <v>142</v>
      </c>
      <c r="C27" s="27" t="s">
        <v>52</v>
      </c>
      <c r="D27" s="25" t="s">
        <v>172</v>
      </c>
      <c r="E27" s="22">
        <f>ROUND(E30/0.07*0.16,2)</f>
        <v>5157120</v>
      </c>
      <c r="F27" s="22">
        <f t="shared" ref="F27:S27" si="19">ROUND(F30/0.07*0.16,2)</f>
        <v>3047588.57</v>
      </c>
      <c r="G27" s="22">
        <f t="shared" si="19"/>
        <v>3167561.14</v>
      </c>
      <c r="H27" s="22">
        <f t="shared" si="19"/>
        <v>3338331.43</v>
      </c>
      <c r="I27" s="22">
        <f t="shared" si="19"/>
        <v>7208996.5700000003</v>
      </c>
      <c r="J27" s="22">
        <f t="shared" si="19"/>
        <v>2155062.86</v>
      </c>
      <c r="K27" s="22">
        <f t="shared" si="19"/>
        <v>1986267.43</v>
      </c>
      <c r="L27" s="22">
        <f t="shared" si="19"/>
        <v>1586057.14</v>
      </c>
      <c r="M27" s="22">
        <f t="shared" si="19"/>
        <v>1393673.14</v>
      </c>
      <c r="N27" s="22">
        <f t="shared" si="19"/>
        <v>1541513.14</v>
      </c>
      <c r="O27" s="22">
        <f t="shared" si="19"/>
        <v>5146258.29</v>
      </c>
      <c r="P27" s="22">
        <f t="shared" si="19"/>
        <v>194285.71</v>
      </c>
      <c r="Q27" s="22">
        <f t="shared" si="19"/>
        <v>519442.29</v>
      </c>
      <c r="R27" s="22">
        <f t="shared" si="19"/>
        <v>3373659.43</v>
      </c>
      <c r="S27" s="22">
        <f t="shared" si="19"/>
        <v>1074075.43</v>
      </c>
      <c r="T27" s="26">
        <f t="shared" si="2"/>
        <v>40889892.57</v>
      </c>
    </row>
    <row r="28" spans="1:20" ht="20.100000000000001" customHeight="1">
      <c r="A28" s="23" t="s">
        <v>53</v>
      </c>
      <c r="B28" s="24" t="s">
        <v>54</v>
      </c>
      <c r="C28" s="24"/>
      <c r="D28" s="25" t="s">
        <v>10</v>
      </c>
      <c r="E28" s="20">
        <f t="shared" ref="E28:S28" si="20">E29</f>
        <v>2578560</v>
      </c>
      <c r="F28" s="20">
        <f t="shared" si="20"/>
        <v>1523794.29</v>
      </c>
      <c r="G28" s="20">
        <f t="shared" si="20"/>
        <v>1583780.57</v>
      </c>
      <c r="H28" s="20">
        <f t="shared" si="20"/>
        <v>1669165.71</v>
      </c>
      <c r="I28" s="20">
        <f t="shared" si="20"/>
        <v>3604498.29</v>
      </c>
      <c r="J28" s="20">
        <f t="shared" si="20"/>
        <v>1077531.43</v>
      </c>
      <c r="K28" s="20">
        <f t="shared" si="20"/>
        <v>993133.71</v>
      </c>
      <c r="L28" s="20">
        <f t="shared" si="20"/>
        <v>793028.57</v>
      </c>
      <c r="M28" s="20">
        <f t="shared" si="20"/>
        <v>696836.57</v>
      </c>
      <c r="N28" s="20">
        <f t="shared" si="20"/>
        <v>770756.57</v>
      </c>
      <c r="O28" s="20">
        <f t="shared" si="20"/>
        <v>2573129.14</v>
      </c>
      <c r="P28" s="20">
        <f t="shared" si="20"/>
        <v>97142.86</v>
      </c>
      <c r="Q28" s="20">
        <f t="shared" si="20"/>
        <v>259721.14</v>
      </c>
      <c r="R28" s="20">
        <f t="shared" si="20"/>
        <v>1686829.71</v>
      </c>
      <c r="S28" s="20">
        <f t="shared" si="20"/>
        <v>537037.71</v>
      </c>
      <c r="T28" s="26">
        <f t="shared" si="2"/>
        <v>20444946.270000003</v>
      </c>
    </row>
    <row r="29" spans="1:20" s="3" customFormat="1" ht="20.100000000000001" customHeight="1">
      <c r="A29" s="23" t="s">
        <v>55</v>
      </c>
      <c r="B29" s="27" t="s">
        <v>56</v>
      </c>
      <c r="C29" s="27" t="s">
        <v>57</v>
      </c>
      <c r="D29" s="25" t="s">
        <v>172</v>
      </c>
      <c r="E29" s="22">
        <f>ROUND(E30/0.07*0.08,2)</f>
        <v>2578560</v>
      </c>
      <c r="F29" s="22">
        <f t="shared" ref="F29:S29" si="21">ROUND(F30/0.07*0.08,2)</f>
        <v>1523794.29</v>
      </c>
      <c r="G29" s="22">
        <f t="shared" si="21"/>
        <v>1583780.57</v>
      </c>
      <c r="H29" s="22">
        <f t="shared" si="21"/>
        <v>1669165.71</v>
      </c>
      <c r="I29" s="22">
        <f t="shared" si="21"/>
        <v>3604498.29</v>
      </c>
      <c r="J29" s="22">
        <f t="shared" si="21"/>
        <v>1077531.43</v>
      </c>
      <c r="K29" s="22">
        <f t="shared" si="21"/>
        <v>993133.71</v>
      </c>
      <c r="L29" s="22">
        <f t="shared" si="21"/>
        <v>793028.57</v>
      </c>
      <c r="M29" s="22">
        <f t="shared" si="21"/>
        <v>696836.57</v>
      </c>
      <c r="N29" s="22">
        <f t="shared" si="21"/>
        <v>770756.57</v>
      </c>
      <c r="O29" s="22">
        <f t="shared" si="21"/>
        <v>2573129.14</v>
      </c>
      <c r="P29" s="22">
        <f t="shared" si="21"/>
        <v>97142.86</v>
      </c>
      <c r="Q29" s="22">
        <f t="shared" si="21"/>
        <v>259721.14</v>
      </c>
      <c r="R29" s="22">
        <f t="shared" si="21"/>
        <v>1686829.71</v>
      </c>
      <c r="S29" s="22">
        <f t="shared" si="21"/>
        <v>537037.71</v>
      </c>
      <c r="T29" s="26">
        <f t="shared" si="2"/>
        <v>20444946.270000003</v>
      </c>
    </row>
    <row r="30" spans="1:20" ht="20.100000000000001" customHeight="1">
      <c r="A30" s="23" t="s">
        <v>58</v>
      </c>
      <c r="B30" s="24" t="s">
        <v>178</v>
      </c>
      <c r="C30" s="24" t="s">
        <v>59</v>
      </c>
      <c r="D30" s="25" t="s">
        <v>17</v>
      </c>
      <c r="E30" s="30">
        <f>188020*12</f>
        <v>2256240</v>
      </c>
      <c r="F30" s="30">
        <f>111110*12</f>
        <v>1333320</v>
      </c>
      <c r="G30" s="30">
        <f>115484*12</f>
        <v>1385808</v>
      </c>
      <c r="H30" s="30">
        <f>121710*12</f>
        <v>1460520</v>
      </c>
      <c r="I30" s="30">
        <f>262828*12</f>
        <v>3153936</v>
      </c>
      <c r="J30" s="30">
        <f>78570*12</f>
        <v>942840</v>
      </c>
      <c r="K30" s="30">
        <f>72416*12</f>
        <v>868992</v>
      </c>
      <c r="L30" s="30">
        <f>57825*12</f>
        <v>693900</v>
      </c>
      <c r="M30" s="30">
        <f>50811*12</f>
        <v>609732</v>
      </c>
      <c r="N30" s="30">
        <f>56201*12</f>
        <v>674412</v>
      </c>
      <c r="O30" s="30">
        <f>187624*12</f>
        <v>2251488</v>
      </c>
      <c r="P30" s="30">
        <v>85000</v>
      </c>
      <c r="Q30" s="30">
        <f>18938*12</f>
        <v>227256</v>
      </c>
      <c r="R30" s="30">
        <f>122998*12</f>
        <v>1475976</v>
      </c>
      <c r="S30" s="30">
        <f>39159*12</f>
        <v>469908</v>
      </c>
      <c r="T30" s="26">
        <f t="shared" si="2"/>
        <v>17889328</v>
      </c>
    </row>
    <row r="31" spans="1:20" ht="20.100000000000001" customHeight="1">
      <c r="A31" s="23" t="s">
        <v>60</v>
      </c>
      <c r="B31" s="24" t="s">
        <v>143</v>
      </c>
      <c r="C31" s="28" t="s">
        <v>16</v>
      </c>
      <c r="D31" s="32" t="s">
        <v>144</v>
      </c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26">
        <f t="shared" si="2"/>
        <v>0</v>
      </c>
    </row>
    <row r="32" spans="1:20" ht="20.100000000000001" customHeight="1">
      <c r="A32" s="23" t="s">
        <v>61</v>
      </c>
      <c r="B32" s="24" t="s">
        <v>62</v>
      </c>
      <c r="C32" s="24"/>
      <c r="D32" s="25" t="s">
        <v>10</v>
      </c>
      <c r="E32" s="20">
        <f>E33+E35</f>
        <v>1810500</v>
      </c>
      <c r="F32" s="20">
        <f t="shared" ref="F32:S32" si="22">F33+F35</f>
        <v>1078140</v>
      </c>
      <c r="G32" s="20">
        <f t="shared" si="22"/>
        <v>1367880</v>
      </c>
      <c r="H32" s="20">
        <f t="shared" si="22"/>
        <v>876420</v>
      </c>
      <c r="I32" s="20">
        <f t="shared" si="22"/>
        <v>384420</v>
      </c>
      <c r="J32" s="20">
        <f t="shared" si="22"/>
        <v>2520</v>
      </c>
      <c r="K32" s="20">
        <f t="shared" si="22"/>
        <v>205560</v>
      </c>
      <c r="L32" s="20">
        <f t="shared" si="22"/>
        <v>319440</v>
      </c>
      <c r="M32" s="20">
        <f t="shared" si="22"/>
        <v>99660</v>
      </c>
      <c r="N32" s="20">
        <f t="shared" si="22"/>
        <v>16260</v>
      </c>
      <c r="O32" s="20">
        <f t="shared" si="22"/>
        <v>77340</v>
      </c>
      <c r="P32" s="20">
        <f t="shared" si="22"/>
        <v>78900</v>
      </c>
      <c r="Q32" s="20">
        <f t="shared" si="22"/>
        <v>360</v>
      </c>
      <c r="R32" s="20">
        <f t="shared" si="22"/>
        <v>74280</v>
      </c>
      <c r="S32" s="20">
        <f t="shared" si="22"/>
        <v>174360</v>
      </c>
      <c r="T32" s="26">
        <f t="shared" si="2"/>
        <v>6566040</v>
      </c>
    </row>
    <row r="33" spans="1:20" ht="20.100000000000001" customHeight="1">
      <c r="A33" s="23" t="s">
        <v>63</v>
      </c>
      <c r="B33" s="24" t="s">
        <v>145</v>
      </c>
      <c r="C33" s="24" t="s">
        <v>64</v>
      </c>
      <c r="D33" s="29" t="s">
        <v>146</v>
      </c>
      <c r="E33" s="31">
        <f>E34</f>
        <v>1807260</v>
      </c>
      <c r="F33" s="31">
        <f t="shared" ref="F33:S33" si="23">F34</f>
        <v>1074900</v>
      </c>
      <c r="G33" s="31">
        <f t="shared" si="23"/>
        <v>1365360</v>
      </c>
      <c r="H33" s="31">
        <f t="shared" si="23"/>
        <v>874260</v>
      </c>
      <c r="I33" s="31">
        <f t="shared" si="23"/>
        <v>380100</v>
      </c>
      <c r="J33" s="31">
        <f t="shared" si="23"/>
        <v>0</v>
      </c>
      <c r="K33" s="31">
        <f t="shared" si="23"/>
        <v>202320</v>
      </c>
      <c r="L33" s="31">
        <f t="shared" si="23"/>
        <v>316560</v>
      </c>
      <c r="M33" s="31">
        <f t="shared" si="23"/>
        <v>95340</v>
      </c>
      <c r="N33" s="31">
        <f t="shared" si="23"/>
        <v>13020</v>
      </c>
      <c r="O33" s="31">
        <f t="shared" si="23"/>
        <v>73380</v>
      </c>
      <c r="P33" s="31">
        <f t="shared" si="23"/>
        <v>78900</v>
      </c>
      <c r="Q33" s="31">
        <f t="shared" si="23"/>
        <v>0</v>
      </c>
      <c r="R33" s="31">
        <f t="shared" si="23"/>
        <v>70620</v>
      </c>
      <c r="S33" s="31">
        <f t="shared" si="23"/>
        <v>173280</v>
      </c>
      <c r="T33" s="26">
        <f t="shared" ref="T33:T61" si="24">SUM(E33:S33)</f>
        <v>6525300</v>
      </c>
    </row>
    <row r="34" spans="1:20" ht="20.100000000000001" customHeight="1">
      <c r="A34" s="23" t="s">
        <v>65</v>
      </c>
      <c r="B34" s="24" t="s">
        <v>147</v>
      </c>
      <c r="C34" s="24" t="s">
        <v>64</v>
      </c>
      <c r="D34" s="29" t="s">
        <v>146</v>
      </c>
      <c r="E34" s="22">
        <f>150605*12</f>
        <v>1807260</v>
      </c>
      <c r="F34" s="22">
        <f>89575*12</f>
        <v>1074900</v>
      </c>
      <c r="G34" s="22">
        <f>113780*12</f>
        <v>1365360</v>
      </c>
      <c r="H34" s="22">
        <f>72855*12</f>
        <v>874260</v>
      </c>
      <c r="I34" s="22">
        <f>31675*12</f>
        <v>380100</v>
      </c>
      <c r="J34" s="22"/>
      <c r="K34" s="22">
        <f>16860*12</f>
        <v>202320</v>
      </c>
      <c r="L34" s="22">
        <f>26380*12</f>
        <v>316560</v>
      </c>
      <c r="M34" s="22">
        <f>7945*12</f>
        <v>95340</v>
      </c>
      <c r="N34" s="22">
        <f>1085*12</f>
        <v>13020</v>
      </c>
      <c r="O34" s="22">
        <f>6115*12</f>
        <v>73380</v>
      </c>
      <c r="P34" s="22">
        <f>6575*12</f>
        <v>78900</v>
      </c>
      <c r="Q34" s="22"/>
      <c r="R34" s="22">
        <f>5885*12</f>
        <v>70620</v>
      </c>
      <c r="S34" s="22">
        <f>14440*12</f>
        <v>173280</v>
      </c>
      <c r="T34" s="26">
        <f t="shared" si="24"/>
        <v>6525300</v>
      </c>
    </row>
    <row r="35" spans="1:20" ht="20.100000000000001" customHeight="1">
      <c r="A35" s="23" t="s">
        <v>66</v>
      </c>
      <c r="B35" s="24" t="s">
        <v>67</v>
      </c>
      <c r="C35" s="24"/>
      <c r="D35" s="25" t="s">
        <v>10</v>
      </c>
      <c r="E35" s="20">
        <f>E36</f>
        <v>3240</v>
      </c>
      <c r="F35" s="20">
        <f t="shared" ref="F35:S35" si="25">F36</f>
        <v>3240</v>
      </c>
      <c r="G35" s="20">
        <f t="shared" si="25"/>
        <v>2520</v>
      </c>
      <c r="H35" s="20">
        <f t="shared" si="25"/>
        <v>2160</v>
      </c>
      <c r="I35" s="20">
        <f>360*12</f>
        <v>4320</v>
      </c>
      <c r="J35" s="20">
        <f t="shared" si="25"/>
        <v>2520</v>
      </c>
      <c r="K35" s="20">
        <f t="shared" si="25"/>
        <v>3240</v>
      </c>
      <c r="L35" s="20">
        <f t="shared" si="25"/>
        <v>2880</v>
      </c>
      <c r="M35" s="20">
        <f t="shared" si="25"/>
        <v>4320</v>
      </c>
      <c r="N35" s="20">
        <f t="shared" si="25"/>
        <v>3240</v>
      </c>
      <c r="O35" s="20">
        <f t="shared" si="25"/>
        <v>3960</v>
      </c>
      <c r="P35" s="20">
        <f t="shared" si="25"/>
        <v>0</v>
      </c>
      <c r="Q35" s="20">
        <f t="shared" si="25"/>
        <v>360</v>
      </c>
      <c r="R35" s="20">
        <f t="shared" si="25"/>
        <v>3660</v>
      </c>
      <c r="S35" s="20">
        <f t="shared" si="25"/>
        <v>1080</v>
      </c>
      <c r="T35" s="26">
        <f t="shared" si="24"/>
        <v>40740</v>
      </c>
    </row>
    <row r="36" spans="1:20" ht="20.100000000000001" customHeight="1">
      <c r="A36" s="23" t="s">
        <v>68</v>
      </c>
      <c r="B36" s="24" t="s">
        <v>69</v>
      </c>
      <c r="C36" s="24" t="s">
        <v>16</v>
      </c>
      <c r="D36" s="25" t="s">
        <v>17</v>
      </c>
      <c r="E36" s="22">
        <f>270*12</f>
        <v>3240</v>
      </c>
      <c r="F36" s="22">
        <f>270*12</f>
        <v>3240</v>
      </c>
      <c r="G36" s="22">
        <f>210*12</f>
        <v>2520</v>
      </c>
      <c r="H36" s="22">
        <f>180*12</f>
        <v>2160</v>
      </c>
      <c r="I36" s="22">
        <f>360*12</f>
        <v>4320</v>
      </c>
      <c r="J36" s="22">
        <f>210*12</f>
        <v>2520</v>
      </c>
      <c r="K36" s="22">
        <f>270*12</f>
        <v>3240</v>
      </c>
      <c r="L36" s="22">
        <f>240*12</f>
        <v>2880</v>
      </c>
      <c r="M36" s="22">
        <f>360*12</f>
        <v>4320</v>
      </c>
      <c r="N36" s="22">
        <f>270*12</f>
        <v>3240</v>
      </c>
      <c r="O36" s="22">
        <f>330*12</f>
        <v>3960</v>
      </c>
      <c r="P36" s="22"/>
      <c r="Q36" s="22">
        <f>30*12</f>
        <v>360</v>
      </c>
      <c r="R36" s="22">
        <v>3660</v>
      </c>
      <c r="S36" s="22">
        <f>90*12</f>
        <v>1080</v>
      </c>
      <c r="T36" s="26">
        <f t="shared" si="24"/>
        <v>40740</v>
      </c>
    </row>
    <row r="37" spans="1:20" ht="20.100000000000001" customHeight="1">
      <c r="A37" s="23" t="s">
        <v>70</v>
      </c>
      <c r="B37" s="24" t="s">
        <v>73</v>
      </c>
      <c r="C37" s="24"/>
      <c r="D37" s="25" t="s">
        <v>10</v>
      </c>
      <c r="E37" s="20">
        <f>E38+E40+E42+E44+E46+E49+E51+E53+E57+E55</f>
        <v>8090222</v>
      </c>
      <c r="F37" s="20">
        <f t="shared" ref="F37:S37" si="26">F38+F40+F42+F44+F46+F49+F51+F53+F57+F55</f>
        <v>4880854.57</v>
      </c>
      <c r="G37" s="20">
        <f t="shared" si="26"/>
        <v>4931060.1399999997</v>
      </c>
      <c r="H37" s="20">
        <f t="shared" si="26"/>
        <v>4750911.43</v>
      </c>
      <c r="I37" s="20">
        <f t="shared" si="26"/>
        <v>12770728.17</v>
      </c>
      <c r="J37" s="20">
        <f t="shared" si="26"/>
        <v>3686840.51</v>
      </c>
      <c r="K37" s="20">
        <f t="shared" si="26"/>
        <v>2874413.0300000003</v>
      </c>
      <c r="L37" s="20">
        <f t="shared" si="26"/>
        <v>3470842.34</v>
      </c>
      <c r="M37" s="20">
        <f t="shared" si="26"/>
        <v>2368886.89</v>
      </c>
      <c r="N37" s="20">
        <f t="shared" si="26"/>
        <v>2255402.94</v>
      </c>
      <c r="O37" s="20">
        <f t="shared" si="26"/>
        <v>8483400.6400000006</v>
      </c>
      <c r="P37" s="20">
        <f t="shared" si="26"/>
        <v>245265.71</v>
      </c>
      <c r="Q37" s="20">
        <f t="shared" si="26"/>
        <v>1114565.29</v>
      </c>
      <c r="R37" s="20">
        <f t="shared" si="26"/>
        <v>6065028.1299999999</v>
      </c>
      <c r="S37" s="20">
        <f t="shared" si="26"/>
        <v>1745996.23</v>
      </c>
      <c r="T37" s="26">
        <f t="shared" si="24"/>
        <v>67734418.019999996</v>
      </c>
    </row>
    <row r="38" spans="1:20" ht="20.100000000000001" customHeight="1">
      <c r="A38" s="23" t="s">
        <v>71</v>
      </c>
      <c r="B38" s="24" t="s">
        <v>75</v>
      </c>
      <c r="C38" s="24"/>
      <c r="D38" s="25" t="s">
        <v>76</v>
      </c>
      <c r="E38" s="22">
        <v>5721100</v>
      </c>
      <c r="F38" s="22">
        <v>3665200</v>
      </c>
      <c r="G38" s="22">
        <v>3502110</v>
      </c>
      <c r="H38" s="22">
        <v>3335190</v>
      </c>
      <c r="I38" s="22">
        <v>10291260</v>
      </c>
      <c r="J38" s="22">
        <v>2863320</v>
      </c>
      <c r="K38" s="22">
        <v>2016300</v>
      </c>
      <c r="L38" s="22">
        <v>2639780</v>
      </c>
      <c r="M38" s="22">
        <v>1716000</v>
      </c>
      <c r="N38" s="22">
        <v>1658800</v>
      </c>
      <c r="O38" s="22">
        <v>6492160</v>
      </c>
      <c r="P38" s="22">
        <v>112000</v>
      </c>
      <c r="Q38" s="22">
        <v>858000</v>
      </c>
      <c r="R38" s="22">
        <v>4935700</v>
      </c>
      <c r="S38" s="22">
        <v>1287000</v>
      </c>
      <c r="T38" s="26">
        <f t="shared" si="24"/>
        <v>51093920</v>
      </c>
    </row>
    <row r="39" spans="1:20" ht="20.100000000000001" customHeight="1">
      <c r="A39" s="33" t="s">
        <v>72</v>
      </c>
      <c r="B39" s="28" t="s">
        <v>148</v>
      </c>
      <c r="C39" s="28" t="s">
        <v>16</v>
      </c>
      <c r="D39" s="34" t="s">
        <v>149</v>
      </c>
      <c r="E39" s="30">
        <v>286055</v>
      </c>
      <c r="F39" s="30">
        <v>183260</v>
      </c>
      <c r="G39" s="30">
        <v>175105.5</v>
      </c>
      <c r="H39" s="30">
        <f>H38*0.05</f>
        <v>166759.5</v>
      </c>
      <c r="I39" s="30">
        <f>I38*0.05</f>
        <v>514563</v>
      </c>
      <c r="J39" s="30">
        <f>J38*0.05</f>
        <v>143166</v>
      </c>
      <c r="K39" s="30">
        <v>97097</v>
      </c>
      <c r="L39" s="30">
        <v>72358</v>
      </c>
      <c r="M39" s="30">
        <v>73359</v>
      </c>
      <c r="N39" s="30">
        <v>78364</v>
      </c>
      <c r="O39" s="30">
        <f>O38*0.05</f>
        <v>324608</v>
      </c>
      <c r="P39" s="30">
        <f>P38*0.05</f>
        <v>5600</v>
      </c>
      <c r="Q39" s="30">
        <v>34177</v>
      </c>
      <c r="R39" s="30">
        <f>R38*0.05</f>
        <v>246785</v>
      </c>
      <c r="S39" s="30">
        <v>55484</v>
      </c>
      <c r="T39" s="70">
        <f t="shared" si="24"/>
        <v>2456741</v>
      </c>
    </row>
    <row r="40" spans="1:20" ht="20.100000000000001" customHeight="1">
      <c r="A40" s="23" t="s">
        <v>74</v>
      </c>
      <c r="B40" s="24" t="s">
        <v>79</v>
      </c>
      <c r="C40" s="24"/>
      <c r="D40" s="25"/>
      <c r="E40" s="20">
        <f>E41</f>
        <v>44800</v>
      </c>
      <c r="F40" s="20">
        <f t="shared" ref="F40:S40" si="27">F41</f>
        <v>28800</v>
      </c>
      <c r="G40" s="20">
        <f t="shared" si="27"/>
        <v>30800</v>
      </c>
      <c r="H40" s="20">
        <f t="shared" si="27"/>
        <v>34000</v>
      </c>
      <c r="I40" s="20">
        <f t="shared" si="27"/>
        <v>75600</v>
      </c>
      <c r="J40" s="20">
        <f t="shared" si="27"/>
        <v>24000</v>
      </c>
      <c r="K40" s="20">
        <f t="shared" si="27"/>
        <v>22000</v>
      </c>
      <c r="L40" s="20">
        <f t="shared" si="27"/>
        <v>17600</v>
      </c>
      <c r="M40" s="20">
        <f t="shared" si="27"/>
        <v>16000</v>
      </c>
      <c r="N40" s="20">
        <f t="shared" si="27"/>
        <v>17200</v>
      </c>
      <c r="O40" s="20">
        <f t="shared" si="27"/>
        <v>51600</v>
      </c>
      <c r="P40" s="20">
        <f t="shared" si="27"/>
        <v>2000</v>
      </c>
      <c r="Q40" s="20">
        <f t="shared" si="27"/>
        <v>6800</v>
      </c>
      <c r="R40" s="20">
        <f t="shared" si="27"/>
        <v>33600</v>
      </c>
      <c r="S40" s="20">
        <f t="shared" si="27"/>
        <v>12400</v>
      </c>
      <c r="T40" s="26">
        <f t="shared" si="24"/>
        <v>417200</v>
      </c>
    </row>
    <row r="41" spans="1:20" s="3" customFormat="1" ht="20.100000000000001" customHeight="1">
      <c r="A41" s="23" t="s">
        <v>77</v>
      </c>
      <c r="B41" s="27" t="s">
        <v>81</v>
      </c>
      <c r="C41" s="27" t="s">
        <v>16</v>
      </c>
      <c r="D41" s="35" t="s">
        <v>179</v>
      </c>
      <c r="E41" s="22">
        <f>400*E60</f>
        <v>44800</v>
      </c>
      <c r="F41" s="22">
        <f t="shared" ref="F41:S41" si="28">400*F60</f>
        <v>28800</v>
      </c>
      <c r="G41" s="22">
        <f t="shared" si="28"/>
        <v>30800</v>
      </c>
      <c r="H41" s="22">
        <f t="shared" si="28"/>
        <v>34000</v>
      </c>
      <c r="I41" s="22">
        <f t="shared" si="28"/>
        <v>75600</v>
      </c>
      <c r="J41" s="22">
        <f t="shared" si="28"/>
        <v>24000</v>
      </c>
      <c r="K41" s="22">
        <f t="shared" si="28"/>
        <v>22000</v>
      </c>
      <c r="L41" s="22">
        <f t="shared" si="28"/>
        <v>17600</v>
      </c>
      <c r="M41" s="22">
        <f t="shared" si="28"/>
        <v>16000</v>
      </c>
      <c r="N41" s="22">
        <f t="shared" si="28"/>
        <v>17200</v>
      </c>
      <c r="O41" s="22">
        <f t="shared" si="28"/>
        <v>51600</v>
      </c>
      <c r="P41" s="22">
        <f t="shared" si="28"/>
        <v>2000</v>
      </c>
      <c r="Q41" s="22">
        <f t="shared" si="28"/>
        <v>6800</v>
      </c>
      <c r="R41" s="22">
        <f t="shared" si="28"/>
        <v>33600</v>
      </c>
      <c r="S41" s="22">
        <f t="shared" si="28"/>
        <v>12400</v>
      </c>
      <c r="T41" s="26">
        <f t="shared" si="24"/>
        <v>417200</v>
      </c>
    </row>
    <row r="42" spans="1:20" ht="20.100000000000001" customHeight="1">
      <c r="A42" s="23" t="s">
        <v>78</v>
      </c>
      <c r="B42" s="24" t="s">
        <v>83</v>
      </c>
      <c r="C42" s="24"/>
      <c r="D42" s="25" t="s">
        <v>10</v>
      </c>
      <c r="E42" s="20">
        <f>E43</f>
        <v>489330</v>
      </c>
      <c r="F42" s="20">
        <f t="shared" ref="F42:S42" si="29">F43</f>
        <v>135690</v>
      </c>
      <c r="G42" s="20">
        <f t="shared" si="29"/>
        <v>204405</v>
      </c>
      <c r="H42" s="20">
        <f t="shared" si="29"/>
        <v>268530</v>
      </c>
      <c r="I42" s="20">
        <f t="shared" si="29"/>
        <v>386583.60000000003</v>
      </c>
      <c r="J42" s="20">
        <f t="shared" si="29"/>
        <v>196585.65</v>
      </c>
      <c r="K42" s="20">
        <f t="shared" si="29"/>
        <v>205953.60000000003</v>
      </c>
      <c r="L42" s="20">
        <f t="shared" si="29"/>
        <v>244424.4</v>
      </c>
      <c r="M42" s="20">
        <f t="shared" si="29"/>
        <v>172176.15</v>
      </c>
      <c r="N42" s="20">
        <f t="shared" si="29"/>
        <v>136753.79999999999</v>
      </c>
      <c r="O42" s="20">
        <f t="shared" si="29"/>
        <v>509998.35</v>
      </c>
      <c r="P42" s="20">
        <f t="shared" si="29"/>
        <v>34500</v>
      </c>
      <c r="Q42" s="20">
        <f t="shared" si="29"/>
        <v>65355</v>
      </c>
      <c r="R42" s="20">
        <f t="shared" si="29"/>
        <v>199268.7</v>
      </c>
      <c r="S42" s="20">
        <f t="shared" si="29"/>
        <v>59392.800000000003</v>
      </c>
      <c r="T42" s="26">
        <f t="shared" si="24"/>
        <v>3308947.05</v>
      </c>
    </row>
    <row r="43" spans="1:20" s="3" customFormat="1" ht="20.100000000000001" customHeight="1">
      <c r="A43" s="23" t="s">
        <v>80</v>
      </c>
      <c r="B43" s="27" t="s">
        <v>85</v>
      </c>
      <c r="C43" s="27" t="s">
        <v>16</v>
      </c>
      <c r="D43" s="35" t="s">
        <v>180</v>
      </c>
      <c r="E43" s="22">
        <f>15*E71</f>
        <v>489330</v>
      </c>
      <c r="F43" s="22">
        <f t="shared" ref="F43:S43" si="30">15*F71</f>
        <v>135690</v>
      </c>
      <c r="G43" s="22">
        <f t="shared" si="30"/>
        <v>204405</v>
      </c>
      <c r="H43" s="22">
        <f t="shared" si="30"/>
        <v>268530</v>
      </c>
      <c r="I43" s="22">
        <f t="shared" si="30"/>
        <v>386583.60000000003</v>
      </c>
      <c r="J43" s="22">
        <f t="shared" si="30"/>
        <v>196585.65</v>
      </c>
      <c r="K43" s="22">
        <f t="shared" si="30"/>
        <v>205953.60000000003</v>
      </c>
      <c r="L43" s="22">
        <f t="shared" si="30"/>
        <v>244424.4</v>
      </c>
      <c r="M43" s="22">
        <f t="shared" si="30"/>
        <v>172176.15</v>
      </c>
      <c r="N43" s="22">
        <f t="shared" si="30"/>
        <v>136753.79999999999</v>
      </c>
      <c r="O43" s="22">
        <f t="shared" si="30"/>
        <v>509998.35</v>
      </c>
      <c r="P43" s="22">
        <f t="shared" si="30"/>
        <v>34500</v>
      </c>
      <c r="Q43" s="22">
        <f t="shared" si="30"/>
        <v>65355</v>
      </c>
      <c r="R43" s="22">
        <f t="shared" si="30"/>
        <v>199268.7</v>
      </c>
      <c r="S43" s="22">
        <f t="shared" si="30"/>
        <v>59392.800000000003</v>
      </c>
      <c r="T43" s="26">
        <f t="shared" si="24"/>
        <v>3308947.05</v>
      </c>
    </row>
    <row r="44" spans="1:20" ht="20.100000000000001" customHeight="1">
      <c r="A44" s="23" t="s">
        <v>82</v>
      </c>
      <c r="B44" s="24" t="s">
        <v>87</v>
      </c>
      <c r="C44" s="24"/>
      <c r="D44" s="25" t="s">
        <v>10</v>
      </c>
      <c r="E44" s="20">
        <f>E45</f>
        <v>238592</v>
      </c>
      <c r="F44" s="20">
        <f t="shared" ref="F44:S44" si="31">F45</f>
        <v>69296</v>
      </c>
      <c r="G44" s="20">
        <f t="shared" si="31"/>
        <v>64000</v>
      </c>
      <c r="H44" s="20">
        <f t="shared" si="31"/>
        <v>64000</v>
      </c>
      <c r="I44" s="20">
        <f t="shared" si="31"/>
        <v>126840</v>
      </c>
      <c r="J44" s="20">
        <f t="shared" si="31"/>
        <v>37352</v>
      </c>
      <c r="K44" s="20">
        <f t="shared" si="31"/>
        <v>51136</v>
      </c>
      <c r="L44" s="20">
        <f t="shared" si="31"/>
        <v>57700.800000000003</v>
      </c>
      <c r="M44" s="20">
        <f t="shared" si="31"/>
        <v>52681.599999999999</v>
      </c>
      <c r="N44" s="20">
        <f t="shared" si="31"/>
        <v>24480</v>
      </c>
      <c r="O44" s="20">
        <f t="shared" si="31"/>
        <v>168480</v>
      </c>
      <c r="P44" s="20">
        <f t="shared" si="31"/>
        <v>0</v>
      </c>
      <c r="Q44" s="20">
        <f t="shared" si="31"/>
        <v>12040</v>
      </c>
      <c r="R44" s="20">
        <f t="shared" si="31"/>
        <v>54272</v>
      </c>
      <c r="S44" s="20">
        <f t="shared" si="31"/>
        <v>32104</v>
      </c>
      <c r="T44" s="26">
        <f t="shared" si="24"/>
        <v>1052974.3999999999</v>
      </c>
    </row>
    <row r="45" spans="1:20" s="3" customFormat="1" ht="20.100000000000001" customHeight="1">
      <c r="A45" s="23" t="s">
        <v>84</v>
      </c>
      <c r="B45" s="27" t="s">
        <v>89</v>
      </c>
      <c r="C45" s="27" t="s">
        <v>16</v>
      </c>
      <c r="D45" s="35" t="s">
        <v>181</v>
      </c>
      <c r="E45" s="22">
        <f>8*E72</f>
        <v>238592</v>
      </c>
      <c r="F45" s="22">
        <f t="shared" ref="F45:S45" si="32">8*F72</f>
        <v>69296</v>
      </c>
      <c r="G45" s="22">
        <f t="shared" si="32"/>
        <v>64000</v>
      </c>
      <c r="H45" s="22">
        <f t="shared" si="32"/>
        <v>64000</v>
      </c>
      <c r="I45" s="22">
        <f t="shared" si="32"/>
        <v>126840</v>
      </c>
      <c r="J45" s="22">
        <f t="shared" si="32"/>
        <v>37352</v>
      </c>
      <c r="K45" s="22">
        <f t="shared" si="32"/>
        <v>51136</v>
      </c>
      <c r="L45" s="22">
        <f t="shared" si="32"/>
        <v>57700.800000000003</v>
      </c>
      <c r="M45" s="22">
        <f t="shared" si="32"/>
        <v>52681.599999999999</v>
      </c>
      <c r="N45" s="22">
        <f t="shared" si="32"/>
        <v>24480</v>
      </c>
      <c r="O45" s="22">
        <f t="shared" si="32"/>
        <v>168480</v>
      </c>
      <c r="P45" s="22">
        <f t="shared" si="32"/>
        <v>0</v>
      </c>
      <c r="Q45" s="22">
        <f t="shared" si="32"/>
        <v>12040</v>
      </c>
      <c r="R45" s="22">
        <f t="shared" si="32"/>
        <v>54272</v>
      </c>
      <c r="S45" s="22">
        <f t="shared" si="32"/>
        <v>32104</v>
      </c>
      <c r="T45" s="26">
        <f t="shared" si="24"/>
        <v>1052974.3999999999</v>
      </c>
    </row>
    <row r="46" spans="1:20" ht="20.100000000000001" customHeight="1">
      <c r="A46" s="23" t="s">
        <v>86</v>
      </c>
      <c r="B46" s="24" t="s">
        <v>150</v>
      </c>
      <c r="C46" s="24"/>
      <c r="D46" s="25" t="s">
        <v>10</v>
      </c>
      <c r="E46" s="20">
        <f>E47+E48</f>
        <v>876960</v>
      </c>
      <c r="F46" s="20">
        <f t="shared" ref="F46:S46" si="33">F47+F48</f>
        <v>544320</v>
      </c>
      <c r="G46" s="20">
        <f t="shared" si="33"/>
        <v>669600</v>
      </c>
      <c r="H46" s="20">
        <f t="shared" si="33"/>
        <v>583200</v>
      </c>
      <c r="I46" s="20">
        <f t="shared" si="33"/>
        <v>911520</v>
      </c>
      <c r="J46" s="20">
        <f t="shared" si="33"/>
        <v>259200</v>
      </c>
      <c r="K46" s="20">
        <f t="shared" si="33"/>
        <v>289440</v>
      </c>
      <c r="L46" s="20">
        <f t="shared" si="33"/>
        <v>276480</v>
      </c>
      <c r="M46" s="20">
        <f t="shared" si="33"/>
        <v>198720</v>
      </c>
      <c r="N46" s="20">
        <f t="shared" si="33"/>
        <v>190080</v>
      </c>
      <c r="O46" s="20">
        <f t="shared" si="33"/>
        <v>578880</v>
      </c>
      <c r="P46" s="20">
        <f t="shared" si="33"/>
        <v>38880</v>
      </c>
      <c r="Q46" s="20">
        <f t="shared" si="33"/>
        <v>73440</v>
      </c>
      <c r="R46" s="20">
        <f t="shared" si="33"/>
        <v>384480</v>
      </c>
      <c r="S46" s="20">
        <f t="shared" si="33"/>
        <v>181440</v>
      </c>
      <c r="T46" s="26">
        <f t="shared" si="24"/>
        <v>6056640</v>
      </c>
    </row>
    <row r="47" spans="1:20" s="3" customFormat="1" ht="20.100000000000001" customHeight="1">
      <c r="A47" s="23" t="s">
        <v>88</v>
      </c>
      <c r="B47" s="27" t="s">
        <v>151</v>
      </c>
      <c r="C47" s="27" t="s">
        <v>16</v>
      </c>
      <c r="D47" s="35" t="s">
        <v>182</v>
      </c>
      <c r="E47" s="22">
        <f>4320*E60</f>
        <v>483840</v>
      </c>
      <c r="F47" s="22">
        <f t="shared" ref="F47:S47" si="34">4320*F60</f>
        <v>311040</v>
      </c>
      <c r="G47" s="22">
        <f t="shared" si="34"/>
        <v>332640</v>
      </c>
      <c r="H47" s="22">
        <f t="shared" si="34"/>
        <v>367200</v>
      </c>
      <c r="I47" s="22">
        <f t="shared" si="34"/>
        <v>816480</v>
      </c>
      <c r="J47" s="22">
        <f t="shared" si="34"/>
        <v>259200</v>
      </c>
      <c r="K47" s="22">
        <f t="shared" si="34"/>
        <v>237600</v>
      </c>
      <c r="L47" s="22">
        <f t="shared" si="34"/>
        <v>190080</v>
      </c>
      <c r="M47" s="22">
        <f t="shared" si="34"/>
        <v>172800</v>
      </c>
      <c r="N47" s="22">
        <f t="shared" si="34"/>
        <v>185760</v>
      </c>
      <c r="O47" s="22">
        <f t="shared" si="34"/>
        <v>557280</v>
      </c>
      <c r="P47" s="22">
        <f t="shared" si="34"/>
        <v>21600</v>
      </c>
      <c r="Q47" s="22">
        <f t="shared" si="34"/>
        <v>73440</v>
      </c>
      <c r="R47" s="22">
        <f t="shared" si="34"/>
        <v>362880</v>
      </c>
      <c r="S47" s="22">
        <f t="shared" si="34"/>
        <v>133920</v>
      </c>
      <c r="T47" s="26">
        <f t="shared" si="24"/>
        <v>4505760</v>
      </c>
    </row>
    <row r="48" spans="1:20" s="3" customFormat="1" ht="20.100000000000001" customHeight="1">
      <c r="A48" s="23" t="s">
        <v>90</v>
      </c>
      <c r="B48" s="27" t="s">
        <v>152</v>
      </c>
      <c r="C48" s="27" t="s">
        <v>16</v>
      </c>
      <c r="D48" s="35" t="s">
        <v>183</v>
      </c>
      <c r="E48" s="22">
        <f>4320*E70</f>
        <v>393120</v>
      </c>
      <c r="F48" s="22">
        <f t="shared" ref="F48:S48" si="35">4320*F70</f>
        <v>233280</v>
      </c>
      <c r="G48" s="22">
        <f t="shared" si="35"/>
        <v>336960</v>
      </c>
      <c r="H48" s="22">
        <f t="shared" si="35"/>
        <v>216000</v>
      </c>
      <c r="I48" s="22">
        <f t="shared" si="35"/>
        <v>95040</v>
      </c>
      <c r="J48" s="22">
        <f t="shared" si="35"/>
        <v>0</v>
      </c>
      <c r="K48" s="22">
        <f t="shared" si="35"/>
        <v>51840</v>
      </c>
      <c r="L48" s="22">
        <f t="shared" si="35"/>
        <v>86400</v>
      </c>
      <c r="M48" s="22">
        <f t="shared" si="35"/>
        <v>25920</v>
      </c>
      <c r="N48" s="22">
        <f t="shared" si="35"/>
        <v>4320</v>
      </c>
      <c r="O48" s="22">
        <f t="shared" si="35"/>
        <v>21600</v>
      </c>
      <c r="P48" s="22">
        <f t="shared" si="35"/>
        <v>17280</v>
      </c>
      <c r="Q48" s="22">
        <f t="shared" si="35"/>
        <v>0</v>
      </c>
      <c r="R48" s="22">
        <f t="shared" si="35"/>
        <v>21600</v>
      </c>
      <c r="S48" s="22">
        <f t="shared" si="35"/>
        <v>47520</v>
      </c>
      <c r="T48" s="26">
        <f t="shared" si="24"/>
        <v>1550880</v>
      </c>
    </row>
    <row r="49" spans="1:20" ht="20.100000000000001" customHeight="1">
      <c r="A49" s="23" t="s">
        <v>91</v>
      </c>
      <c r="B49" s="24" t="s">
        <v>153</v>
      </c>
      <c r="C49" s="24"/>
      <c r="D49" s="25" t="s">
        <v>10</v>
      </c>
      <c r="E49" s="20">
        <f>E50</f>
        <v>644640</v>
      </c>
      <c r="F49" s="20">
        <f t="shared" ref="F49:S49" si="36">F50</f>
        <v>380948.57</v>
      </c>
      <c r="G49" s="20">
        <f t="shared" si="36"/>
        <v>395945.14</v>
      </c>
      <c r="H49" s="20">
        <f t="shared" si="36"/>
        <v>417291.43</v>
      </c>
      <c r="I49" s="20">
        <f t="shared" si="36"/>
        <v>901124.57</v>
      </c>
      <c r="J49" s="20">
        <f t="shared" si="36"/>
        <v>269382.86</v>
      </c>
      <c r="K49" s="20">
        <f t="shared" si="36"/>
        <v>248283.43</v>
      </c>
      <c r="L49" s="20">
        <f t="shared" si="36"/>
        <v>198257.14</v>
      </c>
      <c r="M49" s="20">
        <f t="shared" si="36"/>
        <v>174209.14</v>
      </c>
      <c r="N49" s="20">
        <f t="shared" si="36"/>
        <v>192689.14</v>
      </c>
      <c r="O49" s="20">
        <f t="shared" si="36"/>
        <v>643282.29</v>
      </c>
      <c r="P49" s="20">
        <f t="shared" si="36"/>
        <v>24285.71</v>
      </c>
      <c r="Q49" s="20">
        <f t="shared" si="36"/>
        <v>64930.29</v>
      </c>
      <c r="R49" s="20">
        <f t="shared" si="36"/>
        <v>421707.43</v>
      </c>
      <c r="S49" s="20">
        <f t="shared" si="36"/>
        <v>134259.43</v>
      </c>
      <c r="T49" s="26">
        <f t="shared" si="24"/>
        <v>5111236.57</v>
      </c>
    </row>
    <row r="50" spans="1:20" s="3" customFormat="1" ht="20.100000000000001" customHeight="1">
      <c r="A50" s="23" t="s">
        <v>92</v>
      </c>
      <c r="B50" s="27" t="s">
        <v>95</v>
      </c>
      <c r="C50" s="27" t="s">
        <v>16</v>
      </c>
      <c r="D50" s="25" t="s">
        <v>184</v>
      </c>
      <c r="E50" s="22">
        <f>ROUND(E30/0.07*0.02,2)</f>
        <v>644640</v>
      </c>
      <c r="F50" s="22">
        <f t="shared" ref="F50:S50" si="37">ROUND(F30/0.07*0.02,2)</f>
        <v>380948.57</v>
      </c>
      <c r="G50" s="22">
        <f t="shared" si="37"/>
        <v>395945.14</v>
      </c>
      <c r="H50" s="22">
        <f t="shared" si="37"/>
        <v>417291.43</v>
      </c>
      <c r="I50" s="22">
        <f t="shared" si="37"/>
        <v>901124.57</v>
      </c>
      <c r="J50" s="22">
        <f t="shared" si="37"/>
        <v>269382.86</v>
      </c>
      <c r="K50" s="22">
        <f t="shared" si="37"/>
        <v>248283.43</v>
      </c>
      <c r="L50" s="22">
        <f t="shared" si="37"/>
        <v>198257.14</v>
      </c>
      <c r="M50" s="22">
        <f t="shared" si="37"/>
        <v>174209.14</v>
      </c>
      <c r="N50" s="22">
        <f t="shared" si="37"/>
        <v>192689.14</v>
      </c>
      <c r="O50" s="22">
        <f t="shared" si="37"/>
        <v>643282.29</v>
      </c>
      <c r="P50" s="22">
        <f t="shared" si="37"/>
        <v>24285.71</v>
      </c>
      <c r="Q50" s="22">
        <f t="shared" si="37"/>
        <v>64930.29</v>
      </c>
      <c r="R50" s="22">
        <f t="shared" si="37"/>
        <v>421707.43</v>
      </c>
      <c r="S50" s="22">
        <f t="shared" si="37"/>
        <v>134259.43</v>
      </c>
      <c r="T50" s="26">
        <f t="shared" si="24"/>
        <v>5111236.57</v>
      </c>
    </row>
    <row r="51" spans="1:20" ht="20.100000000000001" customHeight="1">
      <c r="A51" s="23" t="s">
        <v>93</v>
      </c>
      <c r="B51" s="24" t="s">
        <v>154</v>
      </c>
      <c r="C51" s="24"/>
      <c r="D51" s="25" t="s">
        <v>10</v>
      </c>
      <c r="E51" s="20">
        <f>E52</f>
        <v>32000</v>
      </c>
      <c r="F51" s="20">
        <f t="shared" ref="F51:S51" si="38">F52</f>
        <v>32000</v>
      </c>
      <c r="G51" s="20">
        <f t="shared" si="38"/>
        <v>32000</v>
      </c>
      <c r="H51" s="20">
        <f t="shared" si="38"/>
        <v>25000</v>
      </c>
      <c r="I51" s="20">
        <f t="shared" si="38"/>
        <v>64000</v>
      </c>
      <c r="J51" s="20">
        <f t="shared" si="38"/>
        <v>0</v>
      </c>
      <c r="K51" s="20">
        <f t="shared" si="38"/>
        <v>32000</v>
      </c>
      <c r="L51" s="20">
        <f t="shared" si="38"/>
        <v>25000</v>
      </c>
      <c r="M51" s="20">
        <f t="shared" si="38"/>
        <v>0</v>
      </c>
      <c r="N51" s="20">
        <f t="shared" si="38"/>
        <v>0</v>
      </c>
      <c r="O51" s="20">
        <f t="shared" si="38"/>
        <v>32000</v>
      </c>
      <c r="P51" s="20">
        <f t="shared" si="38"/>
        <v>32000</v>
      </c>
      <c r="Q51" s="20">
        <f t="shared" si="38"/>
        <v>0</v>
      </c>
      <c r="R51" s="20">
        <f t="shared" si="38"/>
        <v>0</v>
      </c>
      <c r="S51" s="20">
        <f t="shared" si="38"/>
        <v>0</v>
      </c>
      <c r="T51" s="26">
        <f t="shared" si="24"/>
        <v>306000</v>
      </c>
    </row>
    <row r="52" spans="1:20" ht="20.100000000000001" customHeight="1">
      <c r="A52" s="23" t="s">
        <v>94</v>
      </c>
      <c r="B52" s="24" t="s">
        <v>98</v>
      </c>
      <c r="C52" s="24" t="s">
        <v>16</v>
      </c>
      <c r="D52" s="34" t="s">
        <v>185</v>
      </c>
      <c r="E52" s="22">
        <v>32000</v>
      </c>
      <c r="F52" s="22">
        <v>32000</v>
      </c>
      <c r="G52" s="22">
        <v>32000</v>
      </c>
      <c r="H52" s="102">
        <f>32000-7000</f>
        <v>25000</v>
      </c>
      <c r="I52" s="22">
        <v>64000</v>
      </c>
      <c r="J52" s="22"/>
      <c r="K52" s="22">
        <v>32000</v>
      </c>
      <c r="L52" s="102">
        <f>32000-7000</f>
        <v>25000</v>
      </c>
      <c r="M52" s="22"/>
      <c r="N52" s="22"/>
      <c r="O52" s="22">
        <v>32000</v>
      </c>
      <c r="P52" s="22">
        <v>32000</v>
      </c>
      <c r="Q52" s="22"/>
      <c r="R52" s="22"/>
      <c r="S52" s="22"/>
      <c r="T52" s="26">
        <f t="shared" si="24"/>
        <v>306000</v>
      </c>
    </row>
    <row r="53" spans="1:20" ht="20.100000000000001" customHeight="1">
      <c r="A53" s="23" t="s">
        <v>96</v>
      </c>
      <c r="B53" s="24" t="s">
        <v>186</v>
      </c>
      <c r="C53" s="24"/>
      <c r="D53" s="25" t="s">
        <v>10</v>
      </c>
      <c r="E53" s="20">
        <f>E54</f>
        <v>36400</v>
      </c>
      <c r="F53" s="20">
        <f t="shared" ref="F53:S53" si="39">F54</f>
        <v>21600</v>
      </c>
      <c r="G53" s="20">
        <f t="shared" si="39"/>
        <v>31200</v>
      </c>
      <c r="H53" s="20">
        <f t="shared" si="39"/>
        <v>20000</v>
      </c>
      <c r="I53" s="20">
        <f t="shared" si="39"/>
        <v>8800</v>
      </c>
      <c r="J53" s="20">
        <f t="shared" si="39"/>
        <v>0</v>
      </c>
      <c r="K53" s="20">
        <f t="shared" si="39"/>
        <v>4800</v>
      </c>
      <c r="L53" s="20">
        <f t="shared" si="39"/>
        <v>8000</v>
      </c>
      <c r="M53" s="20">
        <f t="shared" si="39"/>
        <v>2400</v>
      </c>
      <c r="N53" s="20">
        <f t="shared" si="39"/>
        <v>400</v>
      </c>
      <c r="O53" s="20">
        <f t="shared" si="39"/>
        <v>2000</v>
      </c>
      <c r="P53" s="20">
        <f t="shared" si="39"/>
        <v>1600</v>
      </c>
      <c r="Q53" s="20">
        <f t="shared" si="39"/>
        <v>0</v>
      </c>
      <c r="R53" s="20">
        <f t="shared" si="39"/>
        <v>2000</v>
      </c>
      <c r="S53" s="20">
        <f t="shared" si="39"/>
        <v>4400</v>
      </c>
      <c r="T53" s="26">
        <f t="shared" si="24"/>
        <v>143600</v>
      </c>
    </row>
    <row r="54" spans="1:20" s="3" customFormat="1" ht="20.100000000000001" customHeight="1">
      <c r="A54" s="23" t="s">
        <v>97</v>
      </c>
      <c r="B54" s="27" t="s">
        <v>187</v>
      </c>
      <c r="C54" s="27" t="s">
        <v>16</v>
      </c>
      <c r="D54" s="35" t="s">
        <v>188</v>
      </c>
      <c r="E54" s="22">
        <f>400*E70</f>
        <v>36400</v>
      </c>
      <c r="F54" s="22">
        <f t="shared" ref="F54:S54" si="40">400*F70</f>
        <v>21600</v>
      </c>
      <c r="G54" s="22">
        <f t="shared" si="40"/>
        <v>31200</v>
      </c>
      <c r="H54" s="22">
        <f t="shared" si="40"/>
        <v>20000</v>
      </c>
      <c r="I54" s="22">
        <f t="shared" si="40"/>
        <v>8800</v>
      </c>
      <c r="J54" s="22">
        <f t="shared" si="40"/>
        <v>0</v>
      </c>
      <c r="K54" s="22">
        <f t="shared" si="40"/>
        <v>4800</v>
      </c>
      <c r="L54" s="22">
        <f t="shared" si="40"/>
        <v>8000</v>
      </c>
      <c r="M54" s="22">
        <f t="shared" si="40"/>
        <v>2400</v>
      </c>
      <c r="N54" s="22">
        <f t="shared" si="40"/>
        <v>400</v>
      </c>
      <c r="O54" s="22">
        <f t="shared" si="40"/>
        <v>2000</v>
      </c>
      <c r="P54" s="22">
        <f t="shared" si="40"/>
        <v>1600</v>
      </c>
      <c r="Q54" s="22">
        <f t="shared" si="40"/>
        <v>0</v>
      </c>
      <c r="R54" s="22">
        <f t="shared" si="40"/>
        <v>2000</v>
      </c>
      <c r="S54" s="22">
        <f t="shared" si="40"/>
        <v>4400</v>
      </c>
      <c r="T54" s="26">
        <f t="shared" si="24"/>
        <v>143600</v>
      </c>
    </row>
    <row r="55" spans="1:20" s="3" customFormat="1" ht="20.100000000000001" customHeight="1">
      <c r="A55" s="23" t="s">
        <v>99</v>
      </c>
      <c r="B55" s="27" t="s">
        <v>189</v>
      </c>
      <c r="C55" s="27"/>
      <c r="D55" s="35"/>
      <c r="E55" s="22">
        <f>E56</f>
        <v>6400</v>
      </c>
      <c r="F55" s="22">
        <f t="shared" ref="F55:S55" si="41">F56</f>
        <v>3000</v>
      </c>
      <c r="G55" s="22">
        <f t="shared" si="41"/>
        <v>1000</v>
      </c>
      <c r="H55" s="22">
        <f t="shared" si="41"/>
        <v>3700</v>
      </c>
      <c r="I55" s="22">
        <f t="shared" si="41"/>
        <v>5000</v>
      </c>
      <c r="J55" s="22">
        <f t="shared" si="41"/>
        <v>5000</v>
      </c>
      <c r="K55" s="22">
        <f t="shared" si="41"/>
        <v>4500</v>
      </c>
      <c r="L55" s="22">
        <f t="shared" si="41"/>
        <v>3600</v>
      </c>
      <c r="M55" s="22">
        <f t="shared" si="41"/>
        <v>4700</v>
      </c>
      <c r="N55" s="22">
        <f t="shared" si="41"/>
        <v>3000</v>
      </c>
      <c r="O55" s="22">
        <f t="shared" si="41"/>
        <v>5000</v>
      </c>
      <c r="P55" s="22">
        <f t="shared" si="41"/>
        <v>0</v>
      </c>
      <c r="Q55" s="22">
        <f t="shared" si="41"/>
        <v>2000</v>
      </c>
      <c r="R55" s="22">
        <f t="shared" si="41"/>
        <v>2000</v>
      </c>
      <c r="S55" s="22">
        <f t="shared" si="41"/>
        <v>3000</v>
      </c>
      <c r="T55" s="26">
        <f t="shared" si="24"/>
        <v>51900</v>
      </c>
    </row>
    <row r="56" spans="1:20" ht="20.100000000000001" customHeight="1">
      <c r="A56" s="23" t="s">
        <v>100</v>
      </c>
      <c r="B56" s="24" t="s">
        <v>190</v>
      </c>
      <c r="C56" s="24" t="s">
        <v>16</v>
      </c>
      <c r="D56" s="34" t="s">
        <v>191</v>
      </c>
      <c r="E56" s="36">
        <v>6400</v>
      </c>
      <c r="F56" s="36">
        <v>3000</v>
      </c>
      <c r="G56" s="36">
        <v>1000</v>
      </c>
      <c r="H56" s="36">
        <v>3700</v>
      </c>
      <c r="I56" s="36">
        <v>5000</v>
      </c>
      <c r="J56" s="36">
        <v>5000</v>
      </c>
      <c r="K56" s="36">
        <v>4500</v>
      </c>
      <c r="L56" s="36">
        <v>3600</v>
      </c>
      <c r="M56" s="36">
        <v>4700</v>
      </c>
      <c r="N56" s="36">
        <v>3000</v>
      </c>
      <c r="O56" s="36">
        <v>5000</v>
      </c>
      <c r="P56" s="36"/>
      <c r="Q56" s="36">
        <v>2000</v>
      </c>
      <c r="R56" s="36">
        <v>2000</v>
      </c>
      <c r="S56" s="36">
        <v>3000</v>
      </c>
      <c r="T56" s="26">
        <f t="shared" si="24"/>
        <v>51900</v>
      </c>
    </row>
    <row r="57" spans="1:20" ht="20.100000000000001" customHeight="1">
      <c r="A57" s="23" t="s">
        <v>101</v>
      </c>
      <c r="B57" s="24" t="s">
        <v>192</v>
      </c>
      <c r="C57" s="24"/>
      <c r="D57" s="25" t="s">
        <v>10</v>
      </c>
      <c r="E57" s="20">
        <f>E58</f>
        <v>0</v>
      </c>
      <c r="F57" s="20">
        <f t="shared" ref="F57:S57" si="42">F58</f>
        <v>0</v>
      </c>
      <c r="G57" s="20">
        <f t="shared" si="42"/>
        <v>0</v>
      </c>
      <c r="H57" s="20">
        <f t="shared" si="42"/>
        <v>0</v>
      </c>
      <c r="I57" s="20">
        <f t="shared" si="42"/>
        <v>0</v>
      </c>
      <c r="J57" s="20">
        <f t="shared" si="42"/>
        <v>32000</v>
      </c>
      <c r="K57" s="20">
        <f t="shared" si="42"/>
        <v>0</v>
      </c>
      <c r="L57" s="20">
        <f t="shared" si="42"/>
        <v>0</v>
      </c>
      <c r="M57" s="20">
        <f t="shared" si="42"/>
        <v>32000</v>
      </c>
      <c r="N57" s="20">
        <f t="shared" si="42"/>
        <v>32000</v>
      </c>
      <c r="O57" s="20">
        <f t="shared" si="42"/>
        <v>0</v>
      </c>
      <c r="P57" s="20">
        <f t="shared" si="42"/>
        <v>0</v>
      </c>
      <c r="Q57" s="20">
        <f t="shared" si="42"/>
        <v>32000</v>
      </c>
      <c r="R57" s="20">
        <f t="shared" si="42"/>
        <v>32000</v>
      </c>
      <c r="S57" s="20">
        <f t="shared" si="42"/>
        <v>32000</v>
      </c>
      <c r="T57" s="26">
        <f t="shared" si="24"/>
        <v>192000</v>
      </c>
    </row>
    <row r="58" spans="1:20" ht="20.100000000000001" customHeight="1" thickBot="1">
      <c r="A58" s="23" t="s">
        <v>102</v>
      </c>
      <c r="B58" s="4" t="s">
        <v>105</v>
      </c>
      <c r="C58" s="24" t="s">
        <v>16</v>
      </c>
      <c r="D58" s="5" t="s">
        <v>193</v>
      </c>
      <c r="E58" s="2"/>
      <c r="F58" s="2"/>
      <c r="G58" s="2"/>
      <c r="H58" s="2"/>
      <c r="I58" s="2"/>
      <c r="J58" s="2">
        <v>32000</v>
      </c>
      <c r="K58" s="2"/>
      <c r="L58" s="2"/>
      <c r="M58" s="2">
        <v>32000</v>
      </c>
      <c r="N58" s="2">
        <v>32000</v>
      </c>
      <c r="O58" s="2"/>
      <c r="P58" s="2"/>
      <c r="Q58" s="2">
        <v>32000</v>
      </c>
      <c r="R58" s="2">
        <v>32000</v>
      </c>
      <c r="S58" s="2">
        <v>32000</v>
      </c>
      <c r="T58" s="26">
        <f t="shared" si="24"/>
        <v>192000</v>
      </c>
    </row>
    <row r="59" spans="1:20" ht="20.100000000000001" customHeight="1" thickTop="1">
      <c r="A59" s="23" t="s">
        <v>103</v>
      </c>
      <c r="B59" s="6" t="s">
        <v>107</v>
      </c>
      <c r="C59" s="6"/>
      <c r="D59" s="7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26">
        <f t="shared" si="24"/>
        <v>0</v>
      </c>
    </row>
    <row r="60" spans="1:20" ht="20.100000000000001" customHeight="1">
      <c r="A60" s="23" t="s">
        <v>104</v>
      </c>
      <c r="B60" s="24" t="s">
        <v>109</v>
      </c>
      <c r="C60" s="24"/>
      <c r="D60" s="25" t="s">
        <v>194</v>
      </c>
      <c r="E60" s="20">
        <f>E61+E62+E63+E64</f>
        <v>112</v>
      </c>
      <c r="F60" s="20">
        <f t="shared" ref="F60:S60" si="43">F61+F62+F63+F64</f>
        <v>72</v>
      </c>
      <c r="G60" s="20">
        <f t="shared" si="43"/>
        <v>77</v>
      </c>
      <c r="H60" s="20">
        <f t="shared" si="43"/>
        <v>85</v>
      </c>
      <c r="I60" s="20">
        <f t="shared" si="43"/>
        <v>189</v>
      </c>
      <c r="J60" s="20">
        <f t="shared" si="43"/>
        <v>60</v>
      </c>
      <c r="K60" s="20">
        <f t="shared" si="43"/>
        <v>55</v>
      </c>
      <c r="L60" s="20">
        <f t="shared" si="43"/>
        <v>44</v>
      </c>
      <c r="M60" s="20">
        <f t="shared" si="43"/>
        <v>40</v>
      </c>
      <c r="N60" s="20">
        <f t="shared" si="43"/>
        <v>43</v>
      </c>
      <c r="O60" s="20">
        <f t="shared" si="43"/>
        <v>129</v>
      </c>
      <c r="P60" s="20">
        <f t="shared" si="43"/>
        <v>5</v>
      </c>
      <c r="Q60" s="20">
        <v>17</v>
      </c>
      <c r="R60" s="20">
        <f t="shared" si="43"/>
        <v>84</v>
      </c>
      <c r="S60" s="20">
        <f t="shared" si="43"/>
        <v>31</v>
      </c>
      <c r="T60" s="26">
        <f t="shared" si="24"/>
        <v>1043</v>
      </c>
    </row>
    <row r="61" spans="1:20" ht="20.100000000000001" customHeight="1">
      <c r="A61" s="23" t="s">
        <v>106</v>
      </c>
      <c r="B61" s="37" t="s">
        <v>111</v>
      </c>
      <c r="C61" s="37"/>
      <c r="D61" s="29"/>
      <c r="E61" s="30">
        <v>112</v>
      </c>
      <c r="F61" s="30">
        <v>72</v>
      </c>
      <c r="G61" s="30"/>
      <c r="H61" s="30"/>
      <c r="I61" s="30"/>
      <c r="J61" s="30"/>
      <c r="K61" s="30"/>
      <c r="L61" s="30"/>
      <c r="M61" s="30"/>
      <c r="N61" s="30"/>
      <c r="O61" s="30">
        <v>60</v>
      </c>
      <c r="P61" s="30"/>
      <c r="Q61" s="30"/>
      <c r="R61" s="30">
        <v>84</v>
      </c>
      <c r="S61" s="30"/>
      <c r="T61" s="26">
        <f t="shared" si="24"/>
        <v>328</v>
      </c>
    </row>
    <row r="62" spans="1:20" ht="20.100000000000001" customHeight="1">
      <c r="A62" s="23" t="s">
        <v>108</v>
      </c>
      <c r="B62" s="37" t="s">
        <v>113</v>
      </c>
      <c r="C62" s="37"/>
      <c r="D62" s="25"/>
      <c r="E62" s="22"/>
      <c r="F62" s="22"/>
      <c r="G62" s="22">
        <v>77</v>
      </c>
      <c r="H62" s="22">
        <v>85</v>
      </c>
      <c r="I62" s="22">
        <v>189</v>
      </c>
      <c r="J62" s="22">
        <v>60</v>
      </c>
      <c r="K62" s="22"/>
      <c r="L62" s="22"/>
      <c r="M62" s="22"/>
      <c r="N62" s="22"/>
      <c r="O62" s="22">
        <v>69</v>
      </c>
      <c r="P62" s="22"/>
      <c r="Q62" s="22"/>
      <c r="R62" s="22"/>
      <c r="S62" s="22"/>
      <c r="T62" s="26">
        <f t="shared" ref="T62:T72" si="44">SUM(E62:S62)</f>
        <v>480</v>
      </c>
    </row>
    <row r="63" spans="1:20" ht="20.100000000000001" customHeight="1">
      <c r="A63" s="23" t="s">
        <v>110</v>
      </c>
      <c r="B63" s="37" t="s">
        <v>115</v>
      </c>
      <c r="C63" s="37"/>
      <c r="D63" s="29"/>
      <c r="E63" s="30"/>
      <c r="F63" s="30"/>
      <c r="G63" s="30"/>
      <c r="H63" s="30"/>
      <c r="I63" s="30"/>
      <c r="J63" s="30"/>
      <c r="K63" s="30">
        <v>55</v>
      </c>
      <c r="L63" s="30">
        <v>44</v>
      </c>
      <c r="M63" s="30">
        <v>40</v>
      </c>
      <c r="N63" s="30">
        <v>43</v>
      </c>
      <c r="O63" s="30"/>
      <c r="P63" s="30"/>
      <c r="Q63" s="30">
        <v>17</v>
      </c>
      <c r="R63" s="30"/>
      <c r="S63" s="30">
        <v>31</v>
      </c>
      <c r="T63" s="26">
        <f t="shared" si="44"/>
        <v>230</v>
      </c>
    </row>
    <row r="64" spans="1:20" ht="20.100000000000001" customHeight="1">
      <c r="A64" s="23" t="s">
        <v>112</v>
      </c>
      <c r="B64" s="37" t="s">
        <v>117</v>
      </c>
      <c r="C64" s="37"/>
      <c r="D64" s="29"/>
      <c r="E64" s="30"/>
      <c r="F64" s="30"/>
      <c r="G64" s="30"/>
      <c r="H64" s="30"/>
      <c r="I64" s="30"/>
      <c r="J64" s="30"/>
      <c r="K64" s="30"/>
      <c r="L64" s="30"/>
      <c r="M64" s="30"/>
      <c r="N64" s="30"/>
      <c r="O64" s="30"/>
      <c r="P64" s="30">
        <v>5</v>
      </c>
      <c r="Q64" s="30"/>
      <c r="R64" s="30"/>
      <c r="S64" s="30"/>
      <c r="T64" s="26">
        <f t="shared" si="44"/>
        <v>5</v>
      </c>
    </row>
    <row r="65" spans="1:20" ht="20.100000000000001" customHeight="1">
      <c r="A65" s="23" t="s">
        <v>114</v>
      </c>
      <c r="B65" s="24" t="s">
        <v>119</v>
      </c>
      <c r="C65" s="24"/>
      <c r="D65" s="25" t="s">
        <v>195</v>
      </c>
      <c r="E65" s="20">
        <f>E66+E67+E68+E69</f>
        <v>1486</v>
      </c>
      <c r="F65" s="20">
        <f t="shared" ref="F65:S65" si="45">F66+F67+F68+F69</f>
        <v>952</v>
      </c>
      <c r="G65" s="20">
        <f t="shared" si="45"/>
        <v>1091</v>
      </c>
      <c r="H65" s="20">
        <f t="shared" si="45"/>
        <v>1039</v>
      </c>
      <c r="I65" s="20">
        <f t="shared" si="45"/>
        <v>3206</v>
      </c>
      <c r="J65" s="20">
        <f t="shared" si="45"/>
        <v>892</v>
      </c>
      <c r="K65" s="20">
        <f t="shared" si="45"/>
        <v>679</v>
      </c>
      <c r="L65" s="20">
        <f t="shared" si="45"/>
        <v>506</v>
      </c>
      <c r="M65" s="20">
        <f t="shared" si="45"/>
        <v>513</v>
      </c>
      <c r="N65" s="20">
        <f t="shared" si="45"/>
        <v>548</v>
      </c>
      <c r="O65" s="20">
        <f t="shared" si="45"/>
        <v>1856</v>
      </c>
      <c r="P65" s="20">
        <f t="shared" si="45"/>
        <v>0</v>
      </c>
      <c r="Q65" s="20">
        <f t="shared" si="45"/>
        <v>239</v>
      </c>
      <c r="R65" s="20">
        <f t="shared" si="45"/>
        <v>1282</v>
      </c>
      <c r="S65" s="20">
        <f t="shared" si="45"/>
        <v>388</v>
      </c>
      <c r="T65" s="26">
        <f t="shared" si="44"/>
        <v>14677</v>
      </c>
    </row>
    <row r="66" spans="1:20" ht="20.100000000000001" customHeight="1">
      <c r="A66" s="23" t="s">
        <v>116</v>
      </c>
      <c r="B66" s="37" t="s">
        <v>111</v>
      </c>
      <c r="C66" s="37"/>
      <c r="D66" s="29"/>
      <c r="E66" s="30">
        <v>1486</v>
      </c>
      <c r="F66" s="30">
        <v>952</v>
      </c>
      <c r="G66" s="30"/>
      <c r="H66" s="30"/>
      <c r="I66" s="30"/>
      <c r="J66" s="30"/>
      <c r="K66" s="30"/>
      <c r="L66" s="30"/>
      <c r="M66" s="30"/>
      <c r="N66" s="30"/>
      <c r="O66" s="30">
        <v>835</v>
      </c>
      <c r="P66" s="30"/>
      <c r="Q66" s="30"/>
      <c r="R66" s="30">
        <v>1282</v>
      </c>
      <c r="S66" s="30"/>
      <c r="T66" s="26">
        <f t="shared" si="44"/>
        <v>4555</v>
      </c>
    </row>
    <row r="67" spans="1:20" ht="20.100000000000001" customHeight="1">
      <c r="A67" s="23" t="s">
        <v>118</v>
      </c>
      <c r="B67" s="37" t="s">
        <v>113</v>
      </c>
      <c r="C67" s="37"/>
      <c r="D67" s="25"/>
      <c r="E67" s="22"/>
      <c r="F67" s="22"/>
      <c r="G67" s="22">
        <v>1091</v>
      </c>
      <c r="H67" s="22">
        <v>1039</v>
      </c>
      <c r="I67" s="22">
        <v>3206</v>
      </c>
      <c r="J67" s="22">
        <v>892</v>
      </c>
      <c r="K67" s="22"/>
      <c r="L67" s="22"/>
      <c r="M67" s="22"/>
      <c r="N67" s="22"/>
      <c r="O67" s="22">
        <v>1021</v>
      </c>
      <c r="P67" s="22"/>
      <c r="Q67" s="22"/>
      <c r="R67" s="22"/>
      <c r="S67" s="22"/>
      <c r="T67" s="26">
        <f t="shared" si="44"/>
        <v>7249</v>
      </c>
    </row>
    <row r="68" spans="1:20" ht="20.100000000000001" customHeight="1">
      <c r="A68" s="23" t="s">
        <v>120</v>
      </c>
      <c r="B68" s="37" t="s">
        <v>115</v>
      </c>
      <c r="C68" s="37"/>
      <c r="D68" s="29"/>
      <c r="E68" s="30"/>
      <c r="F68" s="30"/>
      <c r="G68" s="30"/>
      <c r="H68" s="30"/>
      <c r="I68" s="30"/>
      <c r="J68" s="30"/>
      <c r="K68" s="30">
        <v>679</v>
      </c>
      <c r="L68" s="30">
        <v>506</v>
      </c>
      <c r="M68" s="30">
        <v>513</v>
      </c>
      <c r="N68" s="30">
        <v>548</v>
      </c>
      <c r="O68" s="30"/>
      <c r="P68" s="30"/>
      <c r="Q68" s="30">
        <v>239</v>
      </c>
      <c r="R68" s="30"/>
      <c r="S68" s="30">
        <v>388</v>
      </c>
      <c r="T68" s="26">
        <f t="shared" si="44"/>
        <v>2873</v>
      </c>
    </row>
    <row r="69" spans="1:20" ht="20.100000000000001" customHeight="1">
      <c r="A69" s="23" t="s">
        <v>121</v>
      </c>
      <c r="B69" s="37" t="s">
        <v>117</v>
      </c>
      <c r="C69" s="37"/>
      <c r="D69" s="29"/>
      <c r="E69" s="30"/>
      <c r="F69" s="30"/>
      <c r="G69" s="30"/>
      <c r="H69" s="30"/>
      <c r="I69" s="30"/>
      <c r="J69" s="30"/>
      <c r="K69" s="30"/>
      <c r="L69" s="30"/>
      <c r="M69" s="30"/>
      <c r="N69" s="30"/>
      <c r="O69" s="30"/>
      <c r="P69" s="30"/>
      <c r="Q69" s="30"/>
      <c r="R69" s="30"/>
      <c r="S69" s="30"/>
      <c r="T69" s="26">
        <f t="shared" si="44"/>
        <v>0</v>
      </c>
    </row>
    <row r="70" spans="1:20" ht="20.100000000000001" customHeight="1">
      <c r="A70" s="23" t="s">
        <v>122</v>
      </c>
      <c r="B70" s="24" t="s">
        <v>196</v>
      </c>
      <c r="C70" s="24"/>
      <c r="D70" s="25"/>
      <c r="E70" s="22">
        <v>91</v>
      </c>
      <c r="F70" s="22">
        <v>54</v>
      </c>
      <c r="G70" s="22">
        <v>78</v>
      </c>
      <c r="H70" s="22">
        <v>50</v>
      </c>
      <c r="I70" s="22">
        <v>22</v>
      </c>
      <c r="J70" s="22"/>
      <c r="K70" s="22">
        <v>12</v>
      </c>
      <c r="L70" s="22">
        <v>20</v>
      </c>
      <c r="M70" s="22">
        <v>6</v>
      </c>
      <c r="N70" s="22">
        <v>1</v>
      </c>
      <c r="O70" s="22">
        <v>5</v>
      </c>
      <c r="P70" s="22">
        <v>4</v>
      </c>
      <c r="Q70" s="22"/>
      <c r="R70" s="22">
        <v>5</v>
      </c>
      <c r="S70" s="22">
        <v>11</v>
      </c>
      <c r="T70" s="26">
        <f t="shared" si="44"/>
        <v>359</v>
      </c>
    </row>
    <row r="71" spans="1:20" ht="20.100000000000001" customHeight="1">
      <c r="A71" s="23" t="s">
        <v>123</v>
      </c>
      <c r="B71" s="37" t="s">
        <v>197</v>
      </c>
      <c r="C71" s="37"/>
      <c r="D71" s="34"/>
      <c r="E71" s="22">
        <v>32622</v>
      </c>
      <c r="F71" s="22">
        <v>9046</v>
      </c>
      <c r="G71" s="22">
        <v>13627</v>
      </c>
      <c r="H71" s="22">
        <v>17902</v>
      </c>
      <c r="I71" s="22">
        <v>25772.240000000002</v>
      </c>
      <c r="J71" s="22">
        <v>13105.71</v>
      </c>
      <c r="K71" s="22">
        <f>10602.95+3127.29</f>
        <v>13730.240000000002</v>
      </c>
      <c r="L71" s="22">
        <f>6627.96+9667</f>
        <v>16294.96</v>
      </c>
      <c r="M71" s="22">
        <v>11478.41</v>
      </c>
      <c r="N71" s="22">
        <v>9116.92</v>
      </c>
      <c r="O71" s="22">
        <v>33999.89</v>
      </c>
      <c r="P71" s="22">
        <v>2300</v>
      </c>
      <c r="Q71" s="22">
        <v>4357</v>
      </c>
      <c r="R71" s="22">
        <v>13284.58</v>
      </c>
      <c r="S71" s="22">
        <f>2564.98+1394.54</f>
        <v>3959.52</v>
      </c>
      <c r="T71" s="26">
        <f t="shared" si="44"/>
        <v>220596.47000000003</v>
      </c>
    </row>
    <row r="72" spans="1:20" ht="20.100000000000001" customHeight="1">
      <c r="A72" s="23" t="s">
        <v>124</v>
      </c>
      <c r="B72" s="37" t="s">
        <v>198</v>
      </c>
      <c r="C72" s="37"/>
      <c r="D72" s="34"/>
      <c r="E72" s="22">
        <v>29824</v>
      </c>
      <c r="F72" s="22">
        <v>8662</v>
      </c>
      <c r="G72" s="22">
        <v>8000</v>
      </c>
      <c r="H72" s="22">
        <v>8000</v>
      </c>
      <c r="I72" s="22">
        <v>15855</v>
      </c>
      <c r="J72" s="22">
        <v>4669</v>
      </c>
      <c r="K72" s="22">
        <f>4900+1492</f>
        <v>6392</v>
      </c>
      <c r="L72" s="22">
        <f>4663.8+2548.8</f>
        <v>7212.6</v>
      </c>
      <c r="M72" s="22">
        <v>6585.2</v>
      </c>
      <c r="N72" s="22">
        <v>3060</v>
      </c>
      <c r="O72" s="22">
        <v>21060</v>
      </c>
      <c r="P72" s="22"/>
      <c r="Q72" s="22">
        <v>1505</v>
      </c>
      <c r="R72" s="22">
        <v>6784</v>
      </c>
      <c r="S72" s="22">
        <v>4013</v>
      </c>
      <c r="T72" s="26">
        <f t="shared" si="44"/>
        <v>131621.79999999999</v>
      </c>
    </row>
    <row r="73" spans="1:20">
      <c r="E73" s="1">
        <f>E5/E60</f>
        <v>398592.64285714284</v>
      </c>
      <c r="F73" s="1">
        <f t="shared" ref="F73:T73" si="46">F5/F60</f>
        <v>389440.92847222224</v>
      </c>
      <c r="G73" s="1">
        <f t="shared" si="46"/>
        <v>377230.7494805195</v>
      </c>
      <c r="H73" s="1">
        <f t="shared" si="46"/>
        <v>371088.22529411764</v>
      </c>
      <c r="I73" s="1">
        <f t="shared" si="46"/>
        <v>360863.94100529095</v>
      </c>
      <c r="J73" s="1">
        <f t="shared" si="46"/>
        <v>349814.57149999996</v>
      </c>
      <c r="K73" s="1">
        <f t="shared" si="46"/>
        <v>328021.47545454552</v>
      </c>
      <c r="L73" s="1">
        <f t="shared" si="46"/>
        <v>328182.49340909091</v>
      </c>
      <c r="M73" s="1">
        <f t="shared" si="46"/>
        <v>319905.44275000005</v>
      </c>
      <c r="N73" s="1">
        <f t="shared" si="46"/>
        <v>325209.06302325585</v>
      </c>
      <c r="O73" s="1">
        <f t="shared" si="46"/>
        <v>376867.51503875968</v>
      </c>
      <c r="P73" s="1">
        <f t="shared" si="46"/>
        <v>368817.31199999998</v>
      </c>
      <c r="Q73" s="1">
        <f t="shared" si="46"/>
        <v>302397.84941176465</v>
      </c>
      <c r="R73" s="1">
        <f t="shared" si="46"/>
        <v>370543.77559523808</v>
      </c>
      <c r="S73" s="1">
        <f t="shared" si="46"/>
        <v>319395.77903225803</v>
      </c>
      <c r="T73" s="11">
        <f t="shared" si="46"/>
        <v>362754.24052732496</v>
      </c>
    </row>
    <row r="74" spans="1:20">
      <c r="E74" s="1">
        <f>E34/E70</f>
        <v>19860</v>
      </c>
      <c r="F74" s="1">
        <f t="shared" ref="F74:T74" si="47">F34/F70</f>
        <v>19905.555555555555</v>
      </c>
      <c r="G74" s="1">
        <f t="shared" si="47"/>
        <v>17504.615384615383</v>
      </c>
      <c r="H74" s="1">
        <f t="shared" si="47"/>
        <v>17485.2</v>
      </c>
      <c r="I74" s="1">
        <f t="shared" si="47"/>
        <v>17277.272727272728</v>
      </c>
      <c r="J74" s="1" t="e">
        <f t="shared" si="47"/>
        <v>#DIV/0!</v>
      </c>
      <c r="K74" s="1">
        <f t="shared" si="47"/>
        <v>16860</v>
      </c>
      <c r="L74" s="1">
        <f t="shared" si="47"/>
        <v>15828</v>
      </c>
      <c r="M74" s="1">
        <f t="shared" si="47"/>
        <v>15890</v>
      </c>
      <c r="N74" s="1">
        <f t="shared" si="47"/>
        <v>13020</v>
      </c>
      <c r="O74" s="1">
        <f t="shared" si="47"/>
        <v>14676</v>
      </c>
      <c r="P74" s="1">
        <f t="shared" si="47"/>
        <v>19725</v>
      </c>
      <c r="Q74" s="1" t="e">
        <f t="shared" si="47"/>
        <v>#DIV/0!</v>
      </c>
      <c r="R74" s="1">
        <f t="shared" si="47"/>
        <v>14124</v>
      </c>
      <c r="S74" s="1">
        <f t="shared" si="47"/>
        <v>15752.727272727272</v>
      </c>
      <c r="T74" s="11">
        <f t="shared" si="47"/>
        <v>18176.32311977716</v>
      </c>
    </row>
    <row r="75" spans="1:20">
      <c r="B75" s="148"/>
      <c r="C75" s="148"/>
      <c r="D75" s="148"/>
      <c r="E75" s="148"/>
      <c r="F75" s="148"/>
      <c r="G75" s="148"/>
      <c r="H75" s="148"/>
      <c r="I75" s="148"/>
      <c r="J75" s="148"/>
      <c r="K75" s="148"/>
    </row>
    <row r="82" spans="18:19">
      <c r="R82" s="11"/>
      <c r="S82" s="38"/>
    </row>
    <row r="83" spans="18:19">
      <c r="R83" s="12"/>
    </row>
  </sheetData>
  <protectedRanges>
    <protectedRange password="E9C1" sqref="D30 C31 A5:D6 A2:T2 C22:D22 B23:D23 C24:D25 B7:D13 C14:D14 B15:D21 B26:D26 C27:D27 B28:D29 B32:D72 A7:A72 T5:T72 A4:T4 A3:D3 T3" name="区域1_1"/>
    <protectedRange password="E9C1" sqref="B30:C30 B31" name="区域1_1_1"/>
    <protectedRange password="E9C1" sqref="D31" name="区域1_2"/>
    <protectedRange sqref="B22" name="区域1_1_2"/>
    <protectedRange sqref="B24:B25" name="区域1_1_3"/>
    <protectedRange sqref="B14" name="区域1_1_4"/>
    <protectedRange sqref="B27" name="区域1_1_5"/>
  </protectedRanges>
  <mergeCells count="7">
    <mergeCell ref="A1:T1"/>
    <mergeCell ref="B75:K75"/>
    <mergeCell ref="A2:A3"/>
    <mergeCell ref="B2:B3"/>
    <mergeCell ref="C2:C3"/>
    <mergeCell ref="D2:D3"/>
    <mergeCell ref="T2:T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85" orientation="landscape" verticalDpi="0" r:id="rId1"/>
  <headerFooter>
    <oddFooter>第 &amp;P 页，共 &amp;N 页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9"/>
  <sheetViews>
    <sheetView topLeftCell="B1" workbookViewId="0">
      <selection activeCell="H52" sqref="H52"/>
    </sheetView>
  </sheetViews>
  <sheetFormatPr defaultRowHeight="13.5"/>
  <cols>
    <col min="1" max="1" width="0" style="103" hidden="1" customWidth="1"/>
    <col min="2" max="2" width="25.625" style="103" customWidth="1"/>
    <col min="3" max="3" width="6.5" style="103" hidden="1" customWidth="1"/>
    <col min="4" max="5" width="0" style="103" hidden="1" customWidth="1"/>
    <col min="6" max="7" width="12.625" style="103" customWidth="1"/>
    <col min="8" max="8" width="14.125" style="103" customWidth="1"/>
    <col min="9" max="17" width="12.625" style="103" customWidth="1"/>
    <col min="18" max="16384" width="9" style="103"/>
  </cols>
  <sheetData>
    <row r="1" spans="1:17" ht="20.25">
      <c r="A1" s="151" t="s">
        <v>326</v>
      </c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2"/>
      <c r="M1" s="152"/>
      <c r="N1" s="152"/>
      <c r="O1" s="152"/>
      <c r="P1" s="152"/>
      <c r="Q1" s="152"/>
    </row>
    <row r="2" spans="1:17">
      <c r="A2" s="153" t="s">
        <v>230</v>
      </c>
      <c r="B2" s="155" t="s">
        <v>327</v>
      </c>
      <c r="C2" s="155" t="s">
        <v>3</v>
      </c>
      <c r="D2" s="153" t="s">
        <v>328</v>
      </c>
      <c r="E2" s="156" t="s">
        <v>329</v>
      </c>
      <c r="F2" s="157" t="s">
        <v>330</v>
      </c>
      <c r="G2" s="158"/>
      <c r="H2" s="158"/>
      <c r="I2" s="158"/>
      <c r="J2" s="157" t="s">
        <v>331</v>
      </c>
      <c r="K2" s="158"/>
      <c r="L2" s="158"/>
      <c r="M2" s="158"/>
      <c r="N2" s="157" t="s">
        <v>332</v>
      </c>
      <c r="O2" s="158"/>
      <c r="P2" s="158"/>
      <c r="Q2" s="158"/>
    </row>
    <row r="3" spans="1:17" ht="22.5">
      <c r="A3" s="154"/>
      <c r="B3" s="154"/>
      <c r="C3" s="154"/>
      <c r="D3" s="154"/>
      <c r="E3" s="154"/>
      <c r="F3" s="104" t="s">
        <v>333</v>
      </c>
      <c r="G3" s="105" t="s">
        <v>334</v>
      </c>
      <c r="H3" s="106" t="s">
        <v>350</v>
      </c>
      <c r="I3" s="106" t="s">
        <v>335</v>
      </c>
      <c r="J3" s="104" t="s">
        <v>333</v>
      </c>
      <c r="K3" s="105" t="s">
        <v>334</v>
      </c>
      <c r="L3" s="106" t="s">
        <v>336</v>
      </c>
      <c r="M3" s="106" t="s">
        <v>335</v>
      </c>
      <c r="N3" s="104" t="s">
        <v>333</v>
      </c>
      <c r="O3" s="105" t="s">
        <v>334</v>
      </c>
      <c r="P3" s="106" t="s">
        <v>350</v>
      </c>
      <c r="Q3" s="106" t="s">
        <v>335</v>
      </c>
    </row>
    <row r="4" spans="1:17" s="108" customFormat="1" ht="20.100000000000001" customHeight="1">
      <c r="A4" s="109" t="s">
        <v>2</v>
      </c>
      <c r="B4" s="55" t="s">
        <v>155</v>
      </c>
      <c r="C4" s="55">
        <v>1</v>
      </c>
      <c r="D4" s="55" t="s">
        <v>337</v>
      </c>
      <c r="E4" s="55" t="s">
        <v>343</v>
      </c>
      <c r="F4" s="52">
        <v>22255808</v>
      </c>
      <c r="G4" s="52">
        <v>642076</v>
      </c>
      <c r="H4" s="73">
        <v>1718217.5</v>
      </c>
      <c r="I4" s="73">
        <f t="shared" ref="I4:I18" si="0">F4+H4</f>
        <v>23974025.5</v>
      </c>
      <c r="J4" s="107">
        <v>22287442</v>
      </c>
      <c r="K4" s="107">
        <v>593276</v>
      </c>
      <c r="L4" s="107">
        <v>1854201.5</v>
      </c>
      <c r="M4" s="107">
        <f t="shared" ref="M4:M18" si="1">J4+L4</f>
        <v>24141643.5</v>
      </c>
      <c r="N4" s="107">
        <f t="shared" ref="N4:Q18" si="2">F4-J4</f>
        <v>-31634</v>
      </c>
      <c r="O4" s="107">
        <f t="shared" si="2"/>
        <v>48800</v>
      </c>
      <c r="P4" s="107">
        <f t="shared" si="2"/>
        <v>-135984</v>
      </c>
      <c r="Q4" s="107">
        <f t="shared" si="2"/>
        <v>-167618</v>
      </c>
    </row>
    <row r="5" spans="1:17" s="108" customFormat="1" ht="20.100000000000001" customHeight="1">
      <c r="A5" s="109" t="s">
        <v>2</v>
      </c>
      <c r="B5" s="55" t="s">
        <v>156</v>
      </c>
      <c r="C5" s="55">
        <v>2</v>
      </c>
      <c r="D5" s="55" t="s">
        <v>337</v>
      </c>
      <c r="E5" s="55" t="s">
        <v>343</v>
      </c>
      <c r="F5" s="52">
        <v>14022155</v>
      </c>
      <c r="G5" s="52">
        <v>264632</v>
      </c>
      <c r="H5" s="73">
        <v>1121905</v>
      </c>
      <c r="I5" s="73">
        <f t="shared" si="0"/>
        <v>15144060</v>
      </c>
      <c r="J5" s="107">
        <v>14299465</v>
      </c>
      <c r="K5" s="107">
        <v>240532</v>
      </c>
      <c r="L5" s="107">
        <v>1236940</v>
      </c>
      <c r="M5" s="107">
        <f t="shared" si="1"/>
        <v>15536405</v>
      </c>
      <c r="N5" s="107">
        <f t="shared" si="2"/>
        <v>-277310</v>
      </c>
      <c r="O5" s="107">
        <f t="shared" si="2"/>
        <v>24100</v>
      </c>
      <c r="P5" s="107">
        <f t="shared" si="2"/>
        <v>-115035</v>
      </c>
      <c r="Q5" s="107">
        <f t="shared" si="2"/>
        <v>-392345</v>
      </c>
    </row>
    <row r="6" spans="1:17" s="108" customFormat="1" ht="20.100000000000001" customHeight="1">
      <c r="A6" s="109" t="s">
        <v>2</v>
      </c>
      <c r="B6" s="55" t="s">
        <v>157</v>
      </c>
      <c r="C6" s="55">
        <v>3</v>
      </c>
      <c r="D6" s="55" t="s">
        <v>337</v>
      </c>
      <c r="E6" s="55" t="s">
        <v>343</v>
      </c>
      <c r="F6" s="52">
        <v>15798819</v>
      </c>
      <c r="G6" s="52">
        <v>276392</v>
      </c>
      <c r="H6" s="73">
        <v>1266696</v>
      </c>
      <c r="I6" s="73">
        <f t="shared" si="0"/>
        <v>17065515</v>
      </c>
      <c r="J6" s="107">
        <v>16271805</v>
      </c>
      <c r="K6" s="107">
        <v>252392</v>
      </c>
      <c r="L6" s="107">
        <v>1357680.5</v>
      </c>
      <c r="M6" s="107">
        <f t="shared" si="1"/>
        <v>17629485.5</v>
      </c>
      <c r="N6" s="107">
        <f t="shared" si="2"/>
        <v>-472986</v>
      </c>
      <c r="O6" s="107">
        <f t="shared" si="2"/>
        <v>24000</v>
      </c>
      <c r="P6" s="107">
        <f t="shared" si="2"/>
        <v>-90984.5</v>
      </c>
      <c r="Q6" s="107">
        <f t="shared" si="2"/>
        <v>-563970.5</v>
      </c>
    </row>
    <row r="7" spans="1:17" s="108" customFormat="1" ht="20.100000000000001" customHeight="1">
      <c r="A7" s="109" t="s">
        <v>2</v>
      </c>
      <c r="B7" s="55" t="s">
        <v>158</v>
      </c>
      <c r="C7" s="55">
        <v>4</v>
      </c>
      <c r="D7" s="55" t="s">
        <v>337</v>
      </c>
      <c r="E7" s="55" t="s">
        <v>338</v>
      </c>
      <c r="F7" s="52">
        <v>25193369</v>
      </c>
      <c r="G7" s="52">
        <v>661643</v>
      </c>
      <c r="H7" s="73">
        <v>1697345</v>
      </c>
      <c r="I7" s="73">
        <f t="shared" si="0"/>
        <v>26890714</v>
      </c>
      <c r="J7" s="73">
        <v>25837654</v>
      </c>
      <c r="K7" s="107">
        <v>612923</v>
      </c>
      <c r="L7" s="107">
        <v>2051632.5</v>
      </c>
      <c r="M7" s="107">
        <f t="shared" si="1"/>
        <v>27889286.5</v>
      </c>
      <c r="N7" s="107">
        <f t="shared" si="2"/>
        <v>-644285</v>
      </c>
      <c r="O7" s="107">
        <f t="shared" si="2"/>
        <v>48720</v>
      </c>
      <c r="P7" s="107">
        <f t="shared" si="2"/>
        <v>-354287.5</v>
      </c>
      <c r="Q7" s="107">
        <f t="shared" si="2"/>
        <v>-998572.5</v>
      </c>
    </row>
    <row r="8" spans="1:17" s="108" customFormat="1" ht="20.100000000000001" customHeight="1">
      <c r="A8" s="109" t="s">
        <v>2</v>
      </c>
      <c r="B8" s="55" t="s">
        <v>254</v>
      </c>
      <c r="C8" s="55">
        <v>5</v>
      </c>
      <c r="D8" s="55" t="s">
        <v>337</v>
      </c>
      <c r="E8" s="55" t="s">
        <v>342</v>
      </c>
      <c r="F8" s="52">
        <v>14549625</v>
      </c>
      <c r="G8" s="52">
        <v>675330</v>
      </c>
      <c r="H8" s="73">
        <v>842568.5</v>
      </c>
      <c r="I8" s="73">
        <f t="shared" si="0"/>
        <v>15392193.5</v>
      </c>
      <c r="J8" s="73">
        <v>14554644</v>
      </c>
      <c r="K8" s="107">
        <v>627330</v>
      </c>
      <c r="L8" s="107">
        <v>942489.25</v>
      </c>
      <c r="M8" s="107">
        <f t="shared" si="1"/>
        <v>15497133.25</v>
      </c>
      <c r="N8" s="107">
        <f t="shared" si="2"/>
        <v>-5019</v>
      </c>
      <c r="O8" s="107">
        <f t="shared" si="2"/>
        <v>48000</v>
      </c>
      <c r="P8" s="107">
        <f t="shared" si="2"/>
        <v>-99920.75</v>
      </c>
      <c r="Q8" s="107">
        <f t="shared" si="2"/>
        <v>-104939.75</v>
      </c>
    </row>
    <row r="9" spans="1:17" s="108" customFormat="1" ht="20.100000000000001" customHeight="1">
      <c r="A9" s="109" t="s">
        <v>2</v>
      </c>
      <c r="B9" s="55" t="s">
        <v>159</v>
      </c>
      <c r="C9" s="55">
        <v>6</v>
      </c>
      <c r="D9" s="55" t="s">
        <v>337</v>
      </c>
      <c r="E9" s="55" t="s">
        <v>342</v>
      </c>
      <c r="F9" s="52">
        <v>35542871</v>
      </c>
      <c r="G9" s="52">
        <f>706288+15000</f>
        <v>721288</v>
      </c>
      <c r="H9" s="73">
        <v>2004672.25</v>
      </c>
      <c r="I9" s="73">
        <f t="shared" si="0"/>
        <v>37547543.25</v>
      </c>
      <c r="J9" s="73">
        <v>35826816</v>
      </c>
      <c r="K9" s="107">
        <v>673288</v>
      </c>
      <c r="L9" s="107">
        <v>2211827</v>
      </c>
      <c r="M9" s="107">
        <f t="shared" si="1"/>
        <v>38038643</v>
      </c>
      <c r="N9" s="107">
        <f t="shared" si="2"/>
        <v>-283945</v>
      </c>
      <c r="O9" s="107">
        <f t="shared" si="2"/>
        <v>48000</v>
      </c>
      <c r="P9" s="107">
        <f t="shared" si="2"/>
        <v>-207154.75</v>
      </c>
      <c r="Q9" s="107">
        <f t="shared" si="2"/>
        <v>-491099.75</v>
      </c>
    </row>
    <row r="10" spans="1:17" s="108" customFormat="1" ht="20.100000000000001" customHeight="1">
      <c r="A10" s="109" t="s">
        <v>2</v>
      </c>
      <c r="B10" s="55" t="s">
        <v>160</v>
      </c>
      <c r="C10" s="55">
        <v>7</v>
      </c>
      <c r="D10" s="55" t="s">
        <v>337</v>
      </c>
      <c r="E10" s="55" t="s">
        <v>342</v>
      </c>
      <c r="F10" s="52">
        <v>16344375</v>
      </c>
      <c r="G10" s="52">
        <v>589420</v>
      </c>
      <c r="H10" s="73">
        <v>839214.75</v>
      </c>
      <c r="I10" s="73">
        <f t="shared" si="0"/>
        <v>17183589.75</v>
      </c>
      <c r="J10" s="73">
        <v>16607222</v>
      </c>
      <c r="K10" s="107">
        <v>511420</v>
      </c>
      <c r="L10" s="107">
        <v>954638.5</v>
      </c>
      <c r="M10" s="107">
        <f t="shared" si="1"/>
        <v>17561860.5</v>
      </c>
      <c r="N10" s="107">
        <f t="shared" si="2"/>
        <v>-262847</v>
      </c>
      <c r="O10" s="107">
        <f t="shared" si="2"/>
        <v>78000</v>
      </c>
      <c r="P10" s="107">
        <f t="shared" si="2"/>
        <v>-115423.75</v>
      </c>
      <c r="Q10" s="107">
        <f t="shared" si="2"/>
        <v>-378270.75</v>
      </c>
    </row>
    <row r="11" spans="1:17" s="108" customFormat="1" ht="20.100000000000001" customHeight="1">
      <c r="A11" s="109" t="s">
        <v>2</v>
      </c>
      <c r="B11" s="55" t="s">
        <v>161</v>
      </c>
      <c r="C11" s="55">
        <v>8</v>
      </c>
      <c r="D11" s="55" t="s">
        <v>337</v>
      </c>
      <c r="E11" s="55" t="s">
        <v>342</v>
      </c>
      <c r="F11" s="52">
        <v>11021724</v>
      </c>
      <c r="G11" s="52">
        <f>273872-15000</f>
        <v>258872</v>
      </c>
      <c r="H11" s="73">
        <v>590333.5</v>
      </c>
      <c r="I11" s="73">
        <f t="shared" si="0"/>
        <v>11612057.5</v>
      </c>
      <c r="J11" s="73">
        <v>11102581</v>
      </c>
      <c r="K11" s="107">
        <v>234872</v>
      </c>
      <c r="L11" s="107">
        <v>633357.5</v>
      </c>
      <c r="M11" s="107">
        <f t="shared" si="1"/>
        <v>11735938.5</v>
      </c>
      <c r="N11" s="107">
        <f t="shared" si="2"/>
        <v>-80857</v>
      </c>
      <c r="O11" s="107">
        <f t="shared" si="2"/>
        <v>24000</v>
      </c>
      <c r="P11" s="107">
        <f t="shared" si="2"/>
        <v>-43024</v>
      </c>
      <c r="Q11" s="107">
        <f t="shared" si="2"/>
        <v>-123881</v>
      </c>
    </row>
    <row r="12" spans="1:17" s="108" customFormat="1" ht="20.100000000000001" customHeight="1">
      <c r="A12" s="109" t="s">
        <v>2</v>
      </c>
      <c r="B12" s="55" t="s">
        <v>275</v>
      </c>
      <c r="C12" s="55">
        <v>9</v>
      </c>
      <c r="D12" s="55" t="s">
        <v>339</v>
      </c>
      <c r="E12" s="55" t="s">
        <v>340</v>
      </c>
      <c r="F12" s="52">
        <v>914384</v>
      </c>
      <c r="G12" s="52">
        <v>0</v>
      </c>
      <c r="H12" s="73"/>
      <c r="I12" s="73">
        <f t="shared" si="0"/>
        <v>914384</v>
      </c>
      <c r="J12" s="73">
        <v>893367</v>
      </c>
      <c r="K12" s="107">
        <v>0</v>
      </c>
      <c r="L12" s="107">
        <v>0</v>
      </c>
      <c r="M12" s="107">
        <f t="shared" si="1"/>
        <v>893367</v>
      </c>
      <c r="N12" s="107">
        <f t="shared" si="2"/>
        <v>21017</v>
      </c>
      <c r="O12" s="107">
        <f t="shared" si="2"/>
        <v>0</v>
      </c>
      <c r="P12" s="107">
        <f t="shared" si="2"/>
        <v>0</v>
      </c>
      <c r="Q12" s="107">
        <f t="shared" si="2"/>
        <v>21017</v>
      </c>
    </row>
    <row r="13" spans="1:17" s="108" customFormat="1" ht="20.100000000000001" customHeight="1">
      <c r="A13" s="109" t="s">
        <v>2</v>
      </c>
      <c r="B13" s="55" t="s">
        <v>344</v>
      </c>
      <c r="C13" s="55">
        <v>10</v>
      </c>
      <c r="D13" s="55" t="s">
        <v>339</v>
      </c>
      <c r="E13" s="55" t="s">
        <v>341</v>
      </c>
      <c r="F13" s="52">
        <v>7482663</v>
      </c>
      <c r="G13" s="52">
        <v>293540</v>
      </c>
      <c r="H13" s="73"/>
      <c r="I13" s="73">
        <f t="shared" si="0"/>
        <v>7482663</v>
      </c>
      <c r="J13" s="73">
        <v>7573680</v>
      </c>
      <c r="K13" s="107">
        <v>269540</v>
      </c>
      <c r="L13" s="107">
        <v>0</v>
      </c>
      <c r="M13" s="107">
        <f t="shared" si="1"/>
        <v>7573680</v>
      </c>
      <c r="N13" s="107">
        <f t="shared" si="2"/>
        <v>-91017</v>
      </c>
      <c r="O13" s="107">
        <f t="shared" si="2"/>
        <v>24000</v>
      </c>
      <c r="P13" s="107">
        <f t="shared" si="2"/>
        <v>0</v>
      </c>
      <c r="Q13" s="107">
        <f t="shared" si="2"/>
        <v>-91017</v>
      </c>
    </row>
    <row r="14" spans="1:17" s="108" customFormat="1" ht="20.100000000000001" customHeight="1">
      <c r="A14" s="109" t="s">
        <v>2</v>
      </c>
      <c r="B14" s="55" t="s">
        <v>345</v>
      </c>
      <c r="C14" s="55">
        <v>11</v>
      </c>
      <c r="D14" s="55" t="s">
        <v>339</v>
      </c>
      <c r="E14" s="55" t="s">
        <v>341</v>
      </c>
      <c r="F14" s="52">
        <v>9337641</v>
      </c>
      <c r="G14" s="52">
        <v>262352</v>
      </c>
      <c r="H14" s="73"/>
      <c r="I14" s="73">
        <f t="shared" si="0"/>
        <v>9337641</v>
      </c>
      <c r="J14" s="73">
        <v>9340872</v>
      </c>
      <c r="K14" s="107">
        <v>238352</v>
      </c>
      <c r="L14" s="107">
        <v>0</v>
      </c>
      <c r="M14" s="107">
        <f t="shared" si="1"/>
        <v>9340872</v>
      </c>
      <c r="N14" s="107">
        <f t="shared" si="2"/>
        <v>-3231</v>
      </c>
      <c r="O14" s="107">
        <f t="shared" si="2"/>
        <v>24000</v>
      </c>
      <c r="P14" s="107">
        <f t="shared" si="2"/>
        <v>0</v>
      </c>
      <c r="Q14" s="107">
        <f t="shared" si="2"/>
        <v>-3231</v>
      </c>
    </row>
    <row r="15" spans="1:17" s="108" customFormat="1" ht="20.100000000000001" customHeight="1">
      <c r="A15" s="109" t="s">
        <v>2</v>
      </c>
      <c r="B15" s="55" t="s">
        <v>346</v>
      </c>
      <c r="C15" s="55">
        <v>12</v>
      </c>
      <c r="D15" s="55" t="s">
        <v>339</v>
      </c>
      <c r="E15" s="55" t="s">
        <v>341</v>
      </c>
      <c r="F15" s="52">
        <v>7150197</v>
      </c>
      <c r="G15" s="52">
        <v>281574</v>
      </c>
      <c r="H15" s="73"/>
      <c r="I15" s="73">
        <f t="shared" si="0"/>
        <v>7150197</v>
      </c>
      <c r="J15" s="73">
        <v>6984616</v>
      </c>
      <c r="K15" s="107">
        <v>218187</v>
      </c>
      <c r="L15" s="107">
        <v>0</v>
      </c>
      <c r="M15" s="107">
        <f t="shared" si="1"/>
        <v>6984616</v>
      </c>
      <c r="N15" s="107">
        <f t="shared" si="2"/>
        <v>165581</v>
      </c>
      <c r="O15" s="107">
        <f t="shared" si="2"/>
        <v>63387</v>
      </c>
      <c r="P15" s="107">
        <f t="shared" si="2"/>
        <v>0</v>
      </c>
      <c r="Q15" s="107">
        <f t="shared" si="2"/>
        <v>165581</v>
      </c>
    </row>
    <row r="16" spans="1:17" s="108" customFormat="1" ht="20.100000000000001" customHeight="1">
      <c r="A16" s="109" t="s">
        <v>2</v>
      </c>
      <c r="B16" s="55" t="s">
        <v>248</v>
      </c>
      <c r="C16" s="55">
        <v>13</v>
      </c>
      <c r="D16" s="55" t="s">
        <v>339</v>
      </c>
      <c r="E16" s="55" t="s">
        <v>341</v>
      </c>
      <c r="F16" s="52">
        <v>7220832</v>
      </c>
      <c r="G16" s="52">
        <v>260072</v>
      </c>
      <c r="H16" s="73"/>
      <c r="I16" s="73">
        <f t="shared" si="0"/>
        <v>7220832</v>
      </c>
      <c r="J16" s="73">
        <v>7237072</v>
      </c>
      <c r="K16" s="107">
        <v>236072</v>
      </c>
      <c r="L16" s="107">
        <v>0</v>
      </c>
      <c r="M16" s="107">
        <f t="shared" si="1"/>
        <v>7237072</v>
      </c>
      <c r="N16" s="107">
        <f t="shared" si="2"/>
        <v>-16240</v>
      </c>
      <c r="O16" s="107">
        <f t="shared" si="2"/>
        <v>24000</v>
      </c>
      <c r="P16" s="107">
        <f t="shared" si="2"/>
        <v>0</v>
      </c>
      <c r="Q16" s="107">
        <f t="shared" si="2"/>
        <v>-16240</v>
      </c>
    </row>
    <row r="17" spans="1:17" s="108" customFormat="1" ht="20.100000000000001" customHeight="1">
      <c r="A17" s="109" t="s">
        <v>2</v>
      </c>
      <c r="B17" s="104" t="s">
        <v>347</v>
      </c>
      <c r="C17" s="55">
        <v>14</v>
      </c>
      <c r="D17" s="55" t="s">
        <v>339</v>
      </c>
      <c r="E17" s="55" t="s">
        <v>341</v>
      </c>
      <c r="F17" s="52">
        <v>5271024</v>
      </c>
      <c r="G17" s="52">
        <v>244784</v>
      </c>
      <c r="H17" s="73"/>
      <c r="I17" s="73">
        <f t="shared" si="0"/>
        <v>5271024</v>
      </c>
      <c r="J17" s="73">
        <v>5301576</v>
      </c>
      <c r="K17" s="107">
        <v>220784</v>
      </c>
      <c r="L17" s="107">
        <v>0</v>
      </c>
      <c r="M17" s="107">
        <f t="shared" si="1"/>
        <v>5301576</v>
      </c>
      <c r="N17" s="107">
        <f t="shared" si="2"/>
        <v>-30552</v>
      </c>
      <c r="O17" s="107">
        <f t="shared" si="2"/>
        <v>24000</v>
      </c>
      <c r="P17" s="107">
        <f t="shared" si="2"/>
        <v>0</v>
      </c>
      <c r="Q17" s="107">
        <f t="shared" si="2"/>
        <v>-30552</v>
      </c>
    </row>
    <row r="18" spans="1:17" s="108" customFormat="1" ht="20.100000000000001" customHeight="1">
      <c r="A18" s="109" t="s">
        <v>2</v>
      </c>
      <c r="B18" s="104" t="s">
        <v>348</v>
      </c>
      <c r="C18" s="55">
        <v>15</v>
      </c>
      <c r="D18" s="55" t="s">
        <v>339</v>
      </c>
      <c r="E18" s="55" t="s">
        <v>341</v>
      </c>
      <c r="F18" s="52">
        <v>2768003</v>
      </c>
      <c r="G18" s="52">
        <v>228116</v>
      </c>
      <c r="H18" s="73"/>
      <c r="I18" s="73">
        <f t="shared" si="0"/>
        <v>2768003</v>
      </c>
      <c r="J18" s="73">
        <v>2777016</v>
      </c>
      <c r="K18" s="107">
        <v>204066</v>
      </c>
      <c r="L18" s="107">
        <v>0</v>
      </c>
      <c r="M18" s="107">
        <f t="shared" si="1"/>
        <v>2777016</v>
      </c>
      <c r="N18" s="107">
        <f t="shared" si="2"/>
        <v>-9013</v>
      </c>
      <c r="O18" s="107">
        <f t="shared" si="2"/>
        <v>24050</v>
      </c>
      <c r="P18" s="107">
        <f t="shared" si="2"/>
        <v>0</v>
      </c>
      <c r="Q18" s="107">
        <f t="shared" si="2"/>
        <v>-9013</v>
      </c>
    </row>
    <row r="19" spans="1:17" s="108" customFormat="1" ht="20.100000000000001" customHeight="1">
      <c r="A19" s="109"/>
      <c r="B19" s="104" t="s">
        <v>349</v>
      </c>
      <c r="C19" s="55"/>
      <c r="D19" s="55"/>
      <c r="E19" s="55"/>
      <c r="F19" s="52">
        <f>SUM(F4:F18)</f>
        <v>194873490</v>
      </c>
      <c r="G19" s="52">
        <f t="shared" ref="G19:Q19" si="3">SUM(G4:G18)</f>
        <v>5660091</v>
      </c>
      <c r="H19" s="52">
        <f t="shared" si="3"/>
        <v>10080952.5</v>
      </c>
      <c r="I19" s="52">
        <f t="shared" si="3"/>
        <v>204954442.5</v>
      </c>
      <c r="J19" s="52">
        <f t="shared" si="3"/>
        <v>196895828</v>
      </c>
      <c r="K19" s="52">
        <f t="shared" si="3"/>
        <v>5133034</v>
      </c>
      <c r="L19" s="52">
        <f t="shared" si="3"/>
        <v>11242766.75</v>
      </c>
      <c r="M19" s="52">
        <f t="shared" si="3"/>
        <v>208138594.75</v>
      </c>
      <c r="N19" s="52">
        <f t="shared" si="3"/>
        <v>-2022338</v>
      </c>
      <c r="O19" s="52">
        <f t="shared" si="3"/>
        <v>527057</v>
      </c>
      <c r="P19" s="52">
        <f t="shared" si="3"/>
        <v>-1161814.25</v>
      </c>
      <c r="Q19" s="52">
        <f t="shared" si="3"/>
        <v>-3184152.25</v>
      </c>
    </row>
  </sheetData>
  <mergeCells count="9">
    <mergeCell ref="A1:Q1"/>
    <mergeCell ref="A2:A3"/>
    <mergeCell ref="B2:B3"/>
    <mergeCell ref="C2:C3"/>
    <mergeCell ref="D2:D3"/>
    <mergeCell ref="E2:E3"/>
    <mergeCell ref="F2:I2"/>
    <mergeCell ref="J2:M2"/>
    <mergeCell ref="N2:Q2"/>
  </mergeCells>
  <phoneticPr fontId="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"/>
  <sheetViews>
    <sheetView topLeftCell="B1" workbookViewId="0">
      <selection activeCell="H52" sqref="H52"/>
    </sheetView>
  </sheetViews>
  <sheetFormatPr defaultRowHeight="14.25"/>
  <cols>
    <col min="1" max="1" width="0" style="118" hidden="1" customWidth="1"/>
    <col min="2" max="2" width="28.5" style="118" customWidth="1"/>
    <col min="3" max="3" width="10.25" style="118" customWidth="1"/>
    <col min="4" max="4" width="7.5" style="118" customWidth="1"/>
    <col min="5" max="5" width="21.375" style="118" customWidth="1"/>
    <col min="6" max="6" width="13.625" style="118" customWidth="1"/>
    <col min="7" max="7" width="9" style="118"/>
    <col min="8" max="8" width="6.375" style="118" customWidth="1"/>
    <col min="9" max="9" width="6.75" style="118" customWidth="1"/>
    <col min="10" max="10" width="12.5" style="130" customWidth="1"/>
    <col min="11" max="11" width="9" style="118"/>
    <col min="12" max="12" width="21.25" style="118" customWidth="1"/>
    <col min="13" max="16384" width="9" style="118"/>
  </cols>
  <sheetData>
    <row r="1" spans="1:10" ht="18.75">
      <c r="A1" s="159" t="s">
        <v>359</v>
      </c>
      <c r="B1" s="159"/>
      <c r="C1" s="159"/>
      <c r="D1" s="159"/>
      <c r="E1" s="159"/>
      <c r="F1" s="159"/>
      <c r="G1" s="159"/>
      <c r="H1" s="159"/>
      <c r="I1" s="159"/>
      <c r="J1" s="159"/>
    </row>
    <row r="2" spans="1:10" s="122" customFormat="1" ht="85.5">
      <c r="A2" s="119" t="s">
        <v>3</v>
      </c>
      <c r="B2" s="119" t="s">
        <v>360</v>
      </c>
      <c r="C2" s="119" t="s">
        <v>361</v>
      </c>
      <c r="D2" s="119" t="s">
        <v>362</v>
      </c>
      <c r="E2" s="120" t="s">
        <v>363</v>
      </c>
      <c r="F2" s="121" t="s">
        <v>364</v>
      </c>
      <c r="G2" s="119" t="s">
        <v>365</v>
      </c>
      <c r="H2" s="119" t="s">
        <v>366</v>
      </c>
      <c r="I2" s="119" t="s">
        <v>367</v>
      </c>
      <c r="J2" s="120" t="s">
        <v>368</v>
      </c>
    </row>
    <row r="3" spans="1:10" s="122" customFormat="1" ht="20.100000000000001" customHeight="1">
      <c r="A3" s="129"/>
      <c r="B3" s="124" t="s">
        <v>248</v>
      </c>
      <c r="C3" s="124" t="s">
        <v>370</v>
      </c>
      <c r="D3" s="123" t="s">
        <v>371</v>
      </c>
      <c r="E3" s="125" t="s">
        <v>372</v>
      </c>
      <c r="F3" s="126" t="s">
        <v>369</v>
      </c>
      <c r="G3" s="123"/>
      <c r="H3" s="123" t="s">
        <v>369</v>
      </c>
      <c r="I3" s="128"/>
      <c r="J3" s="127">
        <v>23988.42</v>
      </c>
    </row>
    <row r="4" spans="1:10" s="122" customFormat="1">
      <c r="A4" s="129"/>
      <c r="B4" s="124"/>
      <c r="C4" s="124" t="s">
        <v>373</v>
      </c>
      <c r="D4" s="123"/>
      <c r="E4" s="125"/>
      <c r="F4" s="126"/>
      <c r="G4" s="123"/>
      <c r="H4" s="123"/>
      <c r="I4" s="128"/>
      <c r="J4" s="127">
        <f>J3</f>
        <v>23988.42</v>
      </c>
    </row>
  </sheetData>
  <mergeCells count="1">
    <mergeCell ref="A1:J1"/>
  </mergeCells>
  <phoneticPr fontId="1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8"/>
  <sheetViews>
    <sheetView workbookViewId="0">
      <selection activeCell="H52" sqref="H52"/>
    </sheetView>
  </sheetViews>
  <sheetFormatPr defaultColWidth="9" defaultRowHeight="13.5" outlineLevelRow="2"/>
  <cols>
    <col min="1" max="1" width="20.875" style="68" customWidth="1"/>
    <col min="2" max="2" width="35" style="68" customWidth="1"/>
    <col min="3" max="3" width="15.625" style="68" customWidth="1"/>
    <col min="4" max="4" width="20.625" style="68" customWidth="1"/>
    <col min="5" max="5" width="24.75" style="68" customWidth="1"/>
    <col min="6" max="16384" width="9" style="68"/>
  </cols>
  <sheetData>
    <row r="1" spans="1:5" s="59" customFormat="1" ht="20.25">
      <c r="A1" s="160" t="s">
        <v>263</v>
      </c>
      <c r="B1" s="161"/>
      <c r="C1" s="161"/>
      <c r="D1" s="161"/>
      <c r="E1" s="161"/>
    </row>
    <row r="2" spans="1:5" s="61" customFormat="1" ht="17.100000000000001" customHeight="1">
      <c r="A2" s="60" t="s">
        <v>264</v>
      </c>
      <c r="B2" s="60" t="s">
        <v>265</v>
      </c>
      <c r="C2" s="60" t="s">
        <v>312</v>
      </c>
      <c r="D2" s="60" t="s">
        <v>266</v>
      </c>
      <c r="E2" s="60" t="s">
        <v>267</v>
      </c>
    </row>
    <row r="3" spans="1:5" s="61" customFormat="1" ht="17.100000000000001" customHeight="1" outlineLevel="2">
      <c r="A3" s="39" t="s">
        <v>268</v>
      </c>
      <c r="B3" s="64" t="s">
        <v>155</v>
      </c>
      <c r="C3" s="64" t="s">
        <v>317</v>
      </c>
      <c r="D3" s="63">
        <v>371833.1</v>
      </c>
      <c r="E3" s="63">
        <f t="shared" ref="E3:E17" si="0">ROUND(D3*1.1,2)</f>
        <v>409016.41</v>
      </c>
    </row>
    <row r="4" spans="1:5" s="61" customFormat="1" ht="17.100000000000001" customHeight="1" outlineLevel="2">
      <c r="A4" s="39" t="s">
        <v>268</v>
      </c>
      <c r="B4" s="64" t="s">
        <v>156</v>
      </c>
      <c r="C4" s="64" t="s">
        <v>317</v>
      </c>
      <c r="D4" s="63">
        <v>241920.9</v>
      </c>
      <c r="E4" s="63">
        <f t="shared" si="0"/>
        <v>266112.99</v>
      </c>
    </row>
    <row r="5" spans="1:5" s="61" customFormat="1" ht="17.100000000000001" customHeight="1" outlineLevel="2">
      <c r="A5" s="39" t="s">
        <v>268</v>
      </c>
      <c r="B5" s="64" t="s">
        <v>269</v>
      </c>
      <c r="C5" s="64" t="s">
        <v>315</v>
      </c>
      <c r="D5" s="63">
        <v>22838.9</v>
      </c>
      <c r="E5" s="63">
        <f t="shared" si="0"/>
        <v>25122.79</v>
      </c>
    </row>
    <row r="6" spans="1:5" s="61" customFormat="1" ht="17.100000000000001" customHeight="1" outlineLevel="2">
      <c r="A6" s="39" t="s">
        <v>268</v>
      </c>
      <c r="B6" s="64" t="s">
        <v>270</v>
      </c>
      <c r="C6" s="64" t="s">
        <v>315</v>
      </c>
      <c r="D6" s="63"/>
      <c r="E6" s="63">
        <f t="shared" si="0"/>
        <v>0</v>
      </c>
    </row>
    <row r="7" spans="1:5" s="61" customFormat="1" ht="17.100000000000001" customHeight="1" outlineLevel="2">
      <c r="A7" s="39" t="s">
        <v>268</v>
      </c>
      <c r="B7" s="64" t="s">
        <v>159</v>
      </c>
      <c r="C7" s="64" t="s">
        <v>315</v>
      </c>
      <c r="D7" s="63">
        <v>370255.4</v>
      </c>
      <c r="E7" s="63">
        <f t="shared" si="0"/>
        <v>407280.94</v>
      </c>
    </row>
    <row r="8" spans="1:5" s="61" customFormat="1" ht="17.100000000000001" customHeight="1" outlineLevel="2">
      <c r="A8" s="39" t="s">
        <v>268</v>
      </c>
      <c r="B8" s="64" t="s">
        <v>161</v>
      </c>
      <c r="C8" s="64" t="s">
        <v>315</v>
      </c>
      <c r="D8" s="63">
        <v>147109.4</v>
      </c>
      <c r="E8" s="63">
        <f t="shared" si="0"/>
        <v>161820.34</v>
      </c>
    </row>
    <row r="9" spans="1:5" s="61" customFormat="1" ht="17.100000000000001" customHeight="1" outlineLevel="2">
      <c r="A9" s="39" t="s">
        <v>268</v>
      </c>
      <c r="B9" s="62" t="s">
        <v>271</v>
      </c>
      <c r="C9" s="62" t="s">
        <v>316</v>
      </c>
      <c r="D9" s="63">
        <v>165579.1</v>
      </c>
      <c r="E9" s="63">
        <f t="shared" si="0"/>
        <v>182137.01</v>
      </c>
    </row>
    <row r="10" spans="1:5" s="61" customFormat="1" ht="17.100000000000001" customHeight="1" outlineLevel="2">
      <c r="A10" s="39" t="s">
        <v>268</v>
      </c>
      <c r="B10" s="62" t="s">
        <v>272</v>
      </c>
      <c r="C10" s="62" t="s">
        <v>316</v>
      </c>
      <c r="D10" s="63">
        <v>130448.4</v>
      </c>
      <c r="E10" s="63">
        <f t="shared" si="0"/>
        <v>143493.24</v>
      </c>
    </row>
    <row r="11" spans="1:5" s="61" customFormat="1" ht="17.100000000000001" customHeight="1" outlineLevel="2">
      <c r="A11" s="39" t="s">
        <v>268</v>
      </c>
      <c r="B11" s="62" t="s">
        <v>273</v>
      </c>
      <c r="C11" s="62" t="s">
        <v>316</v>
      </c>
      <c r="D11" s="63">
        <v>117479</v>
      </c>
      <c r="E11" s="63">
        <f t="shared" si="0"/>
        <v>129226.9</v>
      </c>
    </row>
    <row r="12" spans="1:5" s="61" customFormat="1" ht="17.100000000000001" customHeight="1" outlineLevel="2">
      <c r="A12" s="39" t="s">
        <v>268</v>
      </c>
      <c r="B12" s="62" t="s">
        <v>274</v>
      </c>
      <c r="C12" s="62" t="s">
        <v>316</v>
      </c>
      <c r="D12" s="63">
        <v>121738.8</v>
      </c>
      <c r="E12" s="63">
        <f t="shared" si="0"/>
        <v>133912.68</v>
      </c>
    </row>
    <row r="13" spans="1:5" s="61" customFormat="1" ht="17.100000000000001" customHeight="1" outlineLevel="2">
      <c r="A13" s="39" t="s">
        <v>268</v>
      </c>
      <c r="B13" s="64" t="s">
        <v>158</v>
      </c>
      <c r="C13" s="64" t="s">
        <v>314</v>
      </c>
      <c r="D13" s="63">
        <v>412146</v>
      </c>
      <c r="E13" s="63">
        <f t="shared" si="0"/>
        <v>453360.6</v>
      </c>
    </row>
    <row r="14" spans="1:5" s="61" customFormat="1" ht="17.100000000000001" customHeight="1" outlineLevel="2">
      <c r="A14" s="39" t="s">
        <v>268</v>
      </c>
      <c r="B14" s="62" t="s">
        <v>275</v>
      </c>
      <c r="C14" s="62" t="s">
        <v>313</v>
      </c>
      <c r="D14" s="63">
        <v>15132.3</v>
      </c>
      <c r="E14" s="63">
        <f t="shared" si="0"/>
        <v>16645.53</v>
      </c>
    </row>
    <row r="15" spans="1:5" s="61" customFormat="1" ht="17.100000000000001" customHeight="1" outlineLevel="2">
      <c r="A15" s="39" t="s">
        <v>268</v>
      </c>
      <c r="B15" s="62" t="s">
        <v>276</v>
      </c>
      <c r="C15" s="62" t="s">
        <v>316</v>
      </c>
      <c r="D15" s="63">
        <v>36493</v>
      </c>
      <c r="E15" s="63">
        <f t="shared" si="0"/>
        <v>40142.300000000003</v>
      </c>
    </row>
    <row r="16" spans="1:5" s="61" customFormat="1" ht="17.100000000000001" customHeight="1" outlineLevel="2">
      <c r="A16" s="39" t="s">
        <v>268</v>
      </c>
      <c r="B16" s="64" t="s">
        <v>157</v>
      </c>
      <c r="C16" s="64" t="s">
        <v>317</v>
      </c>
      <c r="D16" s="63">
        <v>217656.5</v>
      </c>
      <c r="E16" s="63">
        <f t="shared" si="0"/>
        <v>239422.15</v>
      </c>
    </row>
    <row r="17" spans="1:5" s="61" customFormat="1" ht="17.100000000000001" customHeight="1" outlineLevel="2">
      <c r="A17" s="39" t="s">
        <v>268</v>
      </c>
      <c r="B17" s="64" t="s">
        <v>277</v>
      </c>
      <c r="C17" s="64" t="s">
        <v>316</v>
      </c>
      <c r="D17" s="63">
        <v>80436</v>
      </c>
      <c r="E17" s="63">
        <f t="shared" si="0"/>
        <v>88479.6</v>
      </c>
    </row>
    <row r="18" spans="1:5" s="61" customFormat="1" ht="17.100000000000001" customHeight="1" outlineLevel="1">
      <c r="A18" s="65" t="s">
        <v>163</v>
      </c>
      <c r="B18" s="66"/>
      <c r="C18" s="66"/>
      <c r="D18" s="67">
        <f>SUM(D3:D17)</f>
        <v>2451066.7999999998</v>
      </c>
      <c r="E18" s="67">
        <f>SUM(E3:E17)</f>
        <v>2696173.4799999995</v>
      </c>
    </row>
  </sheetData>
  <autoFilter ref="A2:E18"/>
  <mergeCells count="1">
    <mergeCell ref="A1:E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workbookViewId="0">
      <selection activeCell="H52" sqref="H52"/>
    </sheetView>
  </sheetViews>
  <sheetFormatPr defaultRowHeight="13.5"/>
  <cols>
    <col min="1" max="1" width="24.5" customWidth="1"/>
    <col min="2" max="2" width="25" customWidth="1"/>
    <col min="3" max="3" width="23.125" customWidth="1"/>
  </cols>
  <sheetData>
    <row r="1" spans="1:3" ht="20.25">
      <c r="A1" s="162" t="s">
        <v>278</v>
      </c>
      <c r="B1" s="162"/>
      <c r="C1" s="162"/>
    </row>
    <row r="2" spans="1:3" ht="24.95" customHeight="1">
      <c r="A2" s="15" t="s">
        <v>162</v>
      </c>
      <c r="B2" s="15" t="s">
        <v>165</v>
      </c>
      <c r="C2" s="15" t="s">
        <v>166</v>
      </c>
    </row>
    <row r="3" spans="1:3" ht="24.95" customHeight="1">
      <c r="A3" s="16" t="s">
        <v>2</v>
      </c>
      <c r="B3" s="17">
        <v>216038</v>
      </c>
      <c r="C3" s="14">
        <f t="shared" ref="C3" si="0">B3*3</f>
        <v>648114</v>
      </c>
    </row>
    <row r="4" spans="1:3" ht="24.95" customHeight="1">
      <c r="A4" s="18" t="s">
        <v>164</v>
      </c>
      <c r="B4" s="19">
        <f>SUM(B3:B3)</f>
        <v>216038</v>
      </c>
      <c r="C4" s="19">
        <f>SUM(C3:C3)</f>
        <v>648114</v>
      </c>
    </row>
  </sheetData>
  <mergeCells count="1">
    <mergeCell ref="A1:C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7"/>
  <sheetViews>
    <sheetView topLeftCell="A7" workbookViewId="0">
      <selection activeCell="H52" sqref="H52"/>
    </sheetView>
  </sheetViews>
  <sheetFormatPr defaultRowHeight="14.25" outlineLevelRow="2"/>
  <cols>
    <col min="1" max="1" width="37.5" style="76" customWidth="1"/>
    <col min="2" max="2" width="11.625" style="77" customWidth="1"/>
    <col min="3" max="3" width="13.5" style="13" customWidth="1"/>
    <col min="4" max="5" width="7.625" style="13" customWidth="1"/>
    <col min="6" max="6" width="12.625" style="79" customWidth="1"/>
    <col min="7" max="7" width="15.75" style="80" customWidth="1"/>
    <col min="8" max="8" width="6.25" style="13" hidden="1" customWidth="1"/>
    <col min="9" max="9" width="25.875" style="13" hidden="1" customWidth="1"/>
    <col min="10" max="10" width="31.25" style="78" customWidth="1"/>
    <col min="11" max="16384" width="9" style="13"/>
  </cols>
  <sheetData>
    <row r="1" spans="1:10" ht="32.1" customHeight="1">
      <c r="A1" s="163" t="s">
        <v>311</v>
      </c>
      <c r="B1" s="163"/>
      <c r="C1" s="163"/>
      <c r="D1" s="163"/>
      <c r="E1" s="163"/>
      <c r="F1" s="163"/>
      <c r="G1" s="163"/>
      <c r="H1" s="163"/>
      <c r="I1" s="163"/>
      <c r="J1" s="163"/>
    </row>
    <row r="2" spans="1:10" ht="14.1" customHeight="1">
      <c r="A2" s="81" t="s">
        <v>204</v>
      </c>
      <c r="B2" s="81" t="s">
        <v>205</v>
      </c>
      <c r="C2" s="82" t="s">
        <v>206</v>
      </c>
      <c r="D2" s="81" t="s">
        <v>207</v>
      </c>
      <c r="E2" s="81" t="s">
        <v>208</v>
      </c>
      <c r="F2" s="83" t="s">
        <v>209</v>
      </c>
      <c r="G2" s="84" t="s">
        <v>210</v>
      </c>
      <c r="H2" s="81" t="s">
        <v>211</v>
      </c>
      <c r="I2" s="85" t="s">
        <v>212</v>
      </c>
      <c r="J2" s="82" t="s">
        <v>212</v>
      </c>
    </row>
    <row r="3" spans="1:10" s="40" customFormat="1" ht="14.1" customHeight="1" outlineLevel="2">
      <c r="A3" s="86" t="s">
        <v>279</v>
      </c>
      <c r="B3" s="87" t="s">
        <v>222</v>
      </c>
      <c r="C3" s="88" t="s">
        <v>218</v>
      </c>
      <c r="D3" s="89">
        <v>2</v>
      </c>
      <c r="E3" s="89">
        <v>10</v>
      </c>
      <c r="F3" s="90">
        <v>105000</v>
      </c>
      <c r="G3" s="90">
        <f t="shared" ref="G3:G26" si="0">ROUND(F3*E3,2)</f>
        <v>1050000</v>
      </c>
      <c r="H3" s="41" t="s">
        <v>214</v>
      </c>
      <c r="I3" s="92" t="s">
        <v>280</v>
      </c>
      <c r="J3" s="42"/>
    </row>
    <row r="4" spans="1:10" s="40" customFormat="1" ht="14.1" customHeight="1" outlineLevel="2">
      <c r="A4" s="86" t="s">
        <v>223</v>
      </c>
      <c r="B4" s="87" t="s">
        <v>222</v>
      </c>
      <c r="C4" s="88" t="s">
        <v>218</v>
      </c>
      <c r="D4" s="89">
        <v>2</v>
      </c>
      <c r="E4" s="89">
        <v>8</v>
      </c>
      <c r="F4" s="90">
        <v>105000</v>
      </c>
      <c r="G4" s="90">
        <f t="shared" si="0"/>
        <v>840000</v>
      </c>
      <c r="H4" s="41" t="s">
        <v>214</v>
      </c>
      <c r="I4" s="92"/>
      <c r="J4" s="97" t="s">
        <v>281</v>
      </c>
    </row>
    <row r="5" spans="1:10" s="40" customFormat="1" ht="14.1" customHeight="1" outlineLevel="2">
      <c r="A5" s="86" t="s">
        <v>282</v>
      </c>
      <c r="B5" s="87" t="s">
        <v>221</v>
      </c>
      <c r="C5" s="88" t="s">
        <v>218</v>
      </c>
      <c r="D5" s="89">
        <v>1</v>
      </c>
      <c r="E5" s="89">
        <v>5</v>
      </c>
      <c r="F5" s="90">
        <v>105000</v>
      </c>
      <c r="G5" s="90">
        <f t="shared" si="0"/>
        <v>525000</v>
      </c>
      <c r="H5" s="41" t="s">
        <v>214</v>
      </c>
      <c r="I5" s="92"/>
      <c r="J5" s="42"/>
    </row>
    <row r="6" spans="1:10" s="40" customFormat="1" ht="14.1" customHeight="1" outlineLevel="2">
      <c r="A6" s="86" t="s">
        <v>224</v>
      </c>
      <c r="B6" s="87" t="s">
        <v>221</v>
      </c>
      <c r="C6" s="88" t="s">
        <v>218</v>
      </c>
      <c r="D6" s="89">
        <v>1</v>
      </c>
      <c r="E6" s="89">
        <v>5</v>
      </c>
      <c r="F6" s="90">
        <v>105000</v>
      </c>
      <c r="G6" s="90">
        <f t="shared" si="0"/>
        <v>525000</v>
      </c>
      <c r="H6" s="41" t="s">
        <v>214</v>
      </c>
      <c r="I6" s="92"/>
      <c r="J6" s="42"/>
    </row>
    <row r="7" spans="1:10" s="40" customFormat="1" ht="14.1" customHeight="1" outlineLevel="2">
      <c r="A7" s="93" t="s">
        <v>225</v>
      </c>
      <c r="B7" s="87" t="s">
        <v>221</v>
      </c>
      <c r="C7" s="88" t="s">
        <v>218</v>
      </c>
      <c r="D7" s="89">
        <v>1</v>
      </c>
      <c r="E7" s="89">
        <v>5</v>
      </c>
      <c r="F7" s="90">
        <v>105000</v>
      </c>
      <c r="G7" s="90">
        <f t="shared" si="0"/>
        <v>525000</v>
      </c>
      <c r="H7" s="41" t="s">
        <v>214</v>
      </c>
      <c r="I7" s="92"/>
      <c r="J7" s="95"/>
    </row>
    <row r="8" spans="1:10" s="40" customFormat="1" ht="14.1" customHeight="1" outlineLevel="2">
      <c r="A8" s="93" t="s">
        <v>283</v>
      </c>
      <c r="B8" s="87" t="s">
        <v>221</v>
      </c>
      <c r="C8" s="88" t="s">
        <v>218</v>
      </c>
      <c r="D8" s="94">
        <v>1</v>
      </c>
      <c r="E8" s="94">
        <v>5</v>
      </c>
      <c r="F8" s="90">
        <v>105000</v>
      </c>
      <c r="G8" s="90">
        <f t="shared" si="0"/>
        <v>525000</v>
      </c>
      <c r="H8" s="87" t="s">
        <v>214</v>
      </c>
      <c r="I8" s="92"/>
      <c r="J8" s="95"/>
    </row>
    <row r="9" spans="1:10" s="40" customFormat="1" ht="14.1" customHeight="1" outlineLevel="2">
      <c r="A9" s="86" t="s">
        <v>284</v>
      </c>
      <c r="B9" s="87" t="s">
        <v>220</v>
      </c>
      <c r="C9" s="88" t="s">
        <v>218</v>
      </c>
      <c r="D9" s="94">
        <v>1</v>
      </c>
      <c r="E9" s="94">
        <v>7</v>
      </c>
      <c r="F9" s="90">
        <v>105000</v>
      </c>
      <c r="G9" s="90">
        <f t="shared" si="0"/>
        <v>735000</v>
      </c>
      <c r="H9" s="87" t="s">
        <v>214</v>
      </c>
      <c r="I9" s="92"/>
      <c r="J9" s="95" t="s">
        <v>285</v>
      </c>
    </row>
    <row r="10" spans="1:10" s="40" customFormat="1" ht="14.1" customHeight="1" outlineLevel="2">
      <c r="A10" s="93" t="s">
        <v>226</v>
      </c>
      <c r="B10" s="87" t="s">
        <v>221</v>
      </c>
      <c r="C10" s="88" t="s">
        <v>218</v>
      </c>
      <c r="D10" s="89">
        <v>1</v>
      </c>
      <c r="E10" s="89">
        <v>5</v>
      </c>
      <c r="F10" s="90">
        <v>105000</v>
      </c>
      <c r="G10" s="90">
        <f t="shared" si="0"/>
        <v>525000</v>
      </c>
      <c r="H10" s="41" t="s">
        <v>214</v>
      </c>
      <c r="I10" s="41" t="s">
        <v>286</v>
      </c>
      <c r="J10" s="42"/>
    </row>
    <row r="11" spans="1:10" s="40" customFormat="1" ht="14.1" customHeight="1" outlineLevel="2">
      <c r="A11" s="93" t="s">
        <v>227</v>
      </c>
      <c r="B11" s="87" t="s">
        <v>222</v>
      </c>
      <c r="C11" s="88" t="s">
        <v>218</v>
      </c>
      <c r="D11" s="89">
        <v>1</v>
      </c>
      <c r="E11" s="89">
        <v>5</v>
      </c>
      <c r="F11" s="90">
        <v>105000</v>
      </c>
      <c r="G11" s="90">
        <f t="shared" si="0"/>
        <v>525000</v>
      </c>
      <c r="H11" s="41"/>
      <c r="I11" s="41"/>
      <c r="J11" s="42"/>
    </row>
    <row r="12" spans="1:10" s="40" customFormat="1" ht="14.1" customHeight="1" outlineLevel="2">
      <c r="A12" s="93" t="s">
        <v>217</v>
      </c>
      <c r="B12" s="87" t="s">
        <v>287</v>
      </c>
      <c r="C12" s="88" t="s">
        <v>289</v>
      </c>
      <c r="D12" s="89">
        <v>1</v>
      </c>
      <c r="E12" s="89">
        <v>6</v>
      </c>
      <c r="F12" s="90">
        <v>105000</v>
      </c>
      <c r="G12" s="90">
        <f t="shared" si="0"/>
        <v>630000</v>
      </c>
      <c r="H12" s="41" t="s">
        <v>288</v>
      </c>
      <c r="I12" s="96"/>
      <c r="J12" s="95" t="s">
        <v>290</v>
      </c>
    </row>
    <row r="13" spans="1:10" s="40" customFormat="1" ht="14.1" customHeight="1" outlineLevel="2">
      <c r="A13" s="93" t="s">
        <v>291</v>
      </c>
      <c r="B13" s="87" t="s">
        <v>287</v>
      </c>
      <c r="C13" s="88" t="s">
        <v>289</v>
      </c>
      <c r="D13" s="89">
        <v>1</v>
      </c>
      <c r="E13" s="89">
        <v>5</v>
      </c>
      <c r="F13" s="90">
        <v>105000</v>
      </c>
      <c r="G13" s="90">
        <f t="shared" si="0"/>
        <v>525000</v>
      </c>
      <c r="H13" s="41" t="s">
        <v>288</v>
      </c>
      <c r="I13" s="96"/>
      <c r="J13" s="95" t="s">
        <v>292</v>
      </c>
    </row>
    <row r="14" spans="1:10" s="40" customFormat="1" ht="14.1" customHeight="1" outlineLevel="2">
      <c r="A14" s="93" t="s">
        <v>293</v>
      </c>
      <c r="B14" s="87" t="s">
        <v>213</v>
      </c>
      <c r="C14" s="88" t="s">
        <v>289</v>
      </c>
      <c r="D14" s="89">
        <v>1</v>
      </c>
      <c r="E14" s="89">
        <v>5</v>
      </c>
      <c r="F14" s="90">
        <v>105000</v>
      </c>
      <c r="G14" s="90">
        <f t="shared" si="0"/>
        <v>525000</v>
      </c>
      <c r="H14" s="41" t="s">
        <v>288</v>
      </c>
      <c r="I14" s="92"/>
      <c r="J14" s="42"/>
    </row>
    <row r="15" spans="1:10" s="40" customFormat="1" ht="14.1" customHeight="1" outlineLevel="2">
      <c r="A15" s="93" t="s">
        <v>294</v>
      </c>
      <c r="B15" s="87" t="s">
        <v>287</v>
      </c>
      <c r="C15" s="88" t="s">
        <v>289</v>
      </c>
      <c r="D15" s="89">
        <v>1</v>
      </c>
      <c r="E15" s="89">
        <v>5</v>
      </c>
      <c r="F15" s="90">
        <v>105000</v>
      </c>
      <c r="G15" s="90">
        <f t="shared" si="0"/>
        <v>525000</v>
      </c>
      <c r="H15" s="41" t="s">
        <v>288</v>
      </c>
      <c r="I15" s="92"/>
      <c r="J15" s="42"/>
    </row>
    <row r="16" spans="1:10" s="40" customFormat="1" ht="14.1" customHeight="1" outlineLevel="2">
      <c r="A16" s="93" t="s">
        <v>295</v>
      </c>
      <c r="B16" s="87" t="s">
        <v>287</v>
      </c>
      <c r="C16" s="88" t="s">
        <v>289</v>
      </c>
      <c r="D16" s="89">
        <v>1</v>
      </c>
      <c r="E16" s="89">
        <v>5</v>
      </c>
      <c r="F16" s="90">
        <v>105000</v>
      </c>
      <c r="G16" s="90">
        <f t="shared" si="0"/>
        <v>525000</v>
      </c>
      <c r="H16" s="41" t="s">
        <v>215</v>
      </c>
      <c r="I16" s="92"/>
      <c r="J16" s="42"/>
    </row>
    <row r="17" spans="1:10" s="40" customFormat="1" ht="14.1" customHeight="1" outlineLevel="2">
      <c r="A17" s="93" t="s">
        <v>219</v>
      </c>
      <c r="B17" s="87" t="s">
        <v>287</v>
      </c>
      <c r="C17" s="88" t="s">
        <v>289</v>
      </c>
      <c r="D17" s="89">
        <v>1</v>
      </c>
      <c r="E17" s="89">
        <v>5</v>
      </c>
      <c r="F17" s="90">
        <v>105000</v>
      </c>
      <c r="G17" s="90">
        <f t="shared" si="0"/>
        <v>525000</v>
      </c>
      <c r="H17" s="41"/>
      <c r="I17" s="92"/>
      <c r="J17" s="42" t="s">
        <v>216</v>
      </c>
    </row>
    <row r="18" spans="1:10" s="40" customFormat="1" ht="14.1" customHeight="1" outlineLevel="2">
      <c r="A18" s="93" t="s">
        <v>296</v>
      </c>
      <c r="B18" s="87" t="s">
        <v>287</v>
      </c>
      <c r="C18" s="88" t="s">
        <v>289</v>
      </c>
      <c r="D18" s="89">
        <v>2</v>
      </c>
      <c r="E18" s="89">
        <v>6</v>
      </c>
      <c r="F18" s="90">
        <v>105000</v>
      </c>
      <c r="G18" s="90">
        <f t="shared" si="0"/>
        <v>630000</v>
      </c>
      <c r="H18" s="41"/>
      <c r="I18" s="92"/>
      <c r="J18" s="95" t="s">
        <v>297</v>
      </c>
    </row>
    <row r="19" spans="1:10" s="40" customFormat="1" ht="14.1" customHeight="1" outlineLevel="2">
      <c r="A19" s="93" t="s">
        <v>298</v>
      </c>
      <c r="B19" s="87" t="s">
        <v>287</v>
      </c>
      <c r="C19" s="88" t="s">
        <v>289</v>
      </c>
      <c r="D19" s="89">
        <v>1</v>
      </c>
      <c r="E19" s="89">
        <v>5</v>
      </c>
      <c r="F19" s="90">
        <v>105000</v>
      </c>
      <c r="G19" s="90">
        <f t="shared" si="0"/>
        <v>525000</v>
      </c>
      <c r="H19" s="41" t="s">
        <v>288</v>
      </c>
      <c r="I19" s="92"/>
      <c r="J19" s="95" t="s">
        <v>299</v>
      </c>
    </row>
    <row r="20" spans="1:10" s="40" customFormat="1" ht="14.1" customHeight="1" outlineLevel="2">
      <c r="A20" s="86" t="s">
        <v>300</v>
      </c>
      <c r="B20" s="87" t="s">
        <v>287</v>
      </c>
      <c r="C20" s="88" t="s">
        <v>289</v>
      </c>
      <c r="D20" s="94">
        <v>1</v>
      </c>
      <c r="E20" s="94">
        <v>5</v>
      </c>
      <c r="F20" s="90">
        <v>105000</v>
      </c>
      <c r="G20" s="90">
        <f t="shared" si="0"/>
        <v>525000</v>
      </c>
      <c r="H20" s="87" t="s">
        <v>301</v>
      </c>
      <c r="I20" s="92"/>
      <c r="J20" s="42"/>
    </row>
    <row r="21" spans="1:10" s="40" customFormat="1" ht="14.1" customHeight="1" outlineLevel="2">
      <c r="A21" s="93" t="s">
        <v>302</v>
      </c>
      <c r="B21" s="87" t="s">
        <v>287</v>
      </c>
      <c r="C21" s="88" t="s">
        <v>289</v>
      </c>
      <c r="D21" s="89">
        <v>1</v>
      </c>
      <c r="E21" s="89">
        <v>5</v>
      </c>
      <c r="F21" s="90">
        <v>105000</v>
      </c>
      <c r="G21" s="90">
        <f t="shared" si="0"/>
        <v>525000</v>
      </c>
      <c r="H21" s="41" t="s">
        <v>288</v>
      </c>
      <c r="I21" s="41" t="s">
        <v>303</v>
      </c>
      <c r="J21" s="42"/>
    </row>
    <row r="22" spans="1:10" s="40" customFormat="1" ht="14.1" customHeight="1" outlineLevel="2">
      <c r="A22" s="93" t="s">
        <v>304</v>
      </c>
      <c r="B22" s="87" t="s">
        <v>287</v>
      </c>
      <c r="C22" s="88" t="s">
        <v>289</v>
      </c>
      <c r="D22" s="94">
        <v>1</v>
      </c>
      <c r="E22" s="94">
        <v>5</v>
      </c>
      <c r="F22" s="90">
        <v>105000</v>
      </c>
      <c r="G22" s="90">
        <f t="shared" si="0"/>
        <v>525000</v>
      </c>
      <c r="H22" s="87" t="s">
        <v>288</v>
      </c>
      <c r="I22" s="92"/>
      <c r="J22" s="42"/>
    </row>
    <row r="23" spans="1:10" s="40" customFormat="1" ht="14.1" customHeight="1" outlineLevel="2">
      <c r="A23" s="93" t="s">
        <v>305</v>
      </c>
      <c r="B23" s="87" t="s">
        <v>287</v>
      </c>
      <c r="C23" s="88" t="s">
        <v>289</v>
      </c>
      <c r="D23" s="94">
        <v>1</v>
      </c>
      <c r="E23" s="94">
        <v>5</v>
      </c>
      <c r="F23" s="90">
        <v>105000</v>
      </c>
      <c r="G23" s="90">
        <f t="shared" si="0"/>
        <v>525000</v>
      </c>
      <c r="H23" s="87" t="s">
        <v>288</v>
      </c>
      <c r="I23" s="92"/>
      <c r="J23" s="42"/>
    </row>
    <row r="24" spans="1:10" s="40" customFormat="1" ht="14.1" customHeight="1" outlineLevel="2">
      <c r="A24" s="93" t="s">
        <v>306</v>
      </c>
      <c r="B24" s="87" t="s">
        <v>287</v>
      </c>
      <c r="C24" s="88" t="s">
        <v>289</v>
      </c>
      <c r="D24" s="89">
        <v>1</v>
      </c>
      <c r="E24" s="89">
        <v>5</v>
      </c>
      <c r="F24" s="90">
        <v>105000</v>
      </c>
      <c r="G24" s="90">
        <f t="shared" si="0"/>
        <v>525000</v>
      </c>
      <c r="H24" s="41"/>
      <c r="I24" s="41"/>
      <c r="J24" s="42" t="s">
        <v>307</v>
      </c>
    </row>
    <row r="25" spans="1:10" s="40" customFormat="1" ht="14.1" customHeight="1" outlineLevel="2">
      <c r="A25" s="98" t="s">
        <v>228</v>
      </c>
      <c r="B25" s="87" t="s">
        <v>308</v>
      </c>
      <c r="C25" s="92" t="s">
        <v>309</v>
      </c>
      <c r="D25" s="92">
        <v>1</v>
      </c>
      <c r="E25" s="92">
        <v>5</v>
      </c>
      <c r="F25" s="91">
        <v>105000</v>
      </c>
      <c r="G25" s="91">
        <f t="shared" si="0"/>
        <v>525000</v>
      </c>
      <c r="H25" s="41"/>
      <c r="I25" s="41"/>
      <c r="J25" s="42"/>
    </row>
    <row r="26" spans="1:10" s="40" customFormat="1" ht="14.1" customHeight="1" outlineLevel="2">
      <c r="A26" s="98" t="s">
        <v>229</v>
      </c>
      <c r="B26" s="87" t="s">
        <v>308</v>
      </c>
      <c r="C26" s="92" t="s">
        <v>309</v>
      </c>
      <c r="D26" s="92">
        <v>1</v>
      </c>
      <c r="E26" s="92">
        <v>5</v>
      </c>
      <c r="F26" s="91">
        <v>105000</v>
      </c>
      <c r="G26" s="91">
        <f t="shared" si="0"/>
        <v>525000</v>
      </c>
      <c r="H26" s="41"/>
      <c r="I26" s="41"/>
      <c r="J26" s="42"/>
    </row>
    <row r="27" spans="1:10" s="40" customFormat="1" ht="14.1" customHeight="1" outlineLevel="1">
      <c r="A27" s="98"/>
      <c r="B27" s="87"/>
      <c r="C27" s="99" t="s">
        <v>310</v>
      </c>
      <c r="D27" s="92">
        <f>SUBTOTAL(9,D3:D26)</f>
        <v>27</v>
      </c>
      <c r="E27" s="92">
        <f>SUBTOTAL(9,E3:E26)</f>
        <v>132</v>
      </c>
      <c r="F27" s="91"/>
      <c r="G27" s="91">
        <f>SUBTOTAL(9,G3:G26)</f>
        <v>13860000</v>
      </c>
      <c r="H27" s="41"/>
      <c r="I27" s="41"/>
      <c r="J27" s="42"/>
    </row>
  </sheetData>
  <autoFilter ref="A2:J27"/>
  <mergeCells count="1">
    <mergeCell ref="A1:J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landscape" r:id="rId1"/>
  <headerFooter>
    <oddFooter>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8"/>
  <sheetViews>
    <sheetView topLeftCell="B1" workbookViewId="0">
      <pane xSplit="2" ySplit="1" topLeftCell="D2" activePane="bottomRight" state="frozen"/>
      <selection activeCell="H52" sqref="H52"/>
      <selection pane="topRight" activeCell="H52" sqref="H52"/>
      <selection pane="bottomLeft" activeCell="H52" sqref="H52"/>
      <selection pane="bottomRight" activeCell="H52" sqref="H52"/>
    </sheetView>
  </sheetViews>
  <sheetFormatPr defaultColWidth="9" defaultRowHeight="11.25"/>
  <cols>
    <col min="1" max="1" width="8.125" style="43" hidden="1" customWidth="1"/>
    <col min="2" max="2" width="20.375" style="43" customWidth="1"/>
    <col min="3" max="3" width="5.75" style="43" customWidth="1"/>
    <col min="4" max="4" width="9.75" style="43" hidden="1" customWidth="1"/>
    <col min="5" max="18" width="9" style="43" hidden="1" customWidth="1"/>
    <col min="19" max="19" width="9" style="58" hidden="1" customWidth="1"/>
    <col min="20" max="23" width="9" style="43" hidden="1" customWidth="1"/>
    <col min="24" max="24" width="9" style="58" hidden="1" customWidth="1"/>
    <col min="25" max="25" width="8.375" style="43" customWidth="1"/>
    <col min="26" max="26" width="9.625" style="43" customWidth="1"/>
    <col min="27" max="27" width="9.375" style="43" customWidth="1"/>
    <col min="28" max="28" width="12.5" style="43" customWidth="1"/>
    <col min="29" max="29" width="9.875" style="43" customWidth="1"/>
    <col min="30" max="30" width="11.625" style="43" customWidth="1"/>
    <col min="31" max="31" width="10.5" style="43" customWidth="1"/>
    <col min="32" max="32" width="10.875" style="43" customWidth="1"/>
    <col min="33" max="33" width="11.375" style="43" customWidth="1"/>
    <col min="34" max="34" width="11.625" style="43" customWidth="1"/>
    <col min="35" max="35" width="11.375" style="43" customWidth="1"/>
    <col min="36" max="36" width="9.5" style="43" bestFit="1" customWidth="1"/>
    <col min="37" max="37" width="11" style="43" customWidth="1"/>
    <col min="38" max="38" width="12.125" style="43" customWidth="1"/>
    <col min="39" max="39" width="12.5" style="53" customWidth="1"/>
    <col min="40" max="40" width="10.5" style="74" customWidth="1"/>
    <col min="41" max="41" width="13" style="75" bestFit="1" customWidth="1"/>
    <col min="42" max="16384" width="9" style="43"/>
  </cols>
  <sheetData>
    <row r="1" spans="1:41" ht="18.75">
      <c r="A1" s="166" t="s">
        <v>318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7"/>
      <c r="P1" s="167"/>
      <c r="Q1" s="167"/>
      <c r="R1" s="167"/>
      <c r="S1" s="167"/>
      <c r="T1" s="167"/>
      <c r="U1" s="167"/>
      <c r="V1" s="167"/>
      <c r="W1" s="167"/>
      <c r="X1" s="167"/>
      <c r="Y1" s="167"/>
      <c r="Z1" s="167"/>
      <c r="AA1" s="167"/>
      <c r="AB1" s="167"/>
      <c r="AC1" s="167"/>
      <c r="AD1" s="167"/>
      <c r="AE1" s="167"/>
      <c r="AF1" s="167"/>
      <c r="AG1" s="167"/>
      <c r="AH1" s="167"/>
      <c r="AI1" s="167"/>
      <c r="AJ1" s="167"/>
      <c r="AK1" s="167"/>
      <c r="AL1" s="167"/>
      <c r="AM1" s="167"/>
      <c r="AN1" s="168"/>
      <c r="AO1" s="168"/>
    </row>
    <row r="2" spans="1:41" ht="11.25" customHeight="1">
      <c r="A2" s="169" t="s">
        <v>230</v>
      </c>
      <c r="B2" s="169" t="s">
        <v>231</v>
      </c>
      <c r="C2" s="169" t="s">
        <v>312</v>
      </c>
      <c r="D2" s="169" t="s">
        <v>232</v>
      </c>
      <c r="E2" s="169" t="s">
        <v>233</v>
      </c>
      <c r="F2" s="169"/>
      <c r="G2" s="169"/>
      <c r="H2" s="169"/>
      <c r="I2" s="169"/>
      <c r="J2" s="169" t="s">
        <v>319</v>
      </c>
      <c r="K2" s="169"/>
      <c r="L2" s="169"/>
      <c r="M2" s="169"/>
      <c r="N2" s="169"/>
      <c r="O2" s="170" t="s">
        <v>234</v>
      </c>
      <c r="P2" s="170"/>
      <c r="Q2" s="170"/>
      <c r="R2" s="170"/>
      <c r="S2" s="170"/>
      <c r="T2" s="170" t="s">
        <v>235</v>
      </c>
      <c r="U2" s="170"/>
      <c r="V2" s="170"/>
      <c r="W2" s="170"/>
      <c r="X2" s="170"/>
      <c r="Y2" s="170" t="s">
        <v>236</v>
      </c>
      <c r="Z2" s="170"/>
      <c r="AA2" s="170"/>
      <c r="AB2" s="170"/>
      <c r="AC2" s="170"/>
      <c r="AD2" s="169" t="s">
        <v>320</v>
      </c>
      <c r="AE2" s="169"/>
      <c r="AF2" s="169"/>
      <c r="AG2" s="169"/>
      <c r="AH2" s="169"/>
      <c r="AI2" s="169"/>
      <c r="AJ2" s="169"/>
      <c r="AK2" s="169"/>
      <c r="AL2" s="169"/>
      <c r="AM2" s="169"/>
      <c r="AN2" s="164" t="s">
        <v>321</v>
      </c>
      <c r="AO2" s="164" t="s">
        <v>164</v>
      </c>
    </row>
    <row r="3" spans="1:41" ht="33.75">
      <c r="A3" s="169"/>
      <c r="B3" s="169"/>
      <c r="C3" s="169"/>
      <c r="D3" s="169"/>
      <c r="E3" s="44" t="s">
        <v>237</v>
      </c>
      <c r="F3" s="44" t="s">
        <v>238</v>
      </c>
      <c r="G3" s="44" t="s">
        <v>239</v>
      </c>
      <c r="H3" s="44" t="s">
        <v>240</v>
      </c>
      <c r="I3" s="101" t="s">
        <v>7</v>
      </c>
      <c r="J3" s="44" t="s">
        <v>237</v>
      </c>
      <c r="K3" s="44" t="s">
        <v>238</v>
      </c>
      <c r="L3" s="44" t="s">
        <v>239</v>
      </c>
      <c r="M3" s="44" t="s">
        <v>240</v>
      </c>
      <c r="N3" s="101" t="s">
        <v>7</v>
      </c>
      <c r="O3" s="44" t="s">
        <v>237</v>
      </c>
      <c r="P3" s="44" t="s">
        <v>238</v>
      </c>
      <c r="Q3" s="44" t="s">
        <v>239</v>
      </c>
      <c r="R3" s="44" t="s">
        <v>240</v>
      </c>
      <c r="S3" s="56" t="s">
        <v>7</v>
      </c>
      <c r="T3" s="44" t="s">
        <v>237</v>
      </c>
      <c r="U3" s="44" t="s">
        <v>238</v>
      </c>
      <c r="V3" s="44" t="s">
        <v>239</v>
      </c>
      <c r="W3" s="44" t="s">
        <v>240</v>
      </c>
      <c r="X3" s="56" t="s">
        <v>7</v>
      </c>
      <c r="Y3" s="44" t="s">
        <v>237</v>
      </c>
      <c r="Z3" s="44" t="s">
        <v>238</v>
      </c>
      <c r="AA3" s="44" t="s">
        <v>239</v>
      </c>
      <c r="AB3" s="44" t="s">
        <v>240</v>
      </c>
      <c r="AC3" s="101" t="s">
        <v>7</v>
      </c>
      <c r="AD3" s="44" t="s">
        <v>241</v>
      </c>
      <c r="AE3" s="44" t="s">
        <v>242</v>
      </c>
      <c r="AF3" s="44" t="s">
        <v>243</v>
      </c>
      <c r="AG3" s="44" t="s">
        <v>244</v>
      </c>
      <c r="AH3" s="44" t="s">
        <v>245</v>
      </c>
      <c r="AI3" s="44" t="s">
        <v>322</v>
      </c>
      <c r="AJ3" s="44" t="s">
        <v>323</v>
      </c>
      <c r="AK3" s="44" t="s">
        <v>262</v>
      </c>
      <c r="AL3" s="44" t="s">
        <v>246</v>
      </c>
      <c r="AM3" s="50" t="s">
        <v>324</v>
      </c>
      <c r="AN3" s="165"/>
      <c r="AO3" s="165"/>
    </row>
    <row r="4" spans="1:41" ht="18" customHeight="1">
      <c r="A4" s="45" t="s">
        <v>2</v>
      </c>
      <c r="B4" s="46" t="s">
        <v>248</v>
      </c>
      <c r="C4" s="46" t="s">
        <v>247</v>
      </c>
      <c r="D4" s="47">
        <v>2</v>
      </c>
      <c r="E4" s="54">
        <v>3.8376068376067991</v>
      </c>
      <c r="F4" s="55">
        <v>3</v>
      </c>
      <c r="G4" s="54">
        <v>26.85</v>
      </c>
      <c r="H4" s="55">
        <v>2</v>
      </c>
      <c r="I4" s="48">
        <f t="shared" ref="I4:I17" si="0">SUM(E4:H4)</f>
        <v>35.687606837606801</v>
      </c>
      <c r="J4" s="47">
        <v>4</v>
      </c>
      <c r="K4" s="47">
        <v>0</v>
      </c>
      <c r="L4" s="47">
        <v>3</v>
      </c>
      <c r="M4" s="47">
        <v>1</v>
      </c>
      <c r="N4" s="48">
        <f t="shared" ref="N4:N17" si="1">SUM(J4:M4)</f>
        <v>8</v>
      </c>
      <c r="O4" s="48">
        <f>E4+J4</f>
        <v>7.8376068376067991</v>
      </c>
      <c r="P4" s="48">
        <f t="shared" ref="P4:R17" si="2">F4+K4</f>
        <v>3</v>
      </c>
      <c r="Q4" s="48">
        <f t="shared" si="2"/>
        <v>29.85</v>
      </c>
      <c r="R4" s="48">
        <f t="shared" si="2"/>
        <v>3</v>
      </c>
      <c r="S4" s="57">
        <f t="shared" ref="S4:S17" si="3">SUM(O4:R4)</f>
        <v>43.687606837606801</v>
      </c>
      <c r="T4" s="48">
        <v>10</v>
      </c>
      <c r="U4" s="48">
        <v>3</v>
      </c>
      <c r="V4" s="48">
        <v>27</v>
      </c>
      <c r="W4" s="48">
        <v>2</v>
      </c>
      <c r="X4" s="57">
        <f t="shared" ref="X4:X17" si="4">SUM(T4:W4)</f>
        <v>42</v>
      </c>
      <c r="Y4" s="47">
        <v>10</v>
      </c>
      <c r="Z4" s="47">
        <v>3</v>
      </c>
      <c r="AA4" s="47">
        <v>27</v>
      </c>
      <c r="AB4" s="47">
        <v>2</v>
      </c>
      <c r="AC4" s="48">
        <f t="shared" ref="AC4:AC17" si="5">SUM(Y4:AB4)</f>
        <v>42</v>
      </c>
      <c r="AD4" s="48">
        <f t="shared" ref="AD4:AD11" si="6">(Y4*7050+Z4*6485+AA4*5800+AB4*4900)*12</f>
        <v>3076260</v>
      </c>
      <c r="AE4" s="48">
        <f t="shared" ref="AE4:AE17" si="7">AC4*4320</f>
        <v>181440</v>
      </c>
      <c r="AF4" s="48">
        <f t="shared" ref="AF4:AF17" si="8">AC4*6000</f>
        <v>252000</v>
      </c>
      <c r="AG4" s="48">
        <f t="shared" ref="AG4:AG17" si="9">AC4*2400</f>
        <v>100800</v>
      </c>
      <c r="AH4" s="48">
        <f t="shared" ref="AH4:AH17" si="10">AC4*9400</f>
        <v>394800</v>
      </c>
      <c r="AI4" s="48">
        <f t="shared" ref="AI4:AI17" si="11">AC4*800</f>
        <v>33600</v>
      </c>
      <c r="AJ4" s="48">
        <f t="shared" ref="AJ4:AJ17" si="12">D4*50*200</f>
        <v>20000</v>
      </c>
      <c r="AK4" s="48">
        <f t="shared" ref="AK4:AK17" si="13">AC4*960</f>
        <v>40320</v>
      </c>
      <c r="AL4" s="48">
        <f t="shared" ref="AL4:AL17" si="14">ROUND((7384*0.34256*AC4*12),2)</f>
        <v>1274849.3700000001</v>
      </c>
      <c r="AM4" s="48">
        <f t="shared" ref="AM4:AM17" si="15">ROUND(SUM(AD4:AL4),0)</f>
        <v>5374069</v>
      </c>
      <c r="AN4" s="71"/>
      <c r="AO4" s="73">
        <f>AM4+AN4</f>
        <v>5374069</v>
      </c>
    </row>
    <row r="5" spans="1:41" ht="18" customHeight="1">
      <c r="A5" s="45" t="s">
        <v>2</v>
      </c>
      <c r="B5" s="46" t="s">
        <v>249</v>
      </c>
      <c r="C5" s="46" t="s">
        <v>247</v>
      </c>
      <c r="D5" s="47">
        <v>2</v>
      </c>
      <c r="E5" s="54">
        <v>3.846153846153797</v>
      </c>
      <c r="F5" s="55">
        <v>2</v>
      </c>
      <c r="G5" s="54">
        <v>25.412500000000001</v>
      </c>
      <c r="H5" s="55">
        <v>2</v>
      </c>
      <c r="I5" s="48">
        <f t="shared" si="0"/>
        <v>33.258653846153798</v>
      </c>
      <c r="J5" s="47">
        <v>7</v>
      </c>
      <c r="K5" s="47">
        <v>0</v>
      </c>
      <c r="L5" s="47">
        <v>0</v>
      </c>
      <c r="M5" s="47">
        <v>0</v>
      </c>
      <c r="N5" s="48">
        <f t="shared" si="1"/>
        <v>7</v>
      </c>
      <c r="O5" s="48">
        <f t="shared" ref="O5:O17" si="16">E5+J5</f>
        <v>10.846153846153797</v>
      </c>
      <c r="P5" s="48">
        <f t="shared" si="2"/>
        <v>2</v>
      </c>
      <c r="Q5" s="48">
        <f t="shared" si="2"/>
        <v>25.412500000000001</v>
      </c>
      <c r="R5" s="48">
        <f t="shared" si="2"/>
        <v>2</v>
      </c>
      <c r="S5" s="57">
        <f t="shared" si="3"/>
        <v>40.258653846153798</v>
      </c>
      <c r="T5" s="47">
        <v>7</v>
      </c>
      <c r="U5" s="47">
        <v>2</v>
      </c>
      <c r="V5" s="47">
        <v>25</v>
      </c>
      <c r="W5" s="47">
        <v>2</v>
      </c>
      <c r="X5" s="57">
        <f t="shared" si="4"/>
        <v>36</v>
      </c>
      <c r="Y5" s="48">
        <v>7</v>
      </c>
      <c r="Z5" s="48">
        <v>2</v>
      </c>
      <c r="AA5" s="48">
        <v>25</v>
      </c>
      <c r="AB5" s="48">
        <v>2</v>
      </c>
      <c r="AC5" s="48">
        <f t="shared" si="5"/>
        <v>36</v>
      </c>
      <c r="AD5" s="48">
        <f t="shared" si="6"/>
        <v>2605440</v>
      </c>
      <c r="AE5" s="48">
        <f t="shared" si="7"/>
        <v>155520</v>
      </c>
      <c r="AF5" s="48">
        <f t="shared" si="8"/>
        <v>216000</v>
      </c>
      <c r="AG5" s="48">
        <f t="shared" si="9"/>
        <v>86400</v>
      </c>
      <c r="AH5" s="48">
        <f t="shared" si="10"/>
        <v>338400</v>
      </c>
      <c r="AI5" s="48">
        <f t="shared" si="11"/>
        <v>28800</v>
      </c>
      <c r="AJ5" s="48">
        <f t="shared" si="12"/>
        <v>20000</v>
      </c>
      <c r="AK5" s="48">
        <f t="shared" si="13"/>
        <v>34560</v>
      </c>
      <c r="AL5" s="48">
        <f t="shared" si="14"/>
        <v>1092728.03</v>
      </c>
      <c r="AM5" s="48">
        <f t="shared" si="15"/>
        <v>4577848</v>
      </c>
      <c r="AN5" s="71"/>
      <c r="AO5" s="73">
        <f t="shared" ref="AO5:AO17" si="17">AM5+AN5</f>
        <v>4577848</v>
      </c>
    </row>
    <row r="6" spans="1:41" ht="18" customHeight="1">
      <c r="A6" s="45" t="s">
        <v>2</v>
      </c>
      <c r="B6" s="46" t="s">
        <v>250</v>
      </c>
      <c r="C6" s="46" t="s">
        <v>247</v>
      </c>
      <c r="D6" s="47">
        <v>2</v>
      </c>
      <c r="E6" s="54">
        <v>3.1196581196580979</v>
      </c>
      <c r="F6" s="55">
        <v>3</v>
      </c>
      <c r="G6" s="54">
        <v>32.5</v>
      </c>
      <c r="H6" s="55">
        <v>5</v>
      </c>
      <c r="I6" s="48">
        <f t="shared" si="0"/>
        <v>43.619658119658098</v>
      </c>
      <c r="J6" s="47">
        <v>1</v>
      </c>
      <c r="K6" s="47">
        <v>0</v>
      </c>
      <c r="L6" s="47">
        <v>4</v>
      </c>
      <c r="M6" s="47">
        <v>0</v>
      </c>
      <c r="N6" s="48">
        <f t="shared" si="1"/>
        <v>5</v>
      </c>
      <c r="O6" s="48">
        <f t="shared" si="16"/>
        <v>4.1196581196580979</v>
      </c>
      <c r="P6" s="48">
        <f t="shared" si="2"/>
        <v>3</v>
      </c>
      <c r="Q6" s="48">
        <f t="shared" si="2"/>
        <v>36.5</v>
      </c>
      <c r="R6" s="48">
        <f t="shared" si="2"/>
        <v>5</v>
      </c>
      <c r="S6" s="57">
        <f t="shared" si="3"/>
        <v>48.619658119658098</v>
      </c>
      <c r="T6" s="47">
        <v>3</v>
      </c>
      <c r="U6" s="47">
        <v>4</v>
      </c>
      <c r="V6" s="47">
        <v>33</v>
      </c>
      <c r="W6" s="47">
        <v>5</v>
      </c>
      <c r="X6" s="57">
        <f t="shared" si="4"/>
        <v>45</v>
      </c>
      <c r="Y6" s="48">
        <v>3</v>
      </c>
      <c r="Z6" s="48">
        <v>4</v>
      </c>
      <c r="AA6" s="48">
        <v>33</v>
      </c>
      <c r="AB6" s="48">
        <v>5</v>
      </c>
      <c r="AC6" s="48">
        <f t="shared" si="5"/>
        <v>45</v>
      </c>
      <c r="AD6" s="48">
        <f t="shared" si="6"/>
        <v>3155880</v>
      </c>
      <c r="AE6" s="48">
        <f t="shared" si="7"/>
        <v>194400</v>
      </c>
      <c r="AF6" s="48">
        <f t="shared" si="8"/>
        <v>270000</v>
      </c>
      <c r="AG6" s="48">
        <f t="shared" si="9"/>
        <v>108000</v>
      </c>
      <c r="AH6" s="48">
        <f t="shared" si="10"/>
        <v>423000</v>
      </c>
      <c r="AI6" s="48">
        <f t="shared" si="11"/>
        <v>36000</v>
      </c>
      <c r="AJ6" s="48">
        <f t="shared" si="12"/>
        <v>20000</v>
      </c>
      <c r="AK6" s="48">
        <f t="shared" si="13"/>
        <v>43200</v>
      </c>
      <c r="AL6" s="48">
        <f t="shared" si="14"/>
        <v>1365910.04</v>
      </c>
      <c r="AM6" s="48">
        <f t="shared" si="15"/>
        <v>5616390</v>
      </c>
      <c r="AN6" s="71"/>
      <c r="AO6" s="73">
        <f t="shared" si="17"/>
        <v>5616390</v>
      </c>
    </row>
    <row r="7" spans="1:41" ht="18" customHeight="1">
      <c r="A7" s="45" t="s">
        <v>2</v>
      </c>
      <c r="B7" s="46" t="s">
        <v>251</v>
      </c>
      <c r="C7" s="46" t="s">
        <v>247</v>
      </c>
      <c r="D7" s="47">
        <v>4</v>
      </c>
      <c r="E7" s="54">
        <v>1.2478632478633003</v>
      </c>
      <c r="F7" s="55">
        <v>3</v>
      </c>
      <c r="G7" s="54">
        <v>24.324999999999999</v>
      </c>
      <c r="H7" s="55">
        <v>3</v>
      </c>
      <c r="I7" s="48">
        <f t="shared" si="0"/>
        <v>31.5728632478633</v>
      </c>
      <c r="J7" s="47">
        <v>0</v>
      </c>
      <c r="K7" s="47">
        <v>0</v>
      </c>
      <c r="L7" s="47">
        <v>1</v>
      </c>
      <c r="M7" s="47">
        <v>1</v>
      </c>
      <c r="N7" s="48">
        <f t="shared" si="1"/>
        <v>2</v>
      </c>
      <c r="O7" s="48">
        <f t="shared" si="16"/>
        <v>1.2478632478633003</v>
      </c>
      <c r="P7" s="48">
        <f t="shared" si="2"/>
        <v>3</v>
      </c>
      <c r="Q7" s="48">
        <f t="shared" si="2"/>
        <v>25.324999999999999</v>
      </c>
      <c r="R7" s="48">
        <f t="shared" si="2"/>
        <v>4</v>
      </c>
      <c r="S7" s="57">
        <f t="shared" si="3"/>
        <v>33.572863247863296</v>
      </c>
      <c r="T7" s="47">
        <v>4</v>
      </c>
      <c r="U7" s="47">
        <v>4</v>
      </c>
      <c r="V7" s="47">
        <v>25</v>
      </c>
      <c r="W7" s="47">
        <v>5</v>
      </c>
      <c r="X7" s="57">
        <f t="shared" si="4"/>
        <v>38</v>
      </c>
      <c r="Y7" s="48">
        <v>1.2478632478633003</v>
      </c>
      <c r="Z7" s="48">
        <v>3</v>
      </c>
      <c r="AA7" s="48">
        <v>25.324999999999999</v>
      </c>
      <c r="AB7" s="48">
        <v>4</v>
      </c>
      <c r="AC7" s="48">
        <f t="shared" si="5"/>
        <v>33.572863247863296</v>
      </c>
      <c r="AD7" s="48">
        <f t="shared" si="6"/>
        <v>2336849.2307692356</v>
      </c>
      <c r="AE7" s="69">
        <f t="shared" si="7"/>
        <v>145034.76923076945</v>
      </c>
      <c r="AF7" s="69">
        <f t="shared" si="8"/>
        <v>201437.17948717979</v>
      </c>
      <c r="AG7" s="69">
        <f t="shared" si="9"/>
        <v>80574.871794871913</v>
      </c>
      <c r="AH7" s="69">
        <f t="shared" si="10"/>
        <v>315584.91452991497</v>
      </c>
      <c r="AI7" s="69">
        <f t="shared" si="11"/>
        <v>26858.290598290638</v>
      </c>
      <c r="AJ7" s="69">
        <f t="shared" si="12"/>
        <v>40000</v>
      </c>
      <c r="AK7" s="69">
        <f t="shared" si="13"/>
        <v>32229.948717948762</v>
      </c>
      <c r="AL7" s="69">
        <f t="shared" si="14"/>
        <v>1019055.8</v>
      </c>
      <c r="AM7" s="48">
        <f t="shared" si="15"/>
        <v>4197625</v>
      </c>
      <c r="AN7" s="71"/>
      <c r="AO7" s="73">
        <f t="shared" si="17"/>
        <v>4197625</v>
      </c>
    </row>
    <row r="8" spans="1:41" ht="18" customHeight="1">
      <c r="A8" s="45" t="s">
        <v>2</v>
      </c>
      <c r="B8" s="46" t="s">
        <v>160</v>
      </c>
      <c r="C8" s="46" t="s">
        <v>315</v>
      </c>
      <c r="D8" s="47"/>
      <c r="E8" s="54">
        <v>0</v>
      </c>
      <c r="F8" s="55">
        <v>9</v>
      </c>
      <c r="G8" s="54">
        <v>0</v>
      </c>
      <c r="H8" s="55">
        <v>5.5</v>
      </c>
      <c r="I8" s="48">
        <f t="shared" si="0"/>
        <v>14.5</v>
      </c>
      <c r="J8" s="47">
        <v>0</v>
      </c>
      <c r="K8" s="47">
        <v>0</v>
      </c>
      <c r="L8" s="47">
        <v>0</v>
      </c>
      <c r="M8" s="47">
        <v>0</v>
      </c>
      <c r="N8" s="48">
        <f t="shared" si="1"/>
        <v>0</v>
      </c>
      <c r="O8" s="48">
        <f t="shared" si="16"/>
        <v>0</v>
      </c>
      <c r="P8" s="48">
        <f t="shared" si="2"/>
        <v>9</v>
      </c>
      <c r="Q8" s="48">
        <f t="shared" si="2"/>
        <v>0</v>
      </c>
      <c r="R8" s="48">
        <f t="shared" si="2"/>
        <v>5.5</v>
      </c>
      <c r="S8" s="57">
        <f t="shared" si="3"/>
        <v>14.5</v>
      </c>
      <c r="T8" s="47">
        <v>0</v>
      </c>
      <c r="U8" s="47">
        <v>0</v>
      </c>
      <c r="V8" s="47">
        <v>0</v>
      </c>
      <c r="W8" s="47">
        <v>6</v>
      </c>
      <c r="X8" s="57">
        <f t="shared" si="4"/>
        <v>6</v>
      </c>
      <c r="Y8" s="48">
        <v>0</v>
      </c>
      <c r="Z8" s="48">
        <v>0</v>
      </c>
      <c r="AA8" s="48">
        <v>0</v>
      </c>
      <c r="AB8" s="48">
        <v>6</v>
      </c>
      <c r="AC8" s="48">
        <f t="shared" si="5"/>
        <v>6</v>
      </c>
      <c r="AD8" s="48">
        <f t="shared" si="6"/>
        <v>352800</v>
      </c>
      <c r="AE8" s="48">
        <f t="shared" si="7"/>
        <v>25920</v>
      </c>
      <c r="AF8" s="48">
        <f t="shared" si="8"/>
        <v>36000</v>
      </c>
      <c r="AG8" s="48">
        <f t="shared" si="9"/>
        <v>14400</v>
      </c>
      <c r="AH8" s="48">
        <f t="shared" si="10"/>
        <v>56400</v>
      </c>
      <c r="AI8" s="48">
        <f t="shared" si="11"/>
        <v>4800</v>
      </c>
      <c r="AJ8" s="48">
        <f t="shared" si="12"/>
        <v>0</v>
      </c>
      <c r="AK8" s="48">
        <f t="shared" si="13"/>
        <v>5760</v>
      </c>
      <c r="AL8" s="48">
        <f t="shared" si="14"/>
        <v>182121.34</v>
      </c>
      <c r="AM8" s="48">
        <f t="shared" si="15"/>
        <v>678201</v>
      </c>
      <c r="AN8" s="71">
        <v>127.5</v>
      </c>
      <c r="AO8" s="71">
        <f t="shared" si="17"/>
        <v>678328.5</v>
      </c>
    </row>
    <row r="9" spans="1:41" ht="18" customHeight="1">
      <c r="A9" s="45" t="s">
        <v>2</v>
      </c>
      <c r="B9" s="46" t="s">
        <v>252</v>
      </c>
      <c r="C9" s="46" t="s">
        <v>315</v>
      </c>
      <c r="D9" s="47"/>
      <c r="E9" s="54">
        <v>34.103448275862007</v>
      </c>
      <c r="F9" s="55">
        <v>24</v>
      </c>
      <c r="G9" s="54">
        <v>0</v>
      </c>
      <c r="H9" s="55">
        <v>12</v>
      </c>
      <c r="I9" s="48">
        <f t="shared" si="0"/>
        <v>70.103448275862007</v>
      </c>
      <c r="J9" s="47">
        <v>3</v>
      </c>
      <c r="K9" s="47">
        <v>0</v>
      </c>
      <c r="L9" s="47">
        <v>0</v>
      </c>
      <c r="M9" s="47">
        <v>0</v>
      </c>
      <c r="N9" s="48">
        <f t="shared" si="1"/>
        <v>3</v>
      </c>
      <c r="O9" s="48">
        <f t="shared" si="16"/>
        <v>37.103448275862007</v>
      </c>
      <c r="P9" s="48">
        <f t="shared" si="2"/>
        <v>24</v>
      </c>
      <c r="Q9" s="48">
        <f t="shared" si="2"/>
        <v>0</v>
      </c>
      <c r="R9" s="48">
        <f t="shared" si="2"/>
        <v>12</v>
      </c>
      <c r="S9" s="57">
        <f t="shared" si="3"/>
        <v>73.103448275862007</v>
      </c>
      <c r="T9" s="47">
        <v>18</v>
      </c>
      <c r="U9" s="47">
        <v>14</v>
      </c>
      <c r="V9" s="47">
        <v>0</v>
      </c>
      <c r="W9" s="47">
        <v>6</v>
      </c>
      <c r="X9" s="57">
        <f t="shared" si="4"/>
        <v>38</v>
      </c>
      <c r="Y9" s="48">
        <v>18</v>
      </c>
      <c r="Z9" s="48">
        <v>14</v>
      </c>
      <c r="AA9" s="48">
        <v>0</v>
      </c>
      <c r="AB9" s="48">
        <v>6</v>
      </c>
      <c r="AC9" s="48">
        <f t="shared" si="5"/>
        <v>38</v>
      </c>
      <c r="AD9" s="48">
        <f t="shared" si="6"/>
        <v>2965080</v>
      </c>
      <c r="AE9" s="48">
        <f t="shared" si="7"/>
        <v>164160</v>
      </c>
      <c r="AF9" s="48">
        <f t="shared" si="8"/>
        <v>228000</v>
      </c>
      <c r="AG9" s="48">
        <f t="shared" si="9"/>
        <v>91200</v>
      </c>
      <c r="AH9" s="48">
        <f t="shared" si="10"/>
        <v>357200</v>
      </c>
      <c r="AI9" s="48">
        <f t="shared" si="11"/>
        <v>30400</v>
      </c>
      <c r="AJ9" s="48">
        <f t="shared" si="12"/>
        <v>0</v>
      </c>
      <c r="AK9" s="48">
        <f t="shared" si="13"/>
        <v>36480</v>
      </c>
      <c r="AL9" s="48">
        <f t="shared" si="14"/>
        <v>1153435.1499999999</v>
      </c>
      <c r="AM9" s="48">
        <f t="shared" si="15"/>
        <v>5025955</v>
      </c>
      <c r="AN9" s="71">
        <v>253414.25</v>
      </c>
      <c r="AO9" s="71">
        <f t="shared" si="17"/>
        <v>5279369.25</v>
      </c>
    </row>
    <row r="10" spans="1:41" ht="18" customHeight="1">
      <c r="A10" s="45" t="s">
        <v>2</v>
      </c>
      <c r="B10" s="46" t="s">
        <v>253</v>
      </c>
      <c r="C10" s="46" t="s">
        <v>315</v>
      </c>
      <c r="D10" s="47"/>
      <c r="E10" s="54">
        <v>2.517241379310299</v>
      </c>
      <c r="F10" s="55">
        <v>8</v>
      </c>
      <c r="G10" s="54">
        <v>0</v>
      </c>
      <c r="H10" s="55">
        <v>5</v>
      </c>
      <c r="I10" s="48">
        <f t="shared" si="0"/>
        <v>15.517241379310299</v>
      </c>
      <c r="J10" s="47">
        <v>0</v>
      </c>
      <c r="K10" s="47">
        <v>0</v>
      </c>
      <c r="L10" s="47">
        <v>0</v>
      </c>
      <c r="M10" s="47">
        <v>0</v>
      </c>
      <c r="N10" s="48">
        <f t="shared" si="1"/>
        <v>0</v>
      </c>
      <c r="O10" s="48">
        <f t="shared" si="16"/>
        <v>2.517241379310299</v>
      </c>
      <c r="P10" s="48">
        <f t="shared" si="2"/>
        <v>8</v>
      </c>
      <c r="Q10" s="48">
        <f t="shared" si="2"/>
        <v>0</v>
      </c>
      <c r="R10" s="48">
        <f t="shared" si="2"/>
        <v>5</v>
      </c>
      <c r="S10" s="57">
        <f t="shared" si="3"/>
        <v>15.517241379310299</v>
      </c>
      <c r="T10" s="47">
        <v>2</v>
      </c>
      <c r="U10" s="47">
        <v>5</v>
      </c>
      <c r="V10" s="47">
        <v>0</v>
      </c>
      <c r="W10" s="47">
        <v>1</v>
      </c>
      <c r="X10" s="57">
        <f t="shared" si="4"/>
        <v>8</v>
      </c>
      <c r="Y10" s="48">
        <v>2</v>
      </c>
      <c r="Z10" s="48">
        <v>5</v>
      </c>
      <c r="AA10" s="48">
        <v>0</v>
      </c>
      <c r="AB10" s="48">
        <v>1</v>
      </c>
      <c r="AC10" s="48">
        <f t="shared" si="5"/>
        <v>8</v>
      </c>
      <c r="AD10" s="48">
        <f t="shared" si="6"/>
        <v>617100</v>
      </c>
      <c r="AE10" s="48">
        <f t="shared" si="7"/>
        <v>34560</v>
      </c>
      <c r="AF10" s="48">
        <f t="shared" si="8"/>
        <v>48000</v>
      </c>
      <c r="AG10" s="48">
        <f t="shared" si="9"/>
        <v>19200</v>
      </c>
      <c r="AH10" s="48">
        <f t="shared" si="10"/>
        <v>75200</v>
      </c>
      <c r="AI10" s="48">
        <f t="shared" si="11"/>
        <v>6400</v>
      </c>
      <c r="AJ10" s="48">
        <f t="shared" si="12"/>
        <v>0</v>
      </c>
      <c r="AK10" s="48">
        <f t="shared" si="13"/>
        <v>7680</v>
      </c>
      <c r="AL10" s="48">
        <f t="shared" si="14"/>
        <v>242828.45</v>
      </c>
      <c r="AM10" s="48">
        <f t="shared" si="15"/>
        <v>1050968</v>
      </c>
      <c r="AN10" s="71">
        <v>37867.5</v>
      </c>
      <c r="AO10" s="71">
        <f t="shared" si="17"/>
        <v>1088835.5</v>
      </c>
    </row>
    <row r="11" spans="1:41" s="49" customFormat="1" ht="18" customHeight="1">
      <c r="A11" s="45" t="s">
        <v>2</v>
      </c>
      <c r="B11" s="46" t="s">
        <v>254</v>
      </c>
      <c r="C11" s="46" t="s">
        <v>315</v>
      </c>
      <c r="D11" s="47"/>
      <c r="E11" s="54">
        <v>0.2413793103447972</v>
      </c>
      <c r="F11" s="55">
        <v>9</v>
      </c>
      <c r="G11" s="54">
        <v>0</v>
      </c>
      <c r="H11" s="55">
        <v>5.5</v>
      </c>
      <c r="I11" s="48">
        <f t="shared" si="0"/>
        <v>14.741379310344797</v>
      </c>
      <c r="J11" s="47">
        <v>4</v>
      </c>
      <c r="K11" s="47">
        <v>0</v>
      </c>
      <c r="L11" s="47">
        <v>0</v>
      </c>
      <c r="M11" s="47">
        <v>0</v>
      </c>
      <c r="N11" s="48">
        <f t="shared" si="1"/>
        <v>4</v>
      </c>
      <c r="O11" s="48">
        <f t="shared" si="16"/>
        <v>4.2413793103447972</v>
      </c>
      <c r="P11" s="48">
        <f t="shared" si="2"/>
        <v>9</v>
      </c>
      <c r="Q11" s="48">
        <f t="shared" si="2"/>
        <v>0</v>
      </c>
      <c r="R11" s="48">
        <f t="shared" si="2"/>
        <v>5.5</v>
      </c>
      <c r="S11" s="57">
        <f t="shared" si="3"/>
        <v>18.741379310344797</v>
      </c>
      <c r="T11" s="47">
        <v>4</v>
      </c>
      <c r="U11" s="47">
        <v>2</v>
      </c>
      <c r="V11" s="47">
        <v>0</v>
      </c>
      <c r="W11" s="47">
        <v>6</v>
      </c>
      <c r="X11" s="57">
        <f t="shared" si="4"/>
        <v>12</v>
      </c>
      <c r="Y11" s="48">
        <v>4</v>
      </c>
      <c r="Z11" s="48">
        <v>2</v>
      </c>
      <c r="AA11" s="48">
        <v>0</v>
      </c>
      <c r="AB11" s="48">
        <v>6</v>
      </c>
      <c r="AC11" s="48">
        <f t="shared" si="5"/>
        <v>12</v>
      </c>
      <c r="AD11" s="48">
        <f t="shared" si="6"/>
        <v>846840</v>
      </c>
      <c r="AE11" s="48">
        <f t="shared" si="7"/>
        <v>51840</v>
      </c>
      <c r="AF11" s="48">
        <f t="shared" si="8"/>
        <v>72000</v>
      </c>
      <c r="AG11" s="48">
        <f t="shared" si="9"/>
        <v>28800</v>
      </c>
      <c r="AH11" s="48">
        <f t="shared" si="10"/>
        <v>112800</v>
      </c>
      <c r="AI11" s="48">
        <f t="shared" si="11"/>
        <v>9600</v>
      </c>
      <c r="AJ11" s="48">
        <f t="shared" si="12"/>
        <v>0</v>
      </c>
      <c r="AK11" s="48">
        <f t="shared" si="13"/>
        <v>11520</v>
      </c>
      <c r="AL11" s="48">
        <f t="shared" si="14"/>
        <v>364242.68</v>
      </c>
      <c r="AM11" s="48">
        <f t="shared" si="15"/>
        <v>1497643</v>
      </c>
      <c r="AN11" s="72"/>
      <c r="AO11" s="71">
        <f t="shared" si="17"/>
        <v>1497643</v>
      </c>
    </row>
    <row r="12" spans="1:41" ht="18" customHeight="1">
      <c r="A12" s="45" t="s">
        <v>2</v>
      </c>
      <c r="B12" s="46" t="s">
        <v>255</v>
      </c>
      <c r="C12" s="46" t="s">
        <v>203</v>
      </c>
      <c r="D12" s="47"/>
      <c r="E12" s="54">
        <v>10</v>
      </c>
      <c r="F12" s="55">
        <v>10.5</v>
      </c>
      <c r="G12" s="54">
        <v>0</v>
      </c>
      <c r="H12" s="55">
        <v>6</v>
      </c>
      <c r="I12" s="48">
        <f t="shared" si="0"/>
        <v>26.5</v>
      </c>
      <c r="J12" s="47">
        <v>5</v>
      </c>
      <c r="K12" s="47">
        <v>4</v>
      </c>
      <c r="L12" s="47">
        <v>0</v>
      </c>
      <c r="M12" s="47">
        <v>0</v>
      </c>
      <c r="N12" s="48">
        <f t="shared" si="1"/>
        <v>9</v>
      </c>
      <c r="O12" s="48">
        <f t="shared" si="16"/>
        <v>15</v>
      </c>
      <c r="P12" s="48">
        <f t="shared" si="2"/>
        <v>14.5</v>
      </c>
      <c r="Q12" s="48">
        <f t="shared" si="2"/>
        <v>0</v>
      </c>
      <c r="R12" s="48">
        <f t="shared" si="2"/>
        <v>6</v>
      </c>
      <c r="S12" s="57">
        <f t="shared" si="3"/>
        <v>35.5</v>
      </c>
      <c r="T12" s="47">
        <v>6</v>
      </c>
      <c r="U12" s="47">
        <v>6</v>
      </c>
      <c r="V12" s="47">
        <v>0</v>
      </c>
      <c r="W12" s="47">
        <v>5</v>
      </c>
      <c r="X12" s="57">
        <f t="shared" si="4"/>
        <v>17</v>
      </c>
      <c r="Y12" s="48">
        <v>6</v>
      </c>
      <c r="Z12" s="48">
        <v>6</v>
      </c>
      <c r="AA12" s="48">
        <v>0</v>
      </c>
      <c r="AB12" s="48">
        <v>5</v>
      </c>
      <c r="AC12" s="48">
        <f t="shared" si="5"/>
        <v>17</v>
      </c>
      <c r="AD12" s="48">
        <f t="shared" ref="AD12:AD15" si="18">(Y12*9230+Z12*7215+AA12*5800+AB12*5100)*12</f>
        <v>1490040</v>
      </c>
      <c r="AE12" s="48">
        <f t="shared" si="7"/>
        <v>73440</v>
      </c>
      <c r="AF12" s="48">
        <f t="shared" si="8"/>
        <v>102000</v>
      </c>
      <c r="AG12" s="48">
        <f t="shared" si="9"/>
        <v>40800</v>
      </c>
      <c r="AH12" s="48">
        <f t="shared" ref="AH12:AH15" si="19">Y12*15400+(Z12+AA12+AB12)*9400</f>
        <v>195800</v>
      </c>
      <c r="AI12" s="48">
        <f t="shared" si="11"/>
        <v>13600</v>
      </c>
      <c r="AJ12" s="48">
        <f t="shared" si="12"/>
        <v>0</v>
      </c>
      <c r="AK12" s="48">
        <f t="shared" si="13"/>
        <v>16320</v>
      </c>
      <c r="AL12" s="48">
        <f t="shared" si="14"/>
        <v>516010.46</v>
      </c>
      <c r="AM12" s="48">
        <f t="shared" si="15"/>
        <v>2448010</v>
      </c>
      <c r="AN12" s="71">
        <v>49597.5</v>
      </c>
      <c r="AO12" s="71">
        <f t="shared" si="17"/>
        <v>2497607.5</v>
      </c>
    </row>
    <row r="13" spans="1:41" ht="18" customHeight="1">
      <c r="A13" s="45" t="s">
        <v>2</v>
      </c>
      <c r="B13" s="46" t="s">
        <v>256</v>
      </c>
      <c r="C13" s="46" t="s">
        <v>203</v>
      </c>
      <c r="D13" s="47"/>
      <c r="E13" s="54">
        <v>15.873949579832001</v>
      </c>
      <c r="F13" s="55">
        <v>10</v>
      </c>
      <c r="G13" s="54">
        <v>0</v>
      </c>
      <c r="H13" s="55">
        <v>9</v>
      </c>
      <c r="I13" s="48">
        <f t="shared" si="0"/>
        <v>34.873949579832001</v>
      </c>
      <c r="J13" s="47">
        <v>5</v>
      </c>
      <c r="K13" s="47">
        <v>2</v>
      </c>
      <c r="L13" s="47">
        <v>0</v>
      </c>
      <c r="M13" s="47">
        <v>0</v>
      </c>
      <c r="N13" s="48">
        <f t="shared" si="1"/>
        <v>7</v>
      </c>
      <c r="O13" s="48">
        <f t="shared" si="16"/>
        <v>20.873949579832001</v>
      </c>
      <c r="P13" s="48">
        <f t="shared" si="2"/>
        <v>12</v>
      </c>
      <c r="Q13" s="48">
        <f t="shared" si="2"/>
        <v>0</v>
      </c>
      <c r="R13" s="48">
        <f t="shared" si="2"/>
        <v>9</v>
      </c>
      <c r="S13" s="57">
        <f t="shared" si="3"/>
        <v>41.873949579832001</v>
      </c>
      <c r="T13" s="47">
        <v>5</v>
      </c>
      <c r="U13" s="47">
        <v>7</v>
      </c>
      <c r="V13" s="47">
        <v>0</v>
      </c>
      <c r="W13" s="47">
        <v>7</v>
      </c>
      <c r="X13" s="57">
        <f t="shared" si="4"/>
        <v>19</v>
      </c>
      <c r="Y13" s="48">
        <v>5</v>
      </c>
      <c r="Z13" s="48">
        <v>7</v>
      </c>
      <c r="AA13" s="48">
        <v>0</v>
      </c>
      <c r="AB13" s="48">
        <v>7</v>
      </c>
      <c r="AC13" s="48">
        <f t="shared" si="5"/>
        <v>19</v>
      </c>
      <c r="AD13" s="48">
        <f t="shared" si="18"/>
        <v>1588260</v>
      </c>
      <c r="AE13" s="48">
        <f t="shared" si="7"/>
        <v>82080</v>
      </c>
      <c r="AF13" s="48">
        <f t="shared" si="8"/>
        <v>114000</v>
      </c>
      <c r="AG13" s="48">
        <f t="shared" si="9"/>
        <v>45600</v>
      </c>
      <c r="AH13" s="48">
        <f t="shared" si="19"/>
        <v>208600</v>
      </c>
      <c r="AI13" s="48">
        <f t="shared" si="11"/>
        <v>15200</v>
      </c>
      <c r="AJ13" s="48">
        <f t="shared" si="12"/>
        <v>0</v>
      </c>
      <c r="AK13" s="48">
        <f t="shared" si="13"/>
        <v>18240</v>
      </c>
      <c r="AL13" s="48">
        <f t="shared" si="14"/>
        <v>576717.56999999995</v>
      </c>
      <c r="AM13" s="48">
        <f t="shared" si="15"/>
        <v>2648698</v>
      </c>
      <c r="AN13" s="71">
        <v>70329</v>
      </c>
      <c r="AO13" s="71">
        <f t="shared" si="17"/>
        <v>2719027</v>
      </c>
    </row>
    <row r="14" spans="1:41" ht="18" customHeight="1">
      <c r="A14" s="45" t="s">
        <v>2</v>
      </c>
      <c r="B14" s="46" t="s">
        <v>257</v>
      </c>
      <c r="C14" s="46" t="s">
        <v>325</v>
      </c>
      <c r="D14" s="47"/>
      <c r="E14" s="54">
        <v>13</v>
      </c>
      <c r="F14" s="55">
        <v>12</v>
      </c>
      <c r="G14" s="54">
        <v>0</v>
      </c>
      <c r="H14" s="55">
        <v>10</v>
      </c>
      <c r="I14" s="48">
        <f t="shared" si="0"/>
        <v>35</v>
      </c>
      <c r="J14" s="47">
        <v>0</v>
      </c>
      <c r="K14" s="47">
        <v>1</v>
      </c>
      <c r="L14" s="47">
        <v>0</v>
      </c>
      <c r="M14" s="47">
        <v>2</v>
      </c>
      <c r="N14" s="48">
        <f t="shared" si="1"/>
        <v>3</v>
      </c>
      <c r="O14" s="48">
        <f t="shared" si="16"/>
        <v>13</v>
      </c>
      <c r="P14" s="48">
        <f t="shared" si="2"/>
        <v>13</v>
      </c>
      <c r="Q14" s="48">
        <f t="shared" si="2"/>
        <v>0</v>
      </c>
      <c r="R14" s="48">
        <f t="shared" si="2"/>
        <v>12</v>
      </c>
      <c r="S14" s="57">
        <f t="shared" si="3"/>
        <v>38</v>
      </c>
      <c r="T14" s="47">
        <v>5</v>
      </c>
      <c r="U14" s="47">
        <v>9</v>
      </c>
      <c r="V14" s="47">
        <v>0</v>
      </c>
      <c r="W14" s="47">
        <v>7</v>
      </c>
      <c r="X14" s="57">
        <f t="shared" si="4"/>
        <v>21</v>
      </c>
      <c r="Y14" s="48">
        <v>5</v>
      </c>
      <c r="Z14" s="48">
        <v>9</v>
      </c>
      <c r="AA14" s="48">
        <v>0</v>
      </c>
      <c r="AB14" s="48">
        <v>7</v>
      </c>
      <c r="AC14" s="48">
        <f t="shared" si="5"/>
        <v>21</v>
      </c>
      <c r="AD14" s="48">
        <f t="shared" si="18"/>
        <v>1761420</v>
      </c>
      <c r="AE14" s="48">
        <f t="shared" si="7"/>
        <v>90720</v>
      </c>
      <c r="AF14" s="48">
        <f t="shared" si="8"/>
        <v>126000</v>
      </c>
      <c r="AG14" s="48">
        <f t="shared" si="9"/>
        <v>50400</v>
      </c>
      <c r="AH14" s="48">
        <f t="shared" si="19"/>
        <v>227400</v>
      </c>
      <c r="AI14" s="48">
        <f t="shared" si="11"/>
        <v>16800</v>
      </c>
      <c r="AJ14" s="48">
        <f t="shared" si="12"/>
        <v>0</v>
      </c>
      <c r="AK14" s="48">
        <f t="shared" si="13"/>
        <v>20160</v>
      </c>
      <c r="AL14" s="48">
        <f t="shared" si="14"/>
        <v>637424.68999999994</v>
      </c>
      <c r="AM14" s="48">
        <f t="shared" si="15"/>
        <v>2930325</v>
      </c>
      <c r="AN14" s="71">
        <v>44046.5</v>
      </c>
      <c r="AO14" s="71">
        <f t="shared" si="17"/>
        <v>2974371.5</v>
      </c>
    </row>
    <row r="15" spans="1:41" ht="18" customHeight="1">
      <c r="A15" s="45" t="s">
        <v>2</v>
      </c>
      <c r="B15" s="46" t="s">
        <v>258</v>
      </c>
      <c r="C15" s="46" t="s">
        <v>203</v>
      </c>
      <c r="D15" s="47"/>
      <c r="E15" s="54">
        <v>23.731092436975004</v>
      </c>
      <c r="F15" s="55">
        <v>11</v>
      </c>
      <c r="G15" s="54">
        <v>0</v>
      </c>
      <c r="H15" s="55">
        <v>6</v>
      </c>
      <c r="I15" s="48">
        <f t="shared" si="0"/>
        <v>40.731092436975004</v>
      </c>
      <c r="J15" s="47">
        <v>0</v>
      </c>
      <c r="K15" s="47">
        <v>0</v>
      </c>
      <c r="L15" s="47">
        <v>0</v>
      </c>
      <c r="M15" s="47">
        <v>0</v>
      </c>
      <c r="N15" s="48">
        <f t="shared" si="1"/>
        <v>0</v>
      </c>
      <c r="O15" s="48">
        <f t="shared" si="16"/>
        <v>23.731092436975004</v>
      </c>
      <c r="P15" s="48">
        <f t="shared" si="2"/>
        <v>11</v>
      </c>
      <c r="Q15" s="48">
        <f t="shared" si="2"/>
        <v>0</v>
      </c>
      <c r="R15" s="48">
        <f t="shared" si="2"/>
        <v>6</v>
      </c>
      <c r="S15" s="57">
        <f t="shared" si="3"/>
        <v>40.731092436975004</v>
      </c>
      <c r="T15" s="47">
        <v>4</v>
      </c>
      <c r="U15" s="47">
        <v>7</v>
      </c>
      <c r="V15" s="47">
        <v>0</v>
      </c>
      <c r="W15" s="47">
        <v>2</v>
      </c>
      <c r="X15" s="57">
        <f t="shared" si="4"/>
        <v>13</v>
      </c>
      <c r="Y15" s="48">
        <v>4</v>
      </c>
      <c r="Z15" s="48">
        <v>7</v>
      </c>
      <c r="AA15" s="48">
        <v>0</v>
      </c>
      <c r="AB15" s="48">
        <v>2</v>
      </c>
      <c r="AC15" s="48">
        <f t="shared" si="5"/>
        <v>13</v>
      </c>
      <c r="AD15" s="48">
        <f t="shared" si="18"/>
        <v>1171500</v>
      </c>
      <c r="AE15" s="48">
        <f t="shared" si="7"/>
        <v>56160</v>
      </c>
      <c r="AF15" s="48">
        <f t="shared" si="8"/>
        <v>78000</v>
      </c>
      <c r="AG15" s="48">
        <f t="shared" si="9"/>
        <v>31200</v>
      </c>
      <c r="AH15" s="48">
        <f t="shared" si="19"/>
        <v>146200</v>
      </c>
      <c r="AI15" s="48">
        <f t="shared" si="11"/>
        <v>10400</v>
      </c>
      <c r="AJ15" s="48">
        <f t="shared" si="12"/>
        <v>0</v>
      </c>
      <c r="AK15" s="48">
        <f t="shared" si="13"/>
        <v>12480</v>
      </c>
      <c r="AL15" s="48">
        <f t="shared" si="14"/>
        <v>394596.23</v>
      </c>
      <c r="AM15" s="48">
        <f t="shared" si="15"/>
        <v>1900536</v>
      </c>
      <c r="AN15" s="71">
        <v>43104</v>
      </c>
      <c r="AO15" s="71">
        <f t="shared" si="17"/>
        <v>1943640</v>
      </c>
    </row>
    <row r="16" spans="1:41" s="49" customFormat="1" ht="18" customHeight="1">
      <c r="A16" s="45" t="s">
        <v>2</v>
      </c>
      <c r="B16" s="46" t="s">
        <v>259</v>
      </c>
      <c r="C16" s="46" t="s">
        <v>247</v>
      </c>
      <c r="D16" s="47">
        <v>2</v>
      </c>
      <c r="E16" s="54">
        <v>1.1623931623932009</v>
      </c>
      <c r="F16" s="55">
        <v>3</v>
      </c>
      <c r="G16" s="54">
        <v>19.850000000000001</v>
      </c>
      <c r="H16" s="55">
        <v>2</v>
      </c>
      <c r="I16" s="48">
        <f t="shared" si="0"/>
        <v>26.012393162393202</v>
      </c>
      <c r="J16" s="47">
        <v>5</v>
      </c>
      <c r="K16" s="47">
        <v>1</v>
      </c>
      <c r="L16" s="47">
        <v>0</v>
      </c>
      <c r="M16" s="47">
        <v>0</v>
      </c>
      <c r="N16" s="48">
        <f t="shared" si="1"/>
        <v>6</v>
      </c>
      <c r="O16" s="48">
        <f t="shared" si="16"/>
        <v>6.1623931623932009</v>
      </c>
      <c r="P16" s="48">
        <f t="shared" si="2"/>
        <v>4</v>
      </c>
      <c r="Q16" s="48">
        <f t="shared" si="2"/>
        <v>19.850000000000001</v>
      </c>
      <c r="R16" s="48">
        <f t="shared" si="2"/>
        <v>2</v>
      </c>
      <c r="S16" s="57">
        <f t="shared" si="3"/>
        <v>32.012393162393202</v>
      </c>
      <c r="T16" s="47">
        <v>6</v>
      </c>
      <c r="U16" s="47">
        <v>4</v>
      </c>
      <c r="V16" s="47">
        <v>20</v>
      </c>
      <c r="W16" s="47">
        <v>2</v>
      </c>
      <c r="X16" s="57">
        <f t="shared" si="4"/>
        <v>32</v>
      </c>
      <c r="Y16" s="48">
        <v>6</v>
      </c>
      <c r="Z16" s="48">
        <v>4</v>
      </c>
      <c r="AA16" s="48">
        <v>20</v>
      </c>
      <c r="AB16" s="48">
        <v>2</v>
      </c>
      <c r="AC16" s="48">
        <f t="shared" si="5"/>
        <v>32</v>
      </c>
      <c r="AD16" s="48">
        <f>(Y16*7050+Z16*6485+AA16*5800+AB16*4900)*12</f>
        <v>2328480</v>
      </c>
      <c r="AE16" s="48">
        <f t="shared" si="7"/>
        <v>138240</v>
      </c>
      <c r="AF16" s="48">
        <f t="shared" si="8"/>
        <v>192000</v>
      </c>
      <c r="AG16" s="48">
        <f t="shared" si="9"/>
        <v>76800</v>
      </c>
      <c r="AH16" s="48">
        <f t="shared" si="10"/>
        <v>300800</v>
      </c>
      <c r="AI16" s="48">
        <f t="shared" si="11"/>
        <v>25600</v>
      </c>
      <c r="AJ16" s="48">
        <f t="shared" si="12"/>
        <v>20000</v>
      </c>
      <c r="AK16" s="48">
        <f t="shared" si="13"/>
        <v>30720</v>
      </c>
      <c r="AL16" s="48">
        <f t="shared" si="14"/>
        <v>971313.81</v>
      </c>
      <c r="AM16" s="48">
        <f t="shared" si="15"/>
        <v>4083954</v>
      </c>
      <c r="AN16" s="72"/>
      <c r="AO16" s="73">
        <f t="shared" si="17"/>
        <v>4083954</v>
      </c>
    </row>
    <row r="17" spans="1:41" s="49" customFormat="1" ht="18" customHeight="1">
      <c r="A17" s="45" t="s">
        <v>2</v>
      </c>
      <c r="B17" s="46" t="s">
        <v>260</v>
      </c>
      <c r="C17" s="46" t="s">
        <v>247</v>
      </c>
      <c r="D17" s="47">
        <v>1</v>
      </c>
      <c r="E17" s="54">
        <v>3.427350427350401</v>
      </c>
      <c r="F17" s="55">
        <v>2</v>
      </c>
      <c r="G17" s="54">
        <v>11.987500000000001</v>
      </c>
      <c r="H17" s="55">
        <v>1</v>
      </c>
      <c r="I17" s="48">
        <f t="shared" si="0"/>
        <v>18.414850427350402</v>
      </c>
      <c r="J17" s="47">
        <v>0</v>
      </c>
      <c r="K17" s="47">
        <v>0</v>
      </c>
      <c r="L17" s="47">
        <v>1</v>
      </c>
      <c r="M17" s="47">
        <v>0</v>
      </c>
      <c r="N17" s="48">
        <f t="shared" si="1"/>
        <v>1</v>
      </c>
      <c r="O17" s="48">
        <f t="shared" si="16"/>
        <v>3.427350427350401</v>
      </c>
      <c r="P17" s="48">
        <f t="shared" si="2"/>
        <v>2</v>
      </c>
      <c r="Q17" s="48">
        <f t="shared" si="2"/>
        <v>12.987500000000001</v>
      </c>
      <c r="R17" s="48">
        <f t="shared" si="2"/>
        <v>1</v>
      </c>
      <c r="S17" s="57">
        <f t="shared" si="3"/>
        <v>19.414850427350402</v>
      </c>
      <c r="T17" s="47">
        <v>3</v>
      </c>
      <c r="U17" s="47">
        <v>3</v>
      </c>
      <c r="V17" s="47">
        <v>13</v>
      </c>
      <c r="W17" s="47">
        <v>1</v>
      </c>
      <c r="X17" s="57">
        <f t="shared" si="4"/>
        <v>20</v>
      </c>
      <c r="Y17" s="48">
        <v>3.427350427350401</v>
      </c>
      <c r="Z17" s="48">
        <v>2</v>
      </c>
      <c r="AA17" s="48">
        <v>12.987500000000001</v>
      </c>
      <c r="AB17" s="48">
        <v>1</v>
      </c>
      <c r="AC17" s="48">
        <f t="shared" si="5"/>
        <v>19.414850427350402</v>
      </c>
      <c r="AD17" s="48">
        <f>(Y17*7050+Z17*6485+AA17*5800+AB17*4900)*12</f>
        <v>1408323.8461538439</v>
      </c>
      <c r="AE17" s="48">
        <f t="shared" si="7"/>
        <v>83872.153846153742</v>
      </c>
      <c r="AF17" s="48">
        <f t="shared" si="8"/>
        <v>116489.10256410242</v>
      </c>
      <c r="AG17" s="48">
        <f t="shared" si="9"/>
        <v>46595.641025640965</v>
      </c>
      <c r="AH17" s="48">
        <f t="shared" si="10"/>
        <v>182499.59401709377</v>
      </c>
      <c r="AI17" s="48">
        <f t="shared" si="11"/>
        <v>15531.880341880322</v>
      </c>
      <c r="AJ17" s="48">
        <f t="shared" si="12"/>
        <v>10000</v>
      </c>
      <c r="AK17" s="48">
        <f t="shared" si="13"/>
        <v>18638.256410256385</v>
      </c>
      <c r="AL17" s="48">
        <f t="shared" si="14"/>
        <v>589309.76</v>
      </c>
      <c r="AM17" s="48">
        <f t="shared" si="15"/>
        <v>2471260</v>
      </c>
      <c r="AN17" s="72"/>
      <c r="AO17" s="73">
        <f t="shared" si="17"/>
        <v>2471260</v>
      </c>
    </row>
    <row r="18" spans="1:41" s="51" customFormat="1" ht="18" customHeight="1">
      <c r="A18" s="100"/>
      <c r="B18" s="100" t="s">
        <v>261</v>
      </c>
      <c r="C18" s="100"/>
      <c r="D18" s="50">
        <f>SUM(D4:D17)</f>
        <v>13</v>
      </c>
      <c r="E18" s="50">
        <f t="shared" ref="E18:AO18" si="20">SUM(E4:E17)</f>
        <v>116.10813662334971</v>
      </c>
      <c r="F18" s="50">
        <f t="shared" si="20"/>
        <v>109.5</v>
      </c>
      <c r="G18" s="50">
        <f t="shared" si="20"/>
        <v>140.92500000000001</v>
      </c>
      <c r="H18" s="50">
        <f t="shared" si="20"/>
        <v>74</v>
      </c>
      <c r="I18" s="50">
        <f t="shared" si="20"/>
        <v>440.53313662334972</v>
      </c>
      <c r="J18" s="50">
        <f t="shared" si="20"/>
        <v>34</v>
      </c>
      <c r="K18" s="50">
        <f t="shared" si="20"/>
        <v>8</v>
      </c>
      <c r="L18" s="50">
        <f t="shared" si="20"/>
        <v>9</v>
      </c>
      <c r="M18" s="50">
        <f t="shared" si="20"/>
        <v>4</v>
      </c>
      <c r="N18" s="50">
        <f t="shared" si="20"/>
        <v>55</v>
      </c>
      <c r="O18" s="50">
        <f t="shared" si="20"/>
        <v>150.10813662334971</v>
      </c>
      <c r="P18" s="50">
        <f t="shared" si="20"/>
        <v>117.5</v>
      </c>
      <c r="Q18" s="50">
        <f t="shared" si="20"/>
        <v>149.92500000000001</v>
      </c>
      <c r="R18" s="50">
        <f t="shared" si="20"/>
        <v>78</v>
      </c>
      <c r="S18" s="50">
        <f t="shared" si="20"/>
        <v>495.53313662334972</v>
      </c>
      <c r="T18" s="50">
        <f t="shared" si="20"/>
        <v>77</v>
      </c>
      <c r="U18" s="50">
        <f t="shared" si="20"/>
        <v>70</v>
      </c>
      <c r="V18" s="50">
        <f t="shared" si="20"/>
        <v>143</v>
      </c>
      <c r="W18" s="50">
        <f t="shared" si="20"/>
        <v>57</v>
      </c>
      <c r="X18" s="50">
        <f t="shared" si="20"/>
        <v>347</v>
      </c>
      <c r="Y18" s="50">
        <f t="shared" si="20"/>
        <v>74.675213675213712</v>
      </c>
      <c r="Z18" s="50">
        <f t="shared" si="20"/>
        <v>68</v>
      </c>
      <c r="AA18" s="50">
        <f t="shared" si="20"/>
        <v>143.3125</v>
      </c>
      <c r="AB18" s="50">
        <f t="shared" si="20"/>
        <v>56</v>
      </c>
      <c r="AC18" s="50">
        <f t="shared" si="20"/>
        <v>341.98771367521374</v>
      </c>
      <c r="AD18" s="50">
        <f t="shared" si="20"/>
        <v>25704273.07692308</v>
      </c>
      <c r="AE18" s="50">
        <f t="shared" si="20"/>
        <v>1477386.9230769232</v>
      </c>
      <c r="AF18" s="50">
        <f t="shared" si="20"/>
        <v>2051926.2820512822</v>
      </c>
      <c r="AG18" s="50">
        <f t="shared" si="20"/>
        <v>820770.51282051299</v>
      </c>
      <c r="AH18" s="50">
        <f t="shared" si="20"/>
        <v>3334684.508547009</v>
      </c>
      <c r="AI18" s="50">
        <f t="shared" si="20"/>
        <v>273590.17094017094</v>
      </c>
      <c r="AJ18" s="50">
        <f t="shared" si="20"/>
        <v>130000</v>
      </c>
      <c r="AK18" s="50">
        <f t="shared" si="20"/>
        <v>328308.20512820513</v>
      </c>
      <c r="AL18" s="50">
        <f t="shared" si="20"/>
        <v>10380543.380000001</v>
      </c>
      <c r="AM18" s="50">
        <f t="shared" si="20"/>
        <v>44501482</v>
      </c>
      <c r="AN18" s="50">
        <f t="shared" si="20"/>
        <v>498486.25</v>
      </c>
      <c r="AO18" s="50">
        <f t="shared" si="20"/>
        <v>44999968.25</v>
      </c>
    </row>
  </sheetData>
  <autoFilter ref="A2:AN18">
    <filterColumn colId="4" showButton="0"/>
    <filterColumn colId="5" showButton="0"/>
    <filterColumn colId="6" showButton="0"/>
    <filterColumn colId="7" showButton="0"/>
    <filterColumn colId="9" showButton="0"/>
    <filterColumn colId="10" showButton="0"/>
    <filterColumn colId="11" showButton="0"/>
    <filterColumn colId="12" showButton="0"/>
    <filterColumn colId="14" showButton="0"/>
    <filterColumn colId="15" showButton="0"/>
    <filterColumn colId="16" showButton="0"/>
    <filterColumn colId="17" showButton="0"/>
    <filterColumn colId="19" showButton="0"/>
    <filterColumn colId="20" showButton="0"/>
    <filterColumn colId="21" showButton="0"/>
    <filterColumn colId="22" showButton="0"/>
    <filterColumn colId="24" showButton="0"/>
    <filterColumn colId="25" showButton="0"/>
    <filterColumn colId="26" showButton="0"/>
    <filterColumn colId="27" showButton="0"/>
    <filterColumn colId="29" showButton="0"/>
    <filterColumn colId="30" showButton="0"/>
    <filterColumn colId="31" showButton="0"/>
    <filterColumn colId="32" showButton="0"/>
    <filterColumn colId="33" showButton="0"/>
    <filterColumn colId="34" showButton="0"/>
    <filterColumn colId="35" showButton="0"/>
    <filterColumn colId="36" showButton="0"/>
    <filterColumn colId="37" showButton="0"/>
  </autoFilter>
  <mergeCells count="13">
    <mergeCell ref="AN2:AN3"/>
    <mergeCell ref="AO2:AO3"/>
    <mergeCell ref="A1:AO1"/>
    <mergeCell ref="AD2:AM2"/>
    <mergeCell ref="A2:A3"/>
    <mergeCell ref="B2:B3"/>
    <mergeCell ref="C2:C3"/>
    <mergeCell ref="D2:D3"/>
    <mergeCell ref="E2:I2"/>
    <mergeCell ref="J2:N2"/>
    <mergeCell ref="O2:S2"/>
    <mergeCell ref="T2:X2"/>
    <mergeCell ref="Y2:AC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"/>
  <sheetViews>
    <sheetView workbookViewId="0">
      <selection activeCell="H52" sqref="H52"/>
    </sheetView>
  </sheetViews>
  <sheetFormatPr defaultRowHeight="13.5" outlineLevelRow="2"/>
  <cols>
    <col min="1" max="1" width="9.625" style="110" customWidth="1"/>
    <col min="2" max="2" width="30" style="110" customWidth="1"/>
    <col min="3" max="5" width="15.625" style="110" customWidth="1"/>
    <col min="6" max="16384" width="9" style="110"/>
  </cols>
  <sheetData>
    <row r="1" spans="1:5" ht="35.25" customHeight="1">
      <c r="A1" s="171" t="s">
        <v>351</v>
      </c>
      <c r="B1" s="171"/>
      <c r="C1" s="171"/>
      <c r="D1" s="172"/>
      <c r="E1" s="172"/>
    </row>
    <row r="2" spans="1:5" s="112" customFormat="1" ht="18" customHeight="1">
      <c r="A2" s="106" t="s">
        <v>352</v>
      </c>
      <c r="B2" s="111" t="s">
        <v>353</v>
      </c>
      <c r="C2" s="111" t="s">
        <v>354</v>
      </c>
      <c r="D2" s="109" t="s">
        <v>355</v>
      </c>
      <c r="E2" s="109" t="s">
        <v>356</v>
      </c>
    </row>
    <row r="3" spans="1:5" ht="18" customHeight="1" outlineLevel="2">
      <c r="A3" s="113" t="s">
        <v>357</v>
      </c>
      <c r="B3" s="114" t="s">
        <v>159</v>
      </c>
      <c r="C3" s="115">
        <v>235209.5</v>
      </c>
      <c r="D3" s="116">
        <v>253414.25</v>
      </c>
      <c r="E3" s="116">
        <f t="shared" ref="E3:E10" si="0">C3-D3</f>
        <v>-18204.75</v>
      </c>
    </row>
    <row r="4" spans="1:5" ht="18" customHeight="1" outlineLevel="2">
      <c r="A4" s="113" t="s">
        <v>357</v>
      </c>
      <c r="B4" s="114" t="s">
        <v>161</v>
      </c>
      <c r="C4" s="115">
        <v>26520</v>
      </c>
      <c r="D4" s="116">
        <v>37867.5</v>
      </c>
      <c r="E4" s="116">
        <f t="shared" si="0"/>
        <v>-11347.5</v>
      </c>
    </row>
    <row r="5" spans="1:5" ht="18" customHeight="1" outlineLevel="2">
      <c r="A5" s="113" t="s">
        <v>357</v>
      </c>
      <c r="B5" s="114" t="s">
        <v>158</v>
      </c>
      <c r="C5" s="115">
        <v>66453.5</v>
      </c>
      <c r="D5" s="116">
        <v>44046.5</v>
      </c>
      <c r="E5" s="116">
        <f t="shared" si="0"/>
        <v>22407</v>
      </c>
    </row>
    <row r="6" spans="1:5" ht="18" customHeight="1" outlineLevel="2">
      <c r="A6" s="113" t="s">
        <v>357</v>
      </c>
      <c r="B6" s="114" t="s">
        <v>156</v>
      </c>
      <c r="C6" s="115">
        <v>71272.5</v>
      </c>
      <c r="D6" s="116">
        <v>49597.5</v>
      </c>
      <c r="E6" s="116">
        <f t="shared" si="0"/>
        <v>21675</v>
      </c>
    </row>
    <row r="7" spans="1:5" ht="18" customHeight="1" outlineLevel="2">
      <c r="A7" s="113" t="s">
        <v>357</v>
      </c>
      <c r="B7" s="114" t="s">
        <v>358</v>
      </c>
      <c r="C7" s="115"/>
      <c r="D7" s="116">
        <v>127.5</v>
      </c>
      <c r="E7" s="116">
        <f>C7-D7</f>
        <v>-127.5</v>
      </c>
    </row>
    <row r="8" spans="1:5" ht="18" customHeight="1" outlineLevel="2">
      <c r="A8" s="113" t="s">
        <v>357</v>
      </c>
      <c r="B8" s="114" t="s">
        <v>155</v>
      </c>
      <c r="C8" s="115">
        <v>39082.5</v>
      </c>
      <c r="D8" s="116">
        <v>70329</v>
      </c>
      <c r="E8" s="116">
        <f t="shared" si="0"/>
        <v>-31246.5</v>
      </c>
    </row>
    <row r="9" spans="1:5" ht="18" customHeight="1" outlineLevel="2">
      <c r="A9" s="113" t="s">
        <v>357</v>
      </c>
      <c r="B9" s="114" t="s">
        <v>157</v>
      </c>
      <c r="C9" s="115">
        <v>29281.5</v>
      </c>
      <c r="D9" s="116">
        <v>43104</v>
      </c>
      <c r="E9" s="116">
        <f t="shared" si="0"/>
        <v>-13822.5</v>
      </c>
    </row>
    <row r="10" spans="1:5" ht="18" customHeight="1" outlineLevel="2">
      <c r="A10" s="113" t="s">
        <v>357</v>
      </c>
      <c r="B10" s="114" t="s">
        <v>160</v>
      </c>
      <c r="C10" s="115">
        <v>127.5</v>
      </c>
      <c r="D10" s="116"/>
      <c r="E10" s="116">
        <f t="shared" si="0"/>
        <v>127.5</v>
      </c>
    </row>
    <row r="11" spans="1:5" ht="18" customHeight="1" outlineLevel="1">
      <c r="A11" s="117" t="s">
        <v>163</v>
      </c>
      <c r="B11" s="114"/>
      <c r="C11" s="115">
        <f t="shared" ref="C11:E11" si="1">SUBTOTAL(9,C3:C10)</f>
        <v>467947</v>
      </c>
      <c r="D11" s="116">
        <f t="shared" si="1"/>
        <v>498486.25</v>
      </c>
      <c r="E11" s="116">
        <f t="shared" si="1"/>
        <v>-30539.25</v>
      </c>
    </row>
  </sheetData>
  <mergeCells count="1">
    <mergeCell ref="A1:E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9</vt:i4>
      </vt:variant>
      <vt:variant>
        <vt:lpstr>命名范围</vt:lpstr>
      </vt:variant>
      <vt:variant>
        <vt:i4>9</vt:i4>
      </vt:variant>
    </vt:vector>
  </HeadingPairs>
  <TitlesOfParts>
    <vt:vector size="18" baseType="lpstr">
      <vt:lpstr>颛桥镇</vt:lpstr>
      <vt:lpstr>颛桥</vt:lpstr>
      <vt:lpstr>清算2024年绩效</vt:lpstr>
      <vt:lpstr>补缴年金</vt:lpstr>
      <vt:lpstr>残疾就业保障</vt:lpstr>
      <vt:lpstr>社区教育</vt:lpstr>
      <vt:lpstr>保安经费</vt:lpstr>
      <vt:lpstr>补充公用经费</vt:lpstr>
      <vt:lpstr>清算补充公用经费</vt:lpstr>
      <vt:lpstr>保安经费!Print_Area</vt:lpstr>
      <vt:lpstr>补充公用经费!Print_Area</vt:lpstr>
      <vt:lpstr>残疾就业保障!Print_Area</vt:lpstr>
      <vt:lpstr>社区教育!Print_Area</vt:lpstr>
      <vt:lpstr>颛桥!Print_Area</vt:lpstr>
      <vt:lpstr>保安经费!Print_Titles</vt:lpstr>
      <vt:lpstr>补充公用经费!Print_Titles</vt:lpstr>
      <vt:lpstr>残疾就业保障!Print_Titles</vt:lpstr>
      <vt:lpstr>颛桥!Print_Titles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徐惠华</cp:lastModifiedBy>
  <cp:lastPrinted>2025-01-02T06:09:08Z</cp:lastPrinted>
  <dcterms:created xsi:type="dcterms:W3CDTF">2022-11-10T02:18:00Z</dcterms:created>
  <dcterms:modified xsi:type="dcterms:W3CDTF">2025-02-17T06:01:48Z</dcterms:modified>
</cp:coreProperties>
</file>