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吴泾镇" sheetId="68" r:id="rId1"/>
    <sheet name="吴泾" sheetId="55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保安经费!$A$2:$J$11</definedName>
    <definedName name="_xlnm._FilterDatabase" localSheetId="7" hidden="1">补充公用经费!$A$2:$AN$8</definedName>
    <definedName name="_xlnm._FilterDatabase" localSheetId="4" hidden="1">残疾就业保障!$A$2:$E$8</definedName>
    <definedName name="_xlnm.Print_Area" localSheetId="6">保安经费!$A$1:$J$11</definedName>
    <definedName name="_xlnm.Print_Area" localSheetId="7">补充公用经费!$A$1:$AO$8</definedName>
    <definedName name="_xlnm.Print_Area" localSheetId="4">残疾就业保障!$A$1:$E$8</definedName>
    <definedName name="_xlnm.Print_Area" localSheetId="5">社区教育!$A$1:$C$4</definedName>
    <definedName name="_xlnm.Print_Area" localSheetId="1">吴泾!$A$1:$K$72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吴泾!$1:$3</definedName>
  </definedNames>
  <calcPr calcId="124519"/>
</workbook>
</file>

<file path=xl/calcChain.xml><?xml version="1.0" encoding="utf-8"?>
<calcChain xmlns="http://schemas.openxmlformats.org/spreadsheetml/2006/main">
  <c r="D4" i="68"/>
  <c r="C11"/>
  <c r="C9"/>
  <c r="C8"/>
  <c r="E8" s="1"/>
  <c r="C7"/>
  <c r="G7" s="1"/>
  <c r="C6"/>
  <c r="G6" s="1"/>
  <c r="C5"/>
  <c r="E5" s="1"/>
  <c r="C4"/>
  <c r="D12"/>
  <c r="E11"/>
  <c r="G10"/>
  <c r="E10"/>
  <c r="G4" l="1"/>
  <c r="G8"/>
  <c r="E7"/>
  <c r="E6"/>
  <c r="E4"/>
  <c r="G5"/>
  <c r="F9"/>
  <c r="F12" s="1"/>
  <c r="E9"/>
  <c r="C12"/>
  <c r="G11"/>
  <c r="G9" l="1"/>
  <c r="G12" s="1"/>
  <c r="E12"/>
  <c r="J4" i="67"/>
  <c r="AD7" i="32" l="1"/>
  <c r="AD6"/>
  <c r="AD5"/>
  <c r="AD4"/>
  <c r="D5" i="65" l="1"/>
  <c r="C5"/>
  <c r="E4"/>
  <c r="E3"/>
  <c r="E5" l="1"/>
  <c r="L10" i="64"/>
  <c r="K10"/>
  <c r="J10"/>
  <c r="H10"/>
  <c r="G10"/>
  <c r="F10"/>
  <c r="P9"/>
  <c r="O9"/>
  <c r="N9"/>
  <c r="M9"/>
  <c r="I9"/>
  <c r="P8"/>
  <c r="O8"/>
  <c r="N8"/>
  <c r="M8"/>
  <c r="I8"/>
  <c r="P7"/>
  <c r="O7"/>
  <c r="N7"/>
  <c r="M7"/>
  <c r="I7"/>
  <c r="Q7" s="1"/>
  <c r="P6"/>
  <c r="O6"/>
  <c r="N6"/>
  <c r="M6"/>
  <c r="I6"/>
  <c r="Q6" s="1"/>
  <c r="P5"/>
  <c r="O5"/>
  <c r="N5"/>
  <c r="M5"/>
  <c r="I5"/>
  <c r="P4"/>
  <c r="O4"/>
  <c r="N4"/>
  <c r="N10" s="1"/>
  <c r="M4"/>
  <c r="I4"/>
  <c r="Q5" l="1"/>
  <c r="Q9"/>
  <c r="O10"/>
  <c r="M10"/>
  <c r="Q4"/>
  <c r="P10"/>
  <c r="Q8"/>
  <c r="I10"/>
  <c r="Q10" l="1"/>
  <c r="AC4" i="32"/>
  <c r="AG4" s="1"/>
  <c r="AH4"/>
  <c r="AJ4"/>
  <c r="AC5"/>
  <c r="AE5" s="1"/>
  <c r="AJ5"/>
  <c r="AC6"/>
  <c r="AE6" s="1"/>
  <c r="AJ6"/>
  <c r="AC7"/>
  <c r="AE7" s="1"/>
  <c r="AF7"/>
  <c r="AJ7"/>
  <c r="AN8"/>
  <c r="AD8"/>
  <c r="AB8"/>
  <c r="AA8"/>
  <c r="Z8"/>
  <c r="Y8"/>
  <c r="X4"/>
  <c r="X5"/>
  <c r="X6"/>
  <c r="X7"/>
  <c r="W8"/>
  <c r="V8"/>
  <c r="U8"/>
  <c r="T8"/>
  <c r="O4"/>
  <c r="P4"/>
  <c r="Q4"/>
  <c r="R4"/>
  <c r="R8" s="1"/>
  <c r="O5"/>
  <c r="P5"/>
  <c r="Q5"/>
  <c r="R5"/>
  <c r="O6"/>
  <c r="P6"/>
  <c r="Q6"/>
  <c r="R6"/>
  <c r="O7"/>
  <c r="P7"/>
  <c r="P8" s="1"/>
  <c r="Q7"/>
  <c r="Q8" s="1"/>
  <c r="R7"/>
  <c r="O8"/>
  <c r="N4"/>
  <c r="N5"/>
  <c r="N6"/>
  <c r="N7"/>
  <c r="M8"/>
  <c r="L8"/>
  <c r="K8"/>
  <c r="J8"/>
  <c r="I4"/>
  <c r="I5"/>
  <c r="I6"/>
  <c r="I7"/>
  <c r="H8"/>
  <c r="G8"/>
  <c r="F8"/>
  <c r="E8"/>
  <c r="D8"/>
  <c r="AK7" l="1"/>
  <c r="AJ8"/>
  <c r="AL4"/>
  <c r="S6"/>
  <c r="AI4"/>
  <c r="AI5"/>
  <c r="AF4"/>
  <c r="AC8"/>
  <c r="AE4"/>
  <c r="AK4"/>
  <c r="AL7"/>
  <c r="AG7"/>
  <c r="AK6"/>
  <c r="AF6"/>
  <c r="AF5"/>
  <c r="I8"/>
  <c r="S5"/>
  <c r="S4"/>
  <c r="X8"/>
  <c r="AH7"/>
  <c r="AL6"/>
  <c r="AG6"/>
  <c r="AK5"/>
  <c r="AG5"/>
  <c r="AH6"/>
  <c r="AL5"/>
  <c r="AH5"/>
  <c r="N8"/>
  <c r="S7"/>
  <c r="AI7"/>
  <c r="AM7" s="1"/>
  <c r="AO7" s="1"/>
  <c r="AI6"/>
  <c r="S8" l="1"/>
  <c r="AL8"/>
  <c r="AH8"/>
  <c r="AG8"/>
  <c r="AM4"/>
  <c r="AO4" s="1"/>
  <c r="AE8"/>
  <c r="AM5"/>
  <c r="AO5" s="1"/>
  <c r="AF8"/>
  <c r="AI8"/>
  <c r="AK8"/>
  <c r="AM6"/>
  <c r="AO6" s="1"/>
  <c r="AO8" l="1"/>
  <c r="AM8"/>
  <c r="E11" i="33" l="1"/>
  <c r="D11"/>
  <c r="G10"/>
  <c r="G9"/>
  <c r="G8"/>
  <c r="G7"/>
  <c r="G6"/>
  <c r="G5"/>
  <c r="G4"/>
  <c r="G3"/>
  <c r="G11" l="1"/>
  <c r="E3" i="31" l="1"/>
  <c r="E4"/>
  <c r="E5"/>
  <c r="E6"/>
  <c r="E7"/>
  <c r="D8"/>
  <c r="E8" l="1"/>
  <c r="I74" i="55" l="1"/>
  <c r="G74"/>
  <c r="F74"/>
  <c r="E74"/>
  <c r="J72"/>
  <c r="J71"/>
  <c r="J70"/>
  <c r="J69"/>
  <c r="J68"/>
  <c r="J67"/>
  <c r="J66"/>
  <c r="I65"/>
  <c r="H65"/>
  <c r="G65"/>
  <c r="F65"/>
  <c r="J65" s="1"/>
  <c r="E65"/>
  <c r="J64"/>
  <c r="J63"/>
  <c r="J62"/>
  <c r="J61"/>
  <c r="I60"/>
  <c r="I47" s="1"/>
  <c r="I46" s="1"/>
  <c r="H60"/>
  <c r="G60"/>
  <c r="F60"/>
  <c r="J60" s="1"/>
  <c r="E60"/>
  <c r="E47" s="1"/>
  <c r="J59"/>
  <c r="J58"/>
  <c r="I57"/>
  <c r="H57"/>
  <c r="G57"/>
  <c r="F57"/>
  <c r="J57" s="1"/>
  <c r="E57"/>
  <c r="J56"/>
  <c r="I55"/>
  <c r="H55"/>
  <c r="G55"/>
  <c r="F55"/>
  <c r="E55"/>
  <c r="J55" s="1"/>
  <c r="I54"/>
  <c r="H54"/>
  <c r="G54"/>
  <c r="G53" s="1"/>
  <c r="F54"/>
  <c r="F53" s="1"/>
  <c r="F37" s="1"/>
  <c r="E54"/>
  <c r="J54" s="1"/>
  <c r="I53"/>
  <c r="H53"/>
  <c r="E53"/>
  <c r="J53" s="1"/>
  <c r="J52"/>
  <c r="I51"/>
  <c r="H51"/>
  <c r="G51"/>
  <c r="F51"/>
  <c r="J51" s="1"/>
  <c r="E51"/>
  <c r="I50"/>
  <c r="I49" s="1"/>
  <c r="H50"/>
  <c r="G50"/>
  <c r="F50"/>
  <c r="E50"/>
  <c r="J50" s="1"/>
  <c r="H49"/>
  <c r="G49"/>
  <c r="F49"/>
  <c r="I48"/>
  <c r="H48"/>
  <c r="G48"/>
  <c r="F48"/>
  <c r="E48"/>
  <c r="J48" s="1"/>
  <c r="H47"/>
  <c r="G47"/>
  <c r="G46" s="1"/>
  <c r="F47"/>
  <c r="H46"/>
  <c r="F46"/>
  <c r="I45"/>
  <c r="H45"/>
  <c r="G45"/>
  <c r="G44" s="1"/>
  <c r="F45"/>
  <c r="J45" s="1"/>
  <c r="E45"/>
  <c r="I44"/>
  <c r="H44"/>
  <c r="F44"/>
  <c r="E44"/>
  <c r="J44" s="1"/>
  <c r="I43"/>
  <c r="H43"/>
  <c r="G43"/>
  <c r="G42" s="1"/>
  <c r="F43"/>
  <c r="J43" s="1"/>
  <c r="E43"/>
  <c r="I42"/>
  <c r="H42"/>
  <c r="F42"/>
  <c r="E42"/>
  <c r="H41"/>
  <c r="H40" s="1"/>
  <c r="G41"/>
  <c r="G40" s="1"/>
  <c r="F41"/>
  <c r="F40"/>
  <c r="G39"/>
  <c r="F39"/>
  <c r="E39"/>
  <c r="H38"/>
  <c r="H37" s="1"/>
  <c r="G38"/>
  <c r="F38"/>
  <c r="E38"/>
  <c r="J38" s="1"/>
  <c r="J36"/>
  <c r="F36"/>
  <c r="I35"/>
  <c r="H35"/>
  <c r="G35"/>
  <c r="F35"/>
  <c r="J35" s="1"/>
  <c r="E35"/>
  <c r="J34"/>
  <c r="J74" s="1"/>
  <c r="H34"/>
  <c r="H74" s="1"/>
  <c r="I33"/>
  <c r="I32" s="1"/>
  <c r="H33"/>
  <c r="G33"/>
  <c r="F33"/>
  <c r="F32" s="1"/>
  <c r="E33"/>
  <c r="E32" s="1"/>
  <c r="H32"/>
  <c r="G32"/>
  <c r="J31"/>
  <c r="J30"/>
  <c r="I29"/>
  <c r="H29"/>
  <c r="H28" s="1"/>
  <c r="G29"/>
  <c r="G28" s="1"/>
  <c r="F29"/>
  <c r="J29" s="1"/>
  <c r="E29"/>
  <c r="I28"/>
  <c r="F28"/>
  <c r="J28" s="1"/>
  <c r="E28"/>
  <c r="I27"/>
  <c r="H27"/>
  <c r="H26" s="1"/>
  <c r="G27"/>
  <c r="G26" s="1"/>
  <c r="F27"/>
  <c r="J27" s="1"/>
  <c r="E27"/>
  <c r="I26"/>
  <c r="F26"/>
  <c r="J26" s="1"/>
  <c r="E26"/>
  <c r="I25"/>
  <c r="H25"/>
  <c r="G25"/>
  <c r="F25"/>
  <c r="J25" s="1"/>
  <c r="E25"/>
  <c r="I24"/>
  <c r="I23" s="1"/>
  <c r="H24"/>
  <c r="G24"/>
  <c r="F24"/>
  <c r="F23" s="1"/>
  <c r="E24"/>
  <c r="E23" s="1"/>
  <c r="J23" s="1"/>
  <c r="H23"/>
  <c r="G23"/>
  <c r="I22"/>
  <c r="H22"/>
  <c r="G22"/>
  <c r="F22"/>
  <c r="E22"/>
  <c r="J22" s="1"/>
  <c r="H21"/>
  <c r="G21"/>
  <c r="J20"/>
  <c r="I19"/>
  <c r="H19"/>
  <c r="G19"/>
  <c r="F19"/>
  <c r="E19"/>
  <c r="J19" s="1"/>
  <c r="J18"/>
  <c r="J17"/>
  <c r="I16"/>
  <c r="H16"/>
  <c r="G16"/>
  <c r="F16"/>
  <c r="E16"/>
  <c r="J16" s="1"/>
  <c r="I15"/>
  <c r="H15"/>
  <c r="G15"/>
  <c r="F15"/>
  <c r="E15"/>
  <c r="J15" s="1"/>
  <c r="I14"/>
  <c r="H14"/>
  <c r="G14"/>
  <c r="G13" s="1"/>
  <c r="F14"/>
  <c r="F13" s="1"/>
  <c r="E14"/>
  <c r="J14" s="1"/>
  <c r="I13"/>
  <c r="H13"/>
  <c r="E13"/>
  <c r="J13" s="1"/>
  <c r="I12"/>
  <c r="H12"/>
  <c r="G12"/>
  <c r="G11" s="1"/>
  <c r="G9" s="1"/>
  <c r="F12"/>
  <c r="F11" s="1"/>
  <c r="F9" s="1"/>
  <c r="E12"/>
  <c r="J12" s="1"/>
  <c r="I11"/>
  <c r="I9" s="1"/>
  <c r="H11"/>
  <c r="E11"/>
  <c r="J11" s="1"/>
  <c r="J10"/>
  <c r="H9"/>
  <c r="J8"/>
  <c r="J7"/>
  <c r="I6"/>
  <c r="H6"/>
  <c r="H5" s="1"/>
  <c r="G6"/>
  <c r="F6"/>
  <c r="J6" s="1"/>
  <c r="E6"/>
  <c r="J47" l="1"/>
  <c r="E46"/>
  <c r="J46" s="1"/>
  <c r="G5"/>
  <c r="F21"/>
  <c r="J32"/>
  <c r="G37"/>
  <c r="F5"/>
  <c r="I21"/>
  <c r="H4"/>
  <c r="H73"/>
  <c r="I5"/>
  <c r="J42"/>
  <c r="E9"/>
  <c r="E21"/>
  <c r="J21" s="1"/>
  <c r="H39"/>
  <c r="J39" s="1"/>
  <c r="E41"/>
  <c r="I41"/>
  <c r="I40" s="1"/>
  <c r="I37" s="1"/>
  <c r="E49"/>
  <c r="J49" s="1"/>
  <c r="J24"/>
  <c r="J33"/>
  <c r="J9" l="1"/>
  <c r="E5"/>
  <c r="F4"/>
  <c r="F73"/>
  <c r="G4"/>
  <c r="G73"/>
  <c r="I73"/>
  <c r="I4"/>
  <c r="J41"/>
  <c r="E40"/>
  <c r="E37" l="1"/>
  <c r="J37" s="1"/>
  <c r="J40"/>
  <c r="E73"/>
  <c r="J5"/>
  <c r="J73" s="1"/>
  <c r="E4"/>
  <c r="J4" s="1"/>
  <c r="B4" i="43" l="1"/>
  <c r="C3"/>
  <c r="C4" l="1"/>
</calcChain>
</file>

<file path=xl/sharedStrings.xml><?xml version="1.0" encoding="utf-8"?>
<sst xmlns="http://schemas.openxmlformats.org/spreadsheetml/2006/main" count="470" uniqueCount="311">
  <si>
    <t>工资福利支出</t>
  </si>
  <si>
    <t>商品服务支出</t>
  </si>
  <si>
    <t>吴泾</t>
  </si>
  <si>
    <t>序号</t>
  </si>
  <si>
    <t>项目名称</t>
  </si>
  <si>
    <t>功能分类</t>
  </si>
  <si>
    <t>口径</t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</si>
  <si>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</si>
  <si>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</si>
  <si>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</si>
  <si>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</si>
  <si>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</si>
  <si>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</si>
  <si>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</si>
  <si>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</si>
  <si>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</si>
  <si>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</si>
  <si>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</si>
  <si>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</si>
  <si>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</si>
  <si>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</si>
  <si>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</si>
  <si>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</si>
  <si>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</si>
  <si>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</si>
  <si>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</si>
  <si>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</si>
  <si>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</si>
  <si>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</si>
  <si>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</si>
  <si>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</si>
  <si>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</si>
  <si>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</si>
  <si>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</si>
  <si>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</si>
  <si>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</si>
  <si>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</si>
  <si>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</si>
  <si>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</si>
  <si>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</si>
  <si>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</si>
  <si>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</si>
  <si>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</si>
  <si>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</si>
  <si>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</si>
  <si>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</si>
  <si>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</si>
  <si>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</si>
  <si>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</si>
  <si>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</si>
  <si>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</si>
  <si>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</si>
  <si>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</si>
  <si>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</si>
  <si>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</si>
  <si>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</si>
  <si>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</si>
  <si>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</si>
  <si>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</si>
  <si>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</si>
  <si>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</si>
  <si>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</si>
  <si>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</si>
  <si>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</si>
  <si>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</si>
  <si>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</si>
  <si>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</si>
  <si>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</si>
  <si>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</si>
  <si>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</si>
  <si>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</si>
  <si>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</si>
  <si>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</si>
  <si>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</si>
  <si>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</si>
  <si>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</si>
  <si>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</si>
  <si>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</si>
  <si>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</si>
  <si>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</si>
  <si>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</si>
  <si>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</si>
  <si>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</si>
  <si>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</si>
  <si>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</si>
  <si>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</si>
  <si>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</si>
  <si>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</si>
  <si>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</si>
  <si>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</si>
  <si>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</si>
  <si>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</si>
  <si>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</si>
  <si>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</si>
  <si>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</si>
  <si>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</si>
  <si>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</si>
  <si>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</si>
  <si>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</si>
  <si>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</si>
  <si>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</si>
  <si>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</si>
  <si>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</si>
  <si>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</si>
  <si>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</si>
  <si>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</si>
  <si>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</si>
  <si>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</si>
  <si>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</si>
  <si>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</si>
  <si>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</si>
  <si>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</si>
  <si>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</si>
  <si>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</si>
  <si>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</si>
  <si>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</si>
  <si>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</si>
  <si>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</si>
  <si>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</si>
  <si>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</si>
  <si>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</si>
  <si>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</si>
  <si>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</si>
  <si>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</si>
  <si>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</si>
  <si>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</si>
  <si>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</si>
  <si>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</si>
  <si>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</si>
  <si>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</si>
  <si>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</si>
  <si>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</si>
  <si>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</si>
  <si>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</si>
  <si>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</si>
  <si>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</si>
  <si>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</si>
  <si>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</si>
  <si>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</si>
  <si>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</si>
  <si>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</si>
  <si>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</si>
  <si>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</si>
  <si>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</si>
  <si>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</si>
  <si>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</si>
  <si>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</si>
  <si>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</si>
  <si>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</si>
  <si>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</si>
  <si>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</si>
  <si>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</si>
  <si>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</si>
  <si>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</si>
  <si>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</si>
  <si>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</si>
  <si>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</si>
  <si>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</si>
  <si>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</si>
  <si>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</si>
  <si>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</si>
  <si>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</si>
  <si>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</si>
  <si>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镇属</t>
    <phoneticPr fontId="1" type="noConversion"/>
  </si>
  <si>
    <t>吴泾 汇总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</si>
  <si>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</si>
  <si>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</si>
  <si>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</si>
  <si>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</si>
  <si>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</si>
  <si>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</si>
  <si>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</si>
  <si>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</si>
  <si>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</si>
  <si>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</si>
  <si>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</si>
  <si>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</si>
  <si>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</si>
  <si>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</si>
  <si>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幼儿园</t>
    <phoneticPr fontId="1" type="noConversion"/>
  </si>
  <si>
    <t>其他</t>
    <phoneticPr fontId="1" type="noConversion"/>
  </si>
  <si>
    <t>小学</t>
    <phoneticPr fontId="1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</si>
  <si>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</si>
  <si>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</si>
  <si>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</si>
  <si>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</si>
  <si>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</si>
  <si>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</si>
  <si>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</si>
  <si>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</si>
  <si>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</si>
  <si>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</si>
  <si>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</si>
  <si>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</si>
  <si>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</si>
  <si>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</si>
  <si>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</si>
  <si>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</si>
  <si>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</si>
  <si>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</si>
  <si>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</si>
  <si>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</si>
  <si>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t>小学</t>
    <phoneticPr fontId="2" type="noConversion"/>
  </si>
  <si>
    <r>
      <rPr>
        <sz val="10"/>
        <rFont val="宋体"/>
        <family val="3"/>
        <charset val="134"/>
      </rPr>
      <t>景东小学</t>
    </r>
  </si>
  <si>
    <t>塘湾小学</t>
    <phoneticPr fontId="2" type="noConversion"/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</si>
  <si>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</si>
  <si>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</si>
  <si>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</si>
  <si>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</si>
  <si>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</si>
  <si>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</si>
  <si>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</si>
  <si>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</si>
  <si>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</si>
  <si>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</si>
  <si>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</si>
  <si>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</si>
  <si>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</si>
  <si>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</si>
  <si>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</si>
  <si>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</si>
  <si>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</si>
  <si>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</si>
  <si>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华东师范大学闵行永德幼儿园</t>
  </si>
  <si>
    <t>闵行区吴泾第三幼儿园</t>
  </si>
  <si>
    <t>闵行区景东小学</t>
  </si>
  <si>
    <t>吴泾合计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</si>
  <si>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</si>
  <si>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</si>
  <si>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</si>
  <si>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</si>
  <si>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</si>
  <si>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</si>
  <si>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吴泾</t>
    <phoneticPr fontId="1" type="noConversion"/>
  </si>
  <si>
    <t>2025年基本支出预算表（吴泾）</t>
    <phoneticPr fontId="1" type="noConversion"/>
  </si>
  <si>
    <t>2025年社区教育年初预算</t>
    <phoneticPr fontId="1" type="noConversion"/>
  </si>
  <si>
    <t>农民工小学</t>
    <phoneticPr fontId="1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</si>
  <si>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</si>
  <si>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</si>
  <si>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</si>
  <si>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t>吴泾镇 汇总</t>
  </si>
  <si>
    <t>2025年镇级保安经费预算表</t>
    <phoneticPr fontId="1" type="noConversion"/>
  </si>
  <si>
    <t>学段</t>
    <phoneticPr fontId="1" type="noConversion"/>
  </si>
  <si>
    <t>成人</t>
    <phoneticPr fontId="1" type="noConversion"/>
  </si>
  <si>
    <t>小学</t>
    <phoneticPr fontId="1" type="noConversion"/>
  </si>
  <si>
    <t>幼儿园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</si>
  <si>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</si>
  <si>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</si>
  <si>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</si>
  <si>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</si>
  <si>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</si>
  <si>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</si>
  <si>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</si>
  <si>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</si>
  <si>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</si>
  <si>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</si>
  <si>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</si>
  <si>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</si>
  <si>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</si>
  <si>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</si>
  <si>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</si>
  <si>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</si>
  <si>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</si>
  <si>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</si>
  <si>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</si>
  <si>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非义务</t>
  </si>
  <si>
    <t>社校</t>
  </si>
  <si>
    <t>幼儿园</t>
  </si>
  <si>
    <t>小学</t>
  </si>
  <si>
    <t>华东师范大学闵行永德实验小学</t>
  </si>
  <si>
    <t>吴泾小计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</si>
  <si>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</si>
  <si>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3" type="noConversion"/>
  </si>
  <si>
    <t>镇属</t>
    <phoneticPr fontId="43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</si>
  <si>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</si>
  <si>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</si>
  <si>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</si>
  <si>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</si>
  <si>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吴泾</t>
    <phoneticPr fontId="43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</si>
  <si>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</si>
  <si>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</si>
  <si>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</si>
  <si>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</si>
  <si>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</si>
  <si>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</si>
  <si>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</si>
  <si>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</si>
  <si>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</si>
  <si>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</si>
  <si>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</si>
  <si>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</si>
  <si>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</si>
  <si>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</si>
  <si>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</si>
  <si>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</si>
  <si>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</si>
  <si>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</si>
  <si>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</si>
  <si>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</si>
  <si>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</si>
  <si>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</si>
  <si>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</si>
  <si>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</si>
  <si>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</si>
  <si>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</si>
  <si>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</si>
  <si>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</si>
  <si>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</si>
  <si>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</si>
  <si>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</si>
  <si>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吴泾镇：</t>
    <phoneticPr fontId="1" type="noConversion"/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</si>
</sst>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7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5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5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63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39" fillId="28" borderId="0" xfId="0" applyFont="1" applyFill="1" applyAlignment="1" applyProtection="1">
      <protection locked="0"/>
    </xf>
    <xf numFmtId="49" fontId="38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2" fillId="28" borderId="12" xfId="0" applyNumberFormat="1" applyFont="1" applyFill="1" applyBorder="1" applyAlignment="1" applyProtection="1">
      <alignment wrapText="1"/>
      <protection locked="0"/>
    </xf>
    <xf numFmtId="49" fontId="38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4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8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7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38" fillId="28" borderId="14" xfId="0" applyNumberFormat="1" applyFont="1" applyFill="1" applyBorder="1" applyAlignment="1" applyProtection="1">
      <alignment horizontal="center"/>
      <protection locked="0"/>
    </xf>
    <xf numFmtId="49" fontId="38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/>
    <xf numFmtId="49" fontId="39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>
      <protection locked="0"/>
    </xf>
    <xf numFmtId="49" fontId="39" fillId="28" borderId="14" xfId="0" applyNumberFormat="1" applyFont="1" applyFill="1" applyBorder="1" applyAlignment="1" applyProtection="1">
      <alignment horizontal="left" wrapText="1"/>
      <protection locked="0"/>
    </xf>
    <xf numFmtId="49" fontId="39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39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horizontal="left"/>
      <protection locked="0"/>
    </xf>
    <xf numFmtId="177" fontId="39" fillId="2" borderId="14" xfId="0" applyNumberFormat="1" applyFont="1" applyFill="1" applyBorder="1" applyAlignment="1" applyProtection="1"/>
    <xf numFmtId="0" fontId="41" fillId="0" borderId="14" xfId="0" applyNumberFormat="1" applyFont="1" applyBorder="1" applyAlignment="1">
      <alignment horizontal="center" vertical="center"/>
    </xf>
    <xf numFmtId="0" fontId="53" fillId="28" borderId="0" xfId="0" applyFont="1" applyFill="1" applyAlignment="1">
      <alignment horizontal="center" vertical="center"/>
    </xf>
    <xf numFmtId="0" fontId="53" fillId="2" borderId="14" xfId="0" applyFont="1" applyFill="1" applyBorder="1" applyAlignment="1">
      <alignment horizontal="left" vertical="center" wrapText="1"/>
    </xf>
    <xf numFmtId="180" fontId="41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3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180" fontId="43" fillId="2" borderId="0" xfId="0" applyNumberFormat="1" applyFont="1" applyFill="1">
      <alignment vertical="center"/>
    </xf>
    <xf numFmtId="176" fontId="43" fillId="29" borderId="14" xfId="0" applyNumberFormat="1" applyFont="1" applyFill="1" applyBorder="1" applyAlignment="1">
      <alignment horizontal="center" vertical="center"/>
    </xf>
    <xf numFmtId="180" fontId="41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1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56" fillId="29" borderId="14" xfId="0" applyNumberFormat="1" applyFont="1" applyFill="1" applyBorder="1" applyAlignment="1">
      <alignment horizontal="center" vertical="center" wrapText="1"/>
    </xf>
    <xf numFmtId="176" fontId="57" fillId="2" borderId="14" xfId="0" applyNumberFormat="1" applyFont="1" applyFill="1" applyBorder="1" applyAlignment="1">
      <alignment horizontal="center" vertical="center"/>
    </xf>
    <xf numFmtId="180" fontId="57" fillId="2" borderId="0" xfId="0" applyNumberFormat="1" applyFont="1" applyFill="1">
      <alignment vertical="center"/>
    </xf>
    <xf numFmtId="0" fontId="40" fillId="0" borderId="0" xfId="0" applyNumberFormat="1" applyFont="1">
      <alignment vertical="center"/>
    </xf>
    <xf numFmtId="0" fontId="41" fillId="30" borderId="14" xfId="0" applyNumberFormat="1" applyFont="1" applyFill="1" applyBorder="1" applyAlignment="1">
      <alignment horizontal="center" vertical="center"/>
    </xf>
    <xf numFmtId="0" fontId="41" fillId="0" borderId="0" xfId="0" applyNumberFormat="1" applyFont="1">
      <alignment vertical="center"/>
    </xf>
    <xf numFmtId="176" fontId="41" fillId="0" borderId="14" xfId="0" applyNumberFormat="1" applyFont="1" applyBorder="1" applyAlignment="1">
      <alignment horizontal="center" vertical="center"/>
    </xf>
    <xf numFmtId="0" fontId="42" fillId="30" borderId="14" xfId="0" applyNumberFormat="1" applyFont="1" applyFill="1" applyBorder="1" applyAlignment="1">
      <alignment horizontal="center" vertical="center"/>
    </xf>
    <xf numFmtId="0" fontId="38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1" fillId="30" borderId="14" xfId="0" applyNumberFormat="1" applyFont="1" applyFill="1" applyBorder="1" applyAlignment="1">
      <alignment horizontal="center" vertical="center"/>
    </xf>
    <xf numFmtId="0" fontId="38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1" fillId="2" borderId="14" xfId="0" applyNumberFormat="1" applyFont="1" applyFill="1" applyBorder="1" applyAlignment="1">
      <alignment horizontal="center" vertical="center"/>
    </xf>
    <xf numFmtId="0" fontId="43" fillId="2" borderId="14" xfId="0" applyNumberFormat="1" applyFont="1" applyFill="1" applyBorder="1" applyAlignment="1">
      <alignment horizontal="center" vertical="center"/>
    </xf>
    <xf numFmtId="176" fontId="41" fillId="2" borderId="14" xfId="0" applyNumberFormat="1" applyFont="1" applyFill="1" applyBorder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180" fontId="41" fillId="2" borderId="0" xfId="0" applyNumberFormat="1" applyFont="1" applyFill="1" applyAlignment="1">
      <alignment horizontal="center" vertical="center"/>
    </xf>
    <xf numFmtId="0" fontId="44" fillId="28" borderId="0" xfId="0" applyFont="1" applyFill="1" applyAlignment="1">
      <alignment vertical="center" wrapText="1"/>
    </xf>
    <xf numFmtId="0" fontId="44" fillId="28" borderId="0" xfId="0" applyFont="1" applyFill="1" applyAlignment="1">
      <alignment horizontal="center" vertical="center" wrapText="1"/>
    </xf>
    <xf numFmtId="43" fontId="44" fillId="28" borderId="0" xfId="1720" applyNumberFormat="1" applyFont="1" applyFill="1" applyAlignment="1">
      <alignment horizontal="center" vertical="center"/>
    </xf>
    <xf numFmtId="43" fontId="44" fillId="28" borderId="0" xfId="0" applyNumberFormat="1" applyFont="1" applyFill="1" applyAlignment="1">
      <alignment horizontal="center" vertical="center"/>
    </xf>
    <xf numFmtId="0" fontId="44" fillId="28" borderId="0" xfId="0" applyFont="1" applyFill="1" applyAlignment="1">
      <alignment horizontal="left" vertical="center" wrapText="1"/>
    </xf>
    <xf numFmtId="178" fontId="44" fillId="28" borderId="0" xfId="1720" applyNumberFormat="1" applyFont="1" applyFill="1" applyAlignment="1">
      <alignment horizontal="center" vertical="center"/>
    </xf>
    <xf numFmtId="178" fontId="44" fillId="28" borderId="0" xfId="0" applyNumberFormat="1" applyFont="1" applyFill="1" applyAlignment="1">
      <alignment horizontal="center" vertical="center"/>
    </xf>
    <xf numFmtId="0" fontId="52" fillId="2" borderId="14" xfId="0" applyFont="1" applyFill="1" applyBorder="1" applyAlignment="1">
      <alignment horizontal="center" vertical="center" wrapText="1"/>
    </xf>
    <xf numFmtId="0" fontId="51" fillId="2" borderId="14" xfId="0" applyFont="1" applyFill="1" applyBorder="1" applyAlignment="1">
      <alignment horizontal="center" vertical="center" wrapText="1"/>
    </xf>
    <xf numFmtId="178" fontId="52" fillId="2" borderId="14" xfId="1720" applyNumberFormat="1" applyFont="1" applyFill="1" applyBorder="1" applyAlignment="1">
      <alignment horizontal="center" vertical="center" wrapText="1"/>
    </xf>
    <xf numFmtId="178" fontId="52" fillId="2" borderId="14" xfId="0" applyNumberFormat="1" applyFont="1" applyFill="1" applyBorder="1" applyAlignment="1">
      <alignment horizontal="center" vertical="center" wrapText="1"/>
    </xf>
    <xf numFmtId="0" fontId="51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54" fillId="2" borderId="14" xfId="0" applyFont="1" applyFill="1" applyBorder="1" applyAlignment="1">
      <alignment horizontal="center" vertical="center" wrapText="1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2" fillId="2" borderId="14" xfId="0" applyFont="1" applyFill="1" applyBorder="1" applyAlignment="1">
      <alignment horizontal="center" vertical="center" wrapText="1"/>
    </xf>
    <xf numFmtId="0" fontId="46" fillId="2" borderId="14" xfId="0" applyFont="1" applyFill="1" applyBorder="1" applyAlignment="1">
      <alignment horizontal="center" vertical="center"/>
    </xf>
    <xf numFmtId="176" fontId="41" fillId="2" borderId="14" xfId="0" applyNumberFormat="1" applyFont="1" applyFill="1" applyBorder="1">
      <alignment vertical="center"/>
    </xf>
    <xf numFmtId="0" fontId="41" fillId="2" borderId="0" xfId="0" applyFont="1" applyFill="1">
      <alignment vertical="center"/>
    </xf>
    <xf numFmtId="0" fontId="41" fillId="2" borderId="14" xfId="0" applyFont="1" applyFill="1" applyBorder="1" applyAlignment="1">
      <alignment horizontal="center"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6" fillId="0" borderId="14" xfId="0" applyFont="1" applyBorder="1">
      <alignment vertical="center"/>
    </xf>
    <xf numFmtId="0" fontId="65" fillId="0" borderId="14" xfId="0" applyNumberFormat="1" applyFont="1" applyFill="1" applyBorder="1">
      <alignment vertical="center"/>
    </xf>
    <xf numFmtId="176" fontId="65" fillId="0" borderId="14" xfId="0" applyNumberFormat="1" applyFont="1" applyFill="1" applyBorder="1">
      <alignment vertical="center"/>
    </xf>
    <xf numFmtId="176" fontId="46" fillId="0" borderId="14" xfId="0" applyNumberFormat="1" applyFont="1" applyBorder="1">
      <alignment vertical="center"/>
    </xf>
    <xf numFmtId="0" fontId="66" fillId="0" borderId="14" xfId="0" applyFont="1" applyBorder="1">
      <alignment vertical="center"/>
    </xf>
    <xf numFmtId="0" fontId="0" fillId="0" borderId="0" xfId="0" applyAlignment="1">
      <alignment vertical="center"/>
    </xf>
    <xf numFmtId="181" fontId="68" fillId="0" borderId="14" xfId="0" applyNumberFormat="1" applyFont="1" applyFill="1" applyBorder="1" applyAlignment="1">
      <alignment horizontal="center" vertical="center" wrapText="1"/>
    </xf>
    <xf numFmtId="49" fontId="68" fillId="0" borderId="14" xfId="0" applyNumberFormat="1" applyFont="1" applyFill="1" applyBorder="1" applyAlignment="1">
      <alignment horizontal="center" vertical="center" wrapText="1"/>
    </xf>
    <xf numFmtId="182" fontId="68" fillId="0" borderId="14" xfId="0" applyNumberFormat="1" applyFont="1" applyFill="1" applyBorder="1" applyAlignment="1">
      <alignment horizontal="center" vertical="center" wrapText="1"/>
    </xf>
    <xf numFmtId="0" fontId="69" fillId="0" borderId="0" xfId="0" applyFont="1" applyAlignment="1">
      <alignment vertical="center"/>
    </xf>
    <xf numFmtId="0" fontId="70" fillId="0" borderId="14" xfId="0" applyFont="1" applyFill="1" applyBorder="1" applyAlignment="1" applyProtection="1">
      <alignment horizontal="center" vertical="center"/>
    </xf>
    <xf numFmtId="0" fontId="70" fillId="0" borderId="14" xfId="0" applyFont="1" applyFill="1" applyBorder="1" applyAlignment="1" applyProtection="1">
      <alignment horizontal="center" vertical="center" wrapText="1"/>
    </xf>
    <xf numFmtId="49" fontId="70" fillId="0" borderId="14" xfId="0" applyNumberFormat="1" applyFont="1" applyFill="1" applyBorder="1" applyAlignment="1" applyProtection="1">
      <alignment horizontal="center" vertical="center" wrapText="1"/>
    </xf>
    <xf numFmtId="182" fontId="70" fillId="0" borderId="14" xfId="0" applyNumberFormat="1" applyFont="1" applyFill="1" applyBorder="1" applyAlignment="1" applyProtection="1">
      <alignment horizontal="center" vertical="center"/>
    </xf>
    <xf numFmtId="176" fontId="71" fillId="0" borderId="14" xfId="0" applyNumberFormat="1" applyFont="1" applyFill="1" applyBorder="1" applyAlignment="1">
      <alignment horizontal="center" vertical="center"/>
    </xf>
    <xf numFmtId="0" fontId="73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2" fillId="0" borderId="14" xfId="0" applyNumberFormat="1" applyFont="1" applyBorder="1" applyAlignment="1">
      <alignment horizontal="center" vertical="center"/>
    </xf>
    <xf numFmtId="0" fontId="72" fillId="0" borderId="14" xfId="0" applyNumberFormat="1" applyFont="1" applyBorder="1" applyAlignment="1">
      <alignment horizontal="center" vertical="center" wrapText="1"/>
    </xf>
    <xf numFmtId="0" fontId="72" fillId="0" borderId="0" xfId="0" applyNumberFormat="1" applyFont="1" applyBorder="1" applyAlignment="1">
      <alignment horizontal="center" vertical="center"/>
    </xf>
    <xf numFmtId="0" fontId="72" fillId="0" borderId="1" xfId="0" applyNumberFormat="1" applyFont="1" applyBorder="1" applyAlignment="1">
      <alignment horizontal="center" vertical="center"/>
    </xf>
    <xf numFmtId="43" fontId="72" fillId="0" borderId="1" xfId="0" applyNumberFormat="1" applyFont="1" applyBorder="1" applyAlignment="1">
      <alignment horizontal="center" vertical="center"/>
    </xf>
    <xf numFmtId="43" fontId="72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4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5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76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58" fillId="28" borderId="0" xfId="0" applyNumberFormat="1" applyFont="1" applyFill="1" applyBorder="1" applyAlignment="1" applyProtection="1">
      <alignment horizontal="center" vertical="center"/>
      <protection locked="0"/>
    </xf>
    <xf numFmtId="0" fontId="59" fillId="28" borderId="0" xfId="0" applyNumberFormat="1" applyFont="1" applyFill="1" applyBorder="1" applyAlignment="1" applyProtection="1">
      <alignment horizontal="center" vertical="center"/>
      <protection locked="0"/>
    </xf>
    <xf numFmtId="0" fontId="37" fillId="28" borderId="11" xfId="0" applyNumberFormat="1" applyFont="1" applyFill="1" applyBorder="1" applyAlignment="1" applyProtection="1">
      <alignment horizontal="center" vertical="center"/>
      <protection locked="0"/>
    </xf>
    <xf numFmtId="0" fontId="37" fillId="28" borderId="1" xfId="0" applyNumberFormat="1" applyFont="1" applyFill="1" applyBorder="1" applyAlignment="1" applyProtection="1">
      <alignment horizontal="center" vertical="center"/>
      <protection locked="0"/>
    </xf>
    <xf numFmtId="0" fontId="60" fillId="2" borderId="13" xfId="0" applyFont="1" applyFill="1" applyBorder="1" applyAlignment="1">
      <alignment horizontal="center" vertical="center"/>
    </xf>
    <xf numFmtId="0" fontId="61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2" fillId="2" borderId="11" xfId="0" applyFont="1" applyFill="1" applyBorder="1" applyAlignment="1">
      <alignment horizontal="center" vertical="center" wrapText="1"/>
    </xf>
    <xf numFmtId="0" fontId="62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67" fillId="0" borderId="13" xfId="0" applyFont="1" applyBorder="1" applyAlignment="1" applyProtection="1">
      <alignment horizontal="center" vertical="center"/>
    </xf>
    <xf numFmtId="0" fontId="40" fillId="0" borderId="13" xfId="0" applyNumberFormat="1" applyFont="1" applyBorder="1" applyAlignment="1">
      <alignment horizontal="center" vertical="center"/>
    </xf>
    <xf numFmtId="0" fontId="40" fillId="0" borderId="13" xfId="0" applyNumberFormat="1" applyFont="1" applyBorder="1">
      <alignment vertical="center"/>
    </xf>
    <xf numFmtId="0" fontId="47" fillId="0" borderId="0" xfId="0" applyFont="1" applyAlignment="1">
      <alignment horizontal="center" vertical="center"/>
    </xf>
    <xf numFmtId="0" fontId="50" fillId="28" borderId="13" xfId="0" applyFont="1" applyFill="1" applyBorder="1" applyAlignment="1">
      <alignment horizontal="center" vertical="center"/>
    </xf>
    <xf numFmtId="0" fontId="41" fillId="29" borderId="11" xfId="0" applyNumberFormat="1" applyFont="1" applyFill="1" applyBorder="1" applyAlignment="1">
      <alignment horizontal="center" vertical="center"/>
    </xf>
    <xf numFmtId="0" fontId="41" fillId="29" borderId="1" xfId="0" applyNumberFormat="1" applyFont="1" applyFill="1" applyBorder="1" applyAlignment="1">
      <alignment horizontal="center" vertical="center"/>
    </xf>
    <xf numFmtId="180" fontId="55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0" fontId="63" fillId="0" borderId="13" xfId="0" applyFont="1" applyBorder="1" applyAlignment="1">
      <alignment horizontal="center" vertical="center"/>
    </xf>
    <xf numFmtId="0" fontId="64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D15" sqref="D15"/>
    </sheetView>
  </sheetViews>
  <sheetFormatPr defaultColWidth="9" defaultRowHeight="13.5"/>
  <cols>
    <col min="1" max="1" width="6.25" style="122" customWidth="1"/>
    <col min="2" max="2" width="25.5" style="129" customWidth="1"/>
    <col min="3" max="5" width="21.25" style="122" customWidth="1"/>
    <col min="6" max="6" width="17.375" style="122" customWidth="1"/>
    <col min="7" max="7" width="21.75" style="122" customWidth="1"/>
    <col min="8" max="240" width="9" style="122"/>
    <col min="241" max="241" width="6.625" style="122" customWidth="1"/>
    <col min="242" max="243" width="21.625" style="122" customWidth="1"/>
    <col min="244" max="244" width="16.125" style="122" customWidth="1"/>
    <col min="245" max="245" width="13.875" style="122" customWidth="1"/>
    <col min="246" max="246" width="17.25" style="122" customWidth="1"/>
    <col min="247" max="248" width="20.5" style="122" customWidth="1"/>
    <col min="249" max="249" width="9" style="122" hidden="1" customWidth="1"/>
    <col min="250" max="250" width="18.375" style="122" customWidth="1"/>
    <col min="251" max="252" width="9" style="122" hidden="1" customWidth="1"/>
    <col min="253" max="496" width="9" style="122"/>
    <col min="497" max="497" width="6.625" style="122" customWidth="1"/>
    <col min="498" max="499" width="21.625" style="122" customWidth="1"/>
    <col min="500" max="500" width="16.125" style="122" customWidth="1"/>
    <col min="501" max="501" width="13.875" style="122" customWidth="1"/>
    <col min="502" max="502" width="17.25" style="122" customWidth="1"/>
    <col min="503" max="504" width="20.5" style="122" customWidth="1"/>
    <col min="505" max="505" width="9" style="122" hidden="1" customWidth="1"/>
    <col min="506" max="506" width="18.375" style="122" customWidth="1"/>
    <col min="507" max="508" width="9" style="122" hidden="1" customWidth="1"/>
    <col min="509" max="752" width="9" style="122"/>
    <col min="753" max="753" width="6.625" style="122" customWidth="1"/>
    <col min="754" max="755" width="21.625" style="122" customWidth="1"/>
    <col min="756" max="756" width="16.125" style="122" customWidth="1"/>
    <col min="757" max="757" width="13.875" style="122" customWidth="1"/>
    <col min="758" max="758" width="17.25" style="122" customWidth="1"/>
    <col min="759" max="760" width="20.5" style="122" customWidth="1"/>
    <col min="761" max="761" width="9" style="122" hidden="1" customWidth="1"/>
    <col min="762" max="762" width="18.375" style="122" customWidth="1"/>
    <col min="763" max="764" width="9" style="122" hidden="1" customWidth="1"/>
    <col min="765" max="1008" width="9" style="122"/>
    <col min="1009" max="1009" width="6.625" style="122" customWidth="1"/>
    <col min="1010" max="1011" width="21.625" style="122" customWidth="1"/>
    <col min="1012" max="1012" width="16.125" style="122" customWidth="1"/>
    <col min="1013" max="1013" width="13.875" style="122" customWidth="1"/>
    <col min="1014" max="1014" width="17.25" style="122" customWidth="1"/>
    <col min="1015" max="1016" width="20.5" style="122" customWidth="1"/>
    <col min="1017" max="1017" width="9" style="122" hidden="1" customWidth="1"/>
    <col min="1018" max="1018" width="18.375" style="122" customWidth="1"/>
    <col min="1019" max="1020" width="9" style="122" hidden="1" customWidth="1"/>
    <col min="1021" max="1264" width="9" style="122"/>
    <col min="1265" max="1265" width="6.625" style="122" customWidth="1"/>
    <col min="1266" max="1267" width="21.625" style="122" customWidth="1"/>
    <col min="1268" max="1268" width="16.125" style="122" customWidth="1"/>
    <col min="1269" max="1269" width="13.875" style="122" customWidth="1"/>
    <col min="1270" max="1270" width="17.25" style="122" customWidth="1"/>
    <col min="1271" max="1272" width="20.5" style="122" customWidth="1"/>
    <col min="1273" max="1273" width="9" style="122" hidden="1" customWidth="1"/>
    <col min="1274" max="1274" width="18.375" style="122" customWidth="1"/>
    <col min="1275" max="1276" width="9" style="122" hidden="1" customWidth="1"/>
    <col min="1277" max="1520" width="9" style="122"/>
    <col min="1521" max="1521" width="6.625" style="122" customWidth="1"/>
    <col min="1522" max="1523" width="21.625" style="122" customWidth="1"/>
    <col min="1524" max="1524" width="16.125" style="122" customWidth="1"/>
    <col min="1525" max="1525" width="13.875" style="122" customWidth="1"/>
    <col min="1526" max="1526" width="17.25" style="122" customWidth="1"/>
    <col min="1527" max="1528" width="20.5" style="122" customWidth="1"/>
    <col min="1529" max="1529" width="9" style="122" hidden="1" customWidth="1"/>
    <col min="1530" max="1530" width="18.375" style="122" customWidth="1"/>
    <col min="1531" max="1532" width="9" style="122" hidden="1" customWidth="1"/>
    <col min="1533" max="1776" width="9" style="122"/>
    <col min="1777" max="1777" width="6.625" style="122" customWidth="1"/>
    <col min="1778" max="1779" width="21.625" style="122" customWidth="1"/>
    <col min="1780" max="1780" width="16.125" style="122" customWidth="1"/>
    <col min="1781" max="1781" width="13.875" style="122" customWidth="1"/>
    <col min="1782" max="1782" width="17.25" style="122" customWidth="1"/>
    <col min="1783" max="1784" width="20.5" style="122" customWidth="1"/>
    <col min="1785" max="1785" width="9" style="122" hidden="1" customWidth="1"/>
    <col min="1786" max="1786" width="18.375" style="122" customWidth="1"/>
    <col min="1787" max="1788" width="9" style="122" hidden="1" customWidth="1"/>
    <col min="1789" max="2032" width="9" style="122"/>
    <col min="2033" max="2033" width="6.625" style="122" customWidth="1"/>
    <col min="2034" max="2035" width="21.625" style="122" customWidth="1"/>
    <col min="2036" max="2036" width="16.125" style="122" customWidth="1"/>
    <col min="2037" max="2037" width="13.875" style="122" customWidth="1"/>
    <col min="2038" max="2038" width="17.25" style="122" customWidth="1"/>
    <col min="2039" max="2040" width="20.5" style="122" customWidth="1"/>
    <col min="2041" max="2041" width="9" style="122" hidden="1" customWidth="1"/>
    <col min="2042" max="2042" width="18.375" style="122" customWidth="1"/>
    <col min="2043" max="2044" width="9" style="122" hidden="1" customWidth="1"/>
    <col min="2045" max="2288" width="9" style="122"/>
    <col min="2289" max="2289" width="6.625" style="122" customWidth="1"/>
    <col min="2290" max="2291" width="21.625" style="122" customWidth="1"/>
    <col min="2292" max="2292" width="16.125" style="122" customWidth="1"/>
    <col min="2293" max="2293" width="13.875" style="122" customWidth="1"/>
    <col min="2294" max="2294" width="17.25" style="122" customWidth="1"/>
    <col min="2295" max="2296" width="20.5" style="122" customWidth="1"/>
    <col min="2297" max="2297" width="9" style="122" hidden="1" customWidth="1"/>
    <col min="2298" max="2298" width="18.375" style="122" customWidth="1"/>
    <col min="2299" max="2300" width="9" style="122" hidden="1" customWidth="1"/>
    <col min="2301" max="2544" width="9" style="122"/>
    <col min="2545" max="2545" width="6.625" style="122" customWidth="1"/>
    <col min="2546" max="2547" width="21.625" style="122" customWidth="1"/>
    <col min="2548" max="2548" width="16.125" style="122" customWidth="1"/>
    <col min="2549" max="2549" width="13.875" style="122" customWidth="1"/>
    <col min="2550" max="2550" width="17.25" style="122" customWidth="1"/>
    <col min="2551" max="2552" width="20.5" style="122" customWidth="1"/>
    <col min="2553" max="2553" width="9" style="122" hidden="1" customWidth="1"/>
    <col min="2554" max="2554" width="18.375" style="122" customWidth="1"/>
    <col min="2555" max="2556" width="9" style="122" hidden="1" customWidth="1"/>
    <col min="2557" max="2800" width="9" style="122"/>
    <col min="2801" max="2801" width="6.625" style="122" customWidth="1"/>
    <col min="2802" max="2803" width="21.625" style="122" customWidth="1"/>
    <col min="2804" max="2804" width="16.125" style="122" customWidth="1"/>
    <col min="2805" max="2805" width="13.875" style="122" customWidth="1"/>
    <col min="2806" max="2806" width="17.25" style="122" customWidth="1"/>
    <col min="2807" max="2808" width="20.5" style="122" customWidth="1"/>
    <col min="2809" max="2809" width="9" style="122" hidden="1" customWidth="1"/>
    <col min="2810" max="2810" width="18.375" style="122" customWidth="1"/>
    <col min="2811" max="2812" width="9" style="122" hidden="1" customWidth="1"/>
    <col min="2813" max="3056" width="9" style="122"/>
    <col min="3057" max="3057" width="6.625" style="122" customWidth="1"/>
    <col min="3058" max="3059" width="21.625" style="122" customWidth="1"/>
    <col min="3060" max="3060" width="16.125" style="122" customWidth="1"/>
    <col min="3061" max="3061" width="13.875" style="122" customWidth="1"/>
    <col min="3062" max="3062" width="17.25" style="122" customWidth="1"/>
    <col min="3063" max="3064" width="20.5" style="122" customWidth="1"/>
    <col min="3065" max="3065" width="9" style="122" hidden="1" customWidth="1"/>
    <col min="3066" max="3066" width="18.375" style="122" customWidth="1"/>
    <col min="3067" max="3068" width="9" style="122" hidden="1" customWidth="1"/>
    <col min="3069" max="3312" width="9" style="122"/>
    <col min="3313" max="3313" width="6.625" style="122" customWidth="1"/>
    <col min="3314" max="3315" width="21.625" style="122" customWidth="1"/>
    <col min="3316" max="3316" width="16.125" style="122" customWidth="1"/>
    <col min="3317" max="3317" width="13.875" style="122" customWidth="1"/>
    <col min="3318" max="3318" width="17.25" style="122" customWidth="1"/>
    <col min="3319" max="3320" width="20.5" style="122" customWidth="1"/>
    <col min="3321" max="3321" width="9" style="122" hidden="1" customWidth="1"/>
    <col min="3322" max="3322" width="18.375" style="122" customWidth="1"/>
    <col min="3323" max="3324" width="9" style="122" hidden="1" customWidth="1"/>
    <col min="3325" max="3568" width="9" style="122"/>
    <col min="3569" max="3569" width="6.625" style="122" customWidth="1"/>
    <col min="3570" max="3571" width="21.625" style="122" customWidth="1"/>
    <col min="3572" max="3572" width="16.125" style="122" customWidth="1"/>
    <col min="3573" max="3573" width="13.875" style="122" customWidth="1"/>
    <col min="3574" max="3574" width="17.25" style="122" customWidth="1"/>
    <col min="3575" max="3576" width="20.5" style="122" customWidth="1"/>
    <col min="3577" max="3577" width="9" style="122" hidden="1" customWidth="1"/>
    <col min="3578" max="3578" width="18.375" style="122" customWidth="1"/>
    <col min="3579" max="3580" width="9" style="122" hidden="1" customWidth="1"/>
    <col min="3581" max="3824" width="9" style="122"/>
    <col min="3825" max="3825" width="6.625" style="122" customWidth="1"/>
    <col min="3826" max="3827" width="21.625" style="122" customWidth="1"/>
    <col min="3828" max="3828" width="16.125" style="122" customWidth="1"/>
    <col min="3829" max="3829" width="13.875" style="122" customWidth="1"/>
    <col min="3830" max="3830" width="17.25" style="122" customWidth="1"/>
    <col min="3831" max="3832" width="20.5" style="122" customWidth="1"/>
    <col min="3833" max="3833" width="9" style="122" hidden="1" customWidth="1"/>
    <col min="3834" max="3834" width="18.375" style="122" customWidth="1"/>
    <col min="3835" max="3836" width="9" style="122" hidden="1" customWidth="1"/>
    <col min="3837" max="4080" width="9" style="122"/>
    <col min="4081" max="4081" width="6.625" style="122" customWidth="1"/>
    <col min="4082" max="4083" width="21.625" style="122" customWidth="1"/>
    <col min="4084" max="4084" width="16.125" style="122" customWidth="1"/>
    <col min="4085" max="4085" width="13.875" style="122" customWidth="1"/>
    <col min="4086" max="4086" width="17.25" style="122" customWidth="1"/>
    <col min="4087" max="4088" width="20.5" style="122" customWidth="1"/>
    <col min="4089" max="4089" width="9" style="122" hidden="1" customWidth="1"/>
    <col min="4090" max="4090" width="18.375" style="122" customWidth="1"/>
    <col min="4091" max="4092" width="9" style="122" hidden="1" customWidth="1"/>
    <col min="4093" max="4336" width="9" style="122"/>
    <col min="4337" max="4337" width="6.625" style="122" customWidth="1"/>
    <col min="4338" max="4339" width="21.625" style="122" customWidth="1"/>
    <col min="4340" max="4340" width="16.125" style="122" customWidth="1"/>
    <col min="4341" max="4341" width="13.875" style="122" customWidth="1"/>
    <col min="4342" max="4342" width="17.25" style="122" customWidth="1"/>
    <col min="4343" max="4344" width="20.5" style="122" customWidth="1"/>
    <col min="4345" max="4345" width="9" style="122" hidden="1" customWidth="1"/>
    <col min="4346" max="4346" width="18.375" style="122" customWidth="1"/>
    <col min="4347" max="4348" width="9" style="122" hidden="1" customWidth="1"/>
    <col min="4349" max="4592" width="9" style="122"/>
    <col min="4593" max="4593" width="6.625" style="122" customWidth="1"/>
    <col min="4594" max="4595" width="21.625" style="122" customWidth="1"/>
    <col min="4596" max="4596" width="16.125" style="122" customWidth="1"/>
    <col min="4597" max="4597" width="13.875" style="122" customWidth="1"/>
    <col min="4598" max="4598" width="17.25" style="122" customWidth="1"/>
    <col min="4599" max="4600" width="20.5" style="122" customWidth="1"/>
    <col min="4601" max="4601" width="9" style="122" hidden="1" customWidth="1"/>
    <col min="4602" max="4602" width="18.375" style="122" customWidth="1"/>
    <col min="4603" max="4604" width="9" style="122" hidden="1" customWidth="1"/>
    <col min="4605" max="4848" width="9" style="122"/>
    <col min="4849" max="4849" width="6.625" style="122" customWidth="1"/>
    <col min="4850" max="4851" width="21.625" style="122" customWidth="1"/>
    <col min="4852" max="4852" width="16.125" style="122" customWidth="1"/>
    <col min="4853" max="4853" width="13.875" style="122" customWidth="1"/>
    <col min="4854" max="4854" width="17.25" style="122" customWidth="1"/>
    <col min="4855" max="4856" width="20.5" style="122" customWidth="1"/>
    <col min="4857" max="4857" width="9" style="122" hidden="1" customWidth="1"/>
    <col min="4858" max="4858" width="18.375" style="122" customWidth="1"/>
    <col min="4859" max="4860" width="9" style="122" hidden="1" customWidth="1"/>
    <col min="4861" max="5104" width="9" style="122"/>
    <col min="5105" max="5105" width="6.625" style="122" customWidth="1"/>
    <col min="5106" max="5107" width="21.625" style="122" customWidth="1"/>
    <col min="5108" max="5108" width="16.125" style="122" customWidth="1"/>
    <col min="5109" max="5109" width="13.875" style="122" customWidth="1"/>
    <col min="5110" max="5110" width="17.25" style="122" customWidth="1"/>
    <col min="5111" max="5112" width="20.5" style="122" customWidth="1"/>
    <col min="5113" max="5113" width="9" style="122" hidden="1" customWidth="1"/>
    <col min="5114" max="5114" width="18.375" style="122" customWidth="1"/>
    <col min="5115" max="5116" width="9" style="122" hidden="1" customWidth="1"/>
    <col min="5117" max="5360" width="9" style="122"/>
    <col min="5361" max="5361" width="6.625" style="122" customWidth="1"/>
    <col min="5362" max="5363" width="21.625" style="122" customWidth="1"/>
    <col min="5364" max="5364" width="16.125" style="122" customWidth="1"/>
    <col min="5365" max="5365" width="13.875" style="122" customWidth="1"/>
    <col min="5366" max="5366" width="17.25" style="122" customWidth="1"/>
    <col min="5367" max="5368" width="20.5" style="122" customWidth="1"/>
    <col min="5369" max="5369" width="9" style="122" hidden="1" customWidth="1"/>
    <col min="5370" max="5370" width="18.375" style="122" customWidth="1"/>
    <col min="5371" max="5372" width="9" style="122" hidden="1" customWidth="1"/>
    <col min="5373" max="5616" width="9" style="122"/>
    <col min="5617" max="5617" width="6.625" style="122" customWidth="1"/>
    <col min="5618" max="5619" width="21.625" style="122" customWidth="1"/>
    <col min="5620" max="5620" width="16.125" style="122" customWidth="1"/>
    <col min="5621" max="5621" width="13.875" style="122" customWidth="1"/>
    <col min="5622" max="5622" width="17.25" style="122" customWidth="1"/>
    <col min="5623" max="5624" width="20.5" style="122" customWidth="1"/>
    <col min="5625" max="5625" width="9" style="122" hidden="1" customWidth="1"/>
    <col min="5626" max="5626" width="18.375" style="122" customWidth="1"/>
    <col min="5627" max="5628" width="9" style="122" hidden="1" customWidth="1"/>
    <col min="5629" max="5872" width="9" style="122"/>
    <col min="5873" max="5873" width="6.625" style="122" customWidth="1"/>
    <col min="5874" max="5875" width="21.625" style="122" customWidth="1"/>
    <col min="5876" max="5876" width="16.125" style="122" customWidth="1"/>
    <col min="5877" max="5877" width="13.875" style="122" customWidth="1"/>
    <col min="5878" max="5878" width="17.25" style="122" customWidth="1"/>
    <col min="5879" max="5880" width="20.5" style="122" customWidth="1"/>
    <col min="5881" max="5881" width="9" style="122" hidden="1" customWidth="1"/>
    <col min="5882" max="5882" width="18.375" style="122" customWidth="1"/>
    <col min="5883" max="5884" width="9" style="122" hidden="1" customWidth="1"/>
    <col min="5885" max="6128" width="9" style="122"/>
    <col min="6129" max="6129" width="6.625" style="122" customWidth="1"/>
    <col min="6130" max="6131" width="21.625" style="122" customWidth="1"/>
    <col min="6132" max="6132" width="16.125" style="122" customWidth="1"/>
    <col min="6133" max="6133" width="13.875" style="122" customWidth="1"/>
    <col min="6134" max="6134" width="17.25" style="122" customWidth="1"/>
    <col min="6135" max="6136" width="20.5" style="122" customWidth="1"/>
    <col min="6137" max="6137" width="9" style="122" hidden="1" customWidth="1"/>
    <col min="6138" max="6138" width="18.375" style="122" customWidth="1"/>
    <col min="6139" max="6140" width="9" style="122" hidden="1" customWidth="1"/>
    <col min="6141" max="6384" width="9" style="122"/>
    <col min="6385" max="6385" width="6.625" style="122" customWidth="1"/>
    <col min="6386" max="6387" width="21.625" style="122" customWidth="1"/>
    <col min="6388" max="6388" width="16.125" style="122" customWidth="1"/>
    <col min="6389" max="6389" width="13.875" style="122" customWidth="1"/>
    <col min="6390" max="6390" width="17.25" style="122" customWidth="1"/>
    <col min="6391" max="6392" width="20.5" style="122" customWidth="1"/>
    <col min="6393" max="6393" width="9" style="122" hidden="1" customWidth="1"/>
    <col min="6394" max="6394" width="18.375" style="122" customWidth="1"/>
    <col min="6395" max="6396" width="9" style="122" hidden="1" customWidth="1"/>
    <col min="6397" max="6640" width="9" style="122"/>
    <col min="6641" max="6641" width="6.625" style="122" customWidth="1"/>
    <col min="6642" max="6643" width="21.625" style="122" customWidth="1"/>
    <col min="6644" max="6644" width="16.125" style="122" customWidth="1"/>
    <col min="6645" max="6645" width="13.875" style="122" customWidth="1"/>
    <col min="6646" max="6646" width="17.25" style="122" customWidth="1"/>
    <col min="6647" max="6648" width="20.5" style="122" customWidth="1"/>
    <col min="6649" max="6649" width="9" style="122" hidden="1" customWidth="1"/>
    <col min="6650" max="6650" width="18.375" style="122" customWidth="1"/>
    <col min="6651" max="6652" width="9" style="122" hidden="1" customWidth="1"/>
    <col min="6653" max="6896" width="9" style="122"/>
    <col min="6897" max="6897" width="6.625" style="122" customWidth="1"/>
    <col min="6898" max="6899" width="21.625" style="122" customWidth="1"/>
    <col min="6900" max="6900" width="16.125" style="122" customWidth="1"/>
    <col min="6901" max="6901" width="13.875" style="122" customWidth="1"/>
    <col min="6902" max="6902" width="17.25" style="122" customWidth="1"/>
    <col min="6903" max="6904" width="20.5" style="122" customWidth="1"/>
    <col min="6905" max="6905" width="9" style="122" hidden="1" customWidth="1"/>
    <col min="6906" max="6906" width="18.375" style="122" customWidth="1"/>
    <col min="6907" max="6908" width="9" style="122" hidden="1" customWidth="1"/>
    <col min="6909" max="7152" width="9" style="122"/>
    <col min="7153" max="7153" width="6.625" style="122" customWidth="1"/>
    <col min="7154" max="7155" width="21.625" style="122" customWidth="1"/>
    <col min="7156" max="7156" width="16.125" style="122" customWidth="1"/>
    <col min="7157" max="7157" width="13.875" style="122" customWidth="1"/>
    <col min="7158" max="7158" width="17.25" style="122" customWidth="1"/>
    <col min="7159" max="7160" width="20.5" style="122" customWidth="1"/>
    <col min="7161" max="7161" width="9" style="122" hidden="1" customWidth="1"/>
    <col min="7162" max="7162" width="18.375" style="122" customWidth="1"/>
    <col min="7163" max="7164" width="9" style="122" hidden="1" customWidth="1"/>
    <col min="7165" max="7408" width="9" style="122"/>
    <col min="7409" max="7409" width="6.625" style="122" customWidth="1"/>
    <col min="7410" max="7411" width="21.625" style="122" customWidth="1"/>
    <col min="7412" max="7412" width="16.125" style="122" customWidth="1"/>
    <col min="7413" max="7413" width="13.875" style="122" customWidth="1"/>
    <col min="7414" max="7414" width="17.25" style="122" customWidth="1"/>
    <col min="7415" max="7416" width="20.5" style="122" customWidth="1"/>
    <col min="7417" max="7417" width="9" style="122" hidden="1" customWidth="1"/>
    <col min="7418" max="7418" width="18.375" style="122" customWidth="1"/>
    <col min="7419" max="7420" width="9" style="122" hidden="1" customWidth="1"/>
    <col min="7421" max="7664" width="9" style="122"/>
    <col min="7665" max="7665" width="6.625" style="122" customWidth="1"/>
    <col min="7666" max="7667" width="21.625" style="122" customWidth="1"/>
    <col min="7668" max="7668" width="16.125" style="122" customWidth="1"/>
    <col min="7669" max="7669" width="13.875" style="122" customWidth="1"/>
    <col min="7670" max="7670" width="17.25" style="122" customWidth="1"/>
    <col min="7671" max="7672" width="20.5" style="122" customWidth="1"/>
    <col min="7673" max="7673" width="9" style="122" hidden="1" customWidth="1"/>
    <col min="7674" max="7674" width="18.375" style="122" customWidth="1"/>
    <col min="7675" max="7676" width="9" style="122" hidden="1" customWidth="1"/>
    <col min="7677" max="7920" width="9" style="122"/>
    <col min="7921" max="7921" width="6.625" style="122" customWidth="1"/>
    <col min="7922" max="7923" width="21.625" style="122" customWidth="1"/>
    <col min="7924" max="7924" width="16.125" style="122" customWidth="1"/>
    <col min="7925" max="7925" width="13.875" style="122" customWidth="1"/>
    <col min="7926" max="7926" width="17.25" style="122" customWidth="1"/>
    <col min="7927" max="7928" width="20.5" style="122" customWidth="1"/>
    <col min="7929" max="7929" width="9" style="122" hidden="1" customWidth="1"/>
    <col min="7930" max="7930" width="18.375" style="122" customWidth="1"/>
    <col min="7931" max="7932" width="9" style="122" hidden="1" customWidth="1"/>
    <col min="7933" max="8176" width="9" style="122"/>
    <col min="8177" max="8177" width="6.625" style="122" customWidth="1"/>
    <col min="8178" max="8179" width="21.625" style="122" customWidth="1"/>
    <col min="8180" max="8180" width="16.125" style="122" customWidth="1"/>
    <col min="8181" max="8181" width="13.875" style="122" customWidth="1"/>
    <col min="8182" max="8182" width="17.25" style="122" customWidth="1"/>
    <col min="8183" max="8184" width="20.5" style="122" customWidth="1"/>
    <col min="8185" max="8185" width="9" style="122" hidden="1" customWidth="1"/>
    <col min="8186" max="8186" width="18.375" style="122" customWidth="1"/>
    <col min="8187" max="8188" width="9" style="122" hidden="1" customWidth="1"/>
    <col min="8189" max="8432" width="9" style="122"/>
    <col min="8433" max="8433" width="6.625" style="122" customWidth="1"/>
    <col min="8434" max="8435" width="21.625" style="122" customWidth="1"/>
    <col min="8436" max="8436" width="16.125" style="122" customWidth="1"/>
    <col min="8437" max="8437" width="13.875" style="122" customWidth="1"/>
    <col min="8438" max="8438" width="17.25" style="122" customWidth="1"/>
    <col min="8439" max="8440" width="20.5" style="122" customWidth="1"/>
    <col min="8441" max="8441" width="9" style="122" hidden="1" customWidth="1"/>
    <col min="8442" max="8442" width="18.375" style="122" customWidth="1"/>
    <col min="8443" max="8444" width="9" style="122" hidden="1" customWidth="1"/>
    <col min="8445" max="8688" width="9" style="122"/>
    <col min="8689" max="8689" width="6.625" style="122" customWidth="1"/>
    <col min="8690" max="8691" width="21.625" style="122" customWidth="1"/>
    <col min="8692" max="8692" width="16.125" style="122" customWidth="1"/>
    <col min="8693" max="8693" width="13.875" style="122" customWidth="1"/>
    <col min="8694" max="8694" width="17.25" style="122" customWidth="1"/>
    <col min="8695" max="8696" width="20.5" style="122" customWidth="1"/>
    <col min="8697" max="8697" width="9" style="122" hidden="1" customWidth="1"/>
    <col min="8698" max="8698" width="18.375" style="122" customWidth="1"/>
    <col min="8699" max="8700" width="9" style="122" hidden="1" customWidth="1"/>
    <col min="8701" max="8944" width="9" style="122"/>
    <col min="8945" max="8945" width="6.625" style="122" customWidth="1"/>
    <col min="8946" max="8947" width="21.625" style="122" customWidth="1"/>
    <col min="8948" max="8948" width="16.125" style="122" customWidth="1"/>
    <col min="8949" max="8949" width="13.875" style="122" customWidth="1"/>
    <col min="8950" max="8950" width="17.25" style="122" customWidth="1"/>
    <col min="8951" max="8952" width="20.5" style="122" customWidth="1"/>
    <col min="8953" max="8953" width="9" style="122" hidden="1" customWidth="1"/>
    <col min="8954" max="8954" width="18.375" style="122" customWidth="1"/>
    <col min="8955" max="8956" width="9" style="122" hidden="1" customWidth="1"/>
    <col min="8957" max="9200" width="9" style="122"/>
    <col min="9201" max="9201" width="6.625" style="122" customWidth="1"/>
    <col min="9202" max="9203" width="21.625" style="122" customWidth="1"/>
    <col min="9204" max="9204" width="16.125" style="122" customWidth="1"/>
    <col min="9205" max="9205" width="13.875" style="122" customWidth="1"/>
    <col min="9206" max="9206" width="17.25" style="122" customWidth="1"/>
    <col min="9207" max="9208" width="20.5" style="122" customWidth="1"/>
    <col min="9209" max="9209" width="9" style="122" hidden="1" customWidth="1"/>
    <col min="9210" max="9210" width="18.375" style="122" customWidth="1"/>
    <col min="9211" max="9212" width="9" style="122" hidden="1" customWidth="1"/>
    <col min="9213" max="9456" width="9" style="122"/>
    <col min="9457" max="9457" width="6.625" style="122" customWidth="1"/>
    <col min="9458" max="9459" width="21.625" style="122" customWidth="1"/>
    <col min="9460" max="9460" width="16.125" style="122" customWidth="1"/>
    <col min="9461" max="9461" width="13.875" style="122" customWidth="1"/>
    <col min="9462" max="9462" width="17.25" style="122" customWidth="1"/>
    <col min="9463" max="9464" width="20.5" style="122" customWidth="1"/>
    <col min="9465" max="9465" width="9" style="122" hidden="1" customWidth="1"/>
    <col min="9466" max="9466" width="18.375" style="122" customWidth="1"/>
    <col min="9467" max="9468" width="9" style="122" hidden="1" customWidth="1"/>
    <col min="9469" max="9712" width="9" style="122"/>
    <col min="9713" max="9713" width="6.625" style="122" customWidth="1"/>
    <col min="9714" max="9715" width="21.625" style="122" customWidth="1"/>
    <col min="9716" max="9716" width="16.125" style="122" customWidth="1"/>
    <col min="9717" max="9717" width="13.875" style="122" customWidth="1"/>
    <col min="9718" max="9718" width="17.25" style="122" customWidth="1"/>
    <col min="9719" max="9720" width="20.5" style="122" customWidth="1"/>
    <col min="9721" max="9721" width="9" style="122" hidden="1" customWidth="1"/>
    <col min="9722" max="9722" width="18.375" style="122" customWidth="1"/>
    <col min="9723" max="9724" width="9" style="122" hidden="1" customWidth="1"/>
    <col min="9725" max="9968" width="9" style="122"/>
    <col min="9969" max="9969" width="6.625" style="122" customWidth="1"/>
    <col min="9970" max="9971" width="21.625" style="122" customWidth="1"/>
    <col min="9972" max="9972" width="16.125" style="122" customWidth="1"/>
    <col min="9973" max="9973" width="13.875" style="122" customWidth="1"/>
    <col min="9974" max="9974" width="17.25" style="122" customWidth="1"/>
    <col min="9975" max="9976" width="20.5" style="122" customWidth="1"/>
    <col min="9977" max="9977" width="9" style="122" hidden="1" customWidth="1"/>
    <col min="9978" max="9978" width="18.375" style="122" customWidth="1"/>
    <col min="9979" max="9980" width="9" style="122" hidden="1" customWidth="1"/>
    <col min="9981" max="10224" width="9" style="122"/>
    <col min="10225" max="10225" width="6.625" style="122" customWidth="1"/>
    <col min="10226" max="10227" width="21.625" style="122" customWidth="1"/>
    <col min="10228" max="10228" width="16.125" style="122" customWidth="1"/>
    <col min="10229" max="10229" width="13.875" style="122" customWidth="1"/>
    <col min="10230" max="10230" width="17.25" style="122" customWidth="1"/>
    <col min="10231" max="10232" width="20.5" style="122" customWidth="1"/>
    <col min="10233" max="10233" width="9" style="122" hidden="1" customWidth="1"/>
    <col min="10234" max="10234" width="18.375" style="122" customWidth="1"/>
    <col min="10235" max="10236" width="9" style="122" hidden="1" customWidth="1"/>
    <col min="10237" max="10480" width="9" style="122"/>
    <col min="10481" max="10481" width="6.625" style="122" customWidth="1"/>
    <col min="10482" max="10483" width="21.625" style="122" customWidth="1"/>
    <col min="10484" max="10484" width="16.125" style="122" customWidth="1"/>
    <col min="10485" max="10485" width="13.875" style="122" customWidth="1"/>
    <col min="10486" max="10486" width="17.25" style="122" customWidth="1"/>
    <col min="10487" max="10488" width="20.5" style="122" customWidth="1"/>
    <col min="10489" max="10489" width="9" style="122" hidden="1" customWidth="1"/>
    <col min="10490" max="10490" width="18.375" style="122" customWidth="1"/>
    <col min="10491" max="10492" width="9" style="122" hidden="1" customWidth="1"/>
    <col min="10493" max="10736" width="9" style="122"/>
    <col min="10737" max="10737" width="6.625" style="122" customWidth="1"/>
    <col min="10738" max="10739" width="21.625" style="122" customWidth="1"/>
    <col min="10740" max="10740" width="16.125" style="122" customWidth="1"/>
    <col min="10741" max="10741" width="13.875" style="122" customWidth="1"/>
    <col min="10742" max="10742" width="17.25" style="122" customWidth="1"/>
    <col min="10743" max="10744" width="20.5" style="122" customWidth="1"/>
    <col min="10745" max="10745" width="9" style="122" hidden="1" customWidth="1"/>
    <col min="10746" max="10746" width="18.375" style="122" customWidth="1"/>
    <col min="10747" max="10748" width="9" style="122" hidden="1" customWidth="1"/>
    <col min="10749" max="10992" width="9" style="122"/>
    <col min="10993" max="10993" width="6.625" style="122" customWidth="1"/>
    <col min="10994" max="10995" width="21.625" style="122" customWidth="1"/>
    <col min="10996" max="10996" width="16.125" style="122" customWidth="1"/>
    <col min="10997" max="10997" width="13.875" style="122" customWidth="1"/>
    <col min="10998" max="10998" width="17.25" style="122" customWidth="1"/>
    <col min="10999" max="11000" width="20.5" style="122" customWidth="1"/>
    <col min="11001" max="11001" width="9" style="122" hidden="1" customWidth="1"/>
    <col min="11002" max="11002" width="18.375" style="122" customWidth="1"/>
    <col min="11003" max="11004" width="9" style="122" hidden="1" customWidth="1"/>
    <col min="11005" max="11248" width="9" style="122"/>
    <col min="11249" max="11249" width="6.625" style="122" customWidth="1"/>
    <col min="11250" max="11251" width="21.625" style="122" customWidth="1"/>
    <col min="11252" max="11252" width="16.125" style="122" customWidth="1"/>
    <col min="11253" max="11253" width="13.875" style="122" customWidth="1"/>
    <col min="11254" max="11254" width="17.25" style="122" customWidth="1"/>
    <col min="11255" max="11256" width="20.5" style="122" customWidth="1"/>
    <col min="11257" max="11257" width="9" style="122" hidden="1" customWidth="1"/>
    <col min="11258" max="11258" width="18.375" style="122" customWidth="1"/>
    <col min="11259" max="11260" width="9" style="122" hidden="1" customWidth="1"/>
    <col min="11261" max="11504" width="9" style="122"/>
    <col min="11505" max="11505" width="6.625" style="122" customWidth="1"/>
    <col min="11506" max="11507" width="21.625" style="122" customWidth="1"/>
    <col min="11508" max="11508" width="16.125" style="122" customWidth="1"/>
    <col min="11509" max="11509" width="13.875" style="122" customWidth="1"/>
    <col min="11510" max="11510" width="17.25" style="122" customWidth="1"/>
    <col min="11511" max="11512" width="20.5" style="122" customWidth="1"/>
    <col min="11513" max="11513" width="9" style="122" hidden="1" customWidth="1"/>
    <col min="11514" max="11514" width="18.375" style="122" customWidth="1"/>
    <col min="11515" max="11516" width="9" style="122" hidden="1" customWidth="1"/>
    <col min="11517" max="11760" width="9" style="122"/>
    <col min="11761" max="11761" width="6.625" style="122" customWidth="1"/>
    <col min="11762" max="11763" width="21.625" style="122" customWidth="1"/>
    <col min="11764" max="11764" width="16.125" style="122" customWidth="1"/>
    <col min="11765" max="11765" width="13.875" style="122" customWidth="1"/>
    <col min="11766" max="11766" width="17.25" style="122" customWidth="1"/>
    <col min="11767" max="11768" width="20.5" style="122" customWidth="1"/>
    <col min="11769" max="11769" width="9" style="122" hidden="1" customWidth="1"/>
    <col min="11770" max="11770" width="18.375" style="122" customWidth="1"/>
    <col min="11771" max="11772" width="9" style="122" hidden="1" customWidth="1"/>
    <col min="11773" max="12016" width="9" style="122"/>
    <col min="12017" max="12017" width="6.625" style="122" customWidth="1"/>
    <col min="12018" max="12019" width="21.625" style="122" customWidth="1"/>
    <col min="12020" max="12020" width="16.125" style="122" customWidth="1"/>
    <col min="12021" max="12021" width="13.875" style="122" customWidth="1"/>
    <col min="12022" max="12022" width="17.25" style="122" customWidth="1"/>
    <col min="12023" max="12024" width="20.5" style="122" customWidth="1"/>
    <col min="12025" max="12025" width="9" style="122" hidden="1" customWidth="1"/>
    <col min="12026" max="12026" width="18.375" style="122" customWidth="1"/>
    <col min="12027" max="12028" width="9" style="122" hidden="1" customWidth="1"/>
    <col min="12029" max="12272" width="9" style="122"/>
    <col min="12273" max="12273" width="6.625" style="122" customWidth="1"/>
    <col min="12274" max="12275" width="21.625" style="122" customWidth="1"/>
    <col min="12276" max="12276" width="16.125" style="122" customWidth="1"/>
    <col min="12277" max="12277" width="13.875" style="122" customWidth="1"/>
    <col min="12278" max="12278" width="17.25" style="122" customWidth="1"/>
    <col min="12279" max="12280" width="20.5" style="122" customWidth="1"/>
    <col min="12281" max="12281" width="9" style="122" hidden="1" customWidth="1"/>
    <col min="12282" max="12282" width="18.375" style="122" customWidth="1"/>
    <col min="12283" max="12284" width="9" style="122" hidden="1" customWidth="1"/>
    <col min="12285" max="12528" width="9" style="122"/>
    <col min="12529" max="12529" width="6.625" style="122" customWidth="1"/>
    <col min="12530" max="12531" width="21.625" style="122" customWidth="1"/>
    <col min="12532" max="12532" width="16.125" style="122" customWidth="1"/>
    <col min="12533" max="12533" width="13.875" style="122" customWidth="1"/>
    <col min="12534" max="12534" width="17.25" style="122" customWidth="1"/>
    <col min="12535" max="12536" width="20.5" style="122" customWidth="1"/>
    <col min="12537" max="12537" width="9" style="122" hidden="1" customWidth="1"/>
    <col min="12538" max="12538" width="18.375" style="122" customWidth="1"/>
    <col min="12539" max="12540" width="9" style="122" hidden="1" customWidth="1"/>
    <col min="12541" max="12784" width="9" style="122"/>
    <col min="12785" max="12785" width="6.625" style="122" customWidth="1"/>
    <col min="12786" max="12787" width="21.625" style="122" customWidth="1"/>
    <col min="12788" max="12788" width="16.125" style="122" customWidth="1"/>
    <col min="12789" max="12789" width="13.875" style="122" customWidth="1"/>
    <col min="12790" max="12790" width="17.25" style="122" customWidth="1"/>
    <col min="12791" max="12792" width="20.5" style="122" customWidth="1"/>
    <col min="12793" max="12793" width="9" style="122" hidden="1" customWidth="1"/>
    <col min="12794" max="12794" width="18.375" style="122" customWidth="1"/>
    <col min="12795" max="12796" width="9" style="122" hidden="1" customWidth="1"/>
    <col min="12797" max="13040" width="9" style="122"/>
    <col min="13041" max="13041" width="6.625" style="122" customWidth="1"/>
    <col min="13042" max="13043" width="21.625" style="122" customWidth="1"/>
    <col min="13044" max="13044" width="16.125" style="122" customWidth="1"/>
    <col min="13045" max="13045" width="13.875" style="122" customWidth="1"/>
    <col min="13046" max="13046" width="17.25" style="122" customWidth="1"/>
    <col min="13047" max="13048" width="20.5" style="122" customWidth="1"/>
    <col min="13049" max="13049" width="9" style="122" hidden="1" customWidth="1"/>
    <col min="13050" max="13050" width="18.375" style="122" customWidth="1"/>
    <col min="13051" max="13052" width="9" style="122" hidden="1" customWidth="1"/>
    <col min="13053" max="13296" width="9" style="122"/>
    <col min="13297" max="13297" width="6.625" style="122" customWidth="1"/>
    <col min="13298" max="13299" width="21.625" style="122" customWidth="1"/>
    <col min="13300" max="13300" width="16.125" style="122" customWidth="1"/>
    <col min="13301" max="13301" width="13.875" style="122" customWidth="1"/>
    <col min="13302" max="13302" width="17.25" style="122" customWidth="1"/>
    <col min="13303" max="13304" width="20.5" style="122" customWidth="1"/>
    <col min="13305" max="13305" width="9" style="122" hidden="1" customWidth="1"/>
    <col min="13306" max="13306" width="18.375" style="122" customWidth="1"/>
    <col min="13307" max="13308" width="9" style="122" hidden="1" customWidth="1"/>
    <col min="13309" max="13552" width="9" style="122"/>
    <col min="13553" max="13553" width="6.625" style="122" customWidth="1"/>
    <col min="13554" max="13555" width="21.625" style="122" customWidth="1"/>
    <col min="13556" max="13556" width="16.125" style="122" customWidth="1"/>
    <col min="13557" max="13557" width="13.875" style="122" customWidth="1"/>
    <col min="13558" max="13558" width="17.25" style="122" customWidth="1"/>
    <col min="13559" max="13560" width="20.5" style="122" customWidth="1"/>
    <col min="13561" max="13561" width="9" style="122" hidden="1" customWidth="1"/>
    <col min="13562" max="13562" width="18.375" style="122" customWidth="1"/>
    <col min="13563" max="13564" width="9" style="122" hidden="1" customWidth="1"/>
    <col min="13565" max="13808" width="9" style="122"/>
    <col min="13809" max="13809" width="6.625" style="122" customWidth="1"/>
    <col min="13810" max="13811" width="21.625" style="122" customWidth="1"/>
    <col min="13812" max="13812" width="16.125" style="122" customWidth="1"/>
    <col min="13813" max="13813" width="13.875" style="122" customWidth="1"/>
    <col min="13814" max="13814" width="17.25" style="122" customWidth="1"/>
    <col min="13815" max="13816" width="20.5" style="122" customWidth="1"/>
    <col min="13817" max="13817" width="9" style="122" hidden="1" customWidth="1"/>
    <col min="13818" max="13818" width="18.375" style="122" customWidth="1"/>
    <col min="13819" max="13820" width="9" style="122" hidden="1" customWidth="1"/>
    <col min="13821" max="14064" width="9" style="122"/>
    <col min="14065" max="14065" width="6.625" style="122" customWidth="1"/>
    <col min="14066" max="14067" width="21.625" style="122" customWidth="1"/>
    <col min="14068" max="14068" width="16.125" style="122" customWidth="1"/>
    <col min="14069" max="14069" width="13.875" style="122" customWidth="1"/>
    <col min="14070" max="14070" width="17.25" style="122" customWidth="1"/>
    <col min="14071" max="14072" width="20.5" style="122" customWidth="1"/>
    <col min="14073" max="14073" width="9" style="122" hidden="1" customWidth="1"/>
    <col min="14074" max="14074" width="18.375" style="122" customWidth="1"/>
    <col min="14075" max="14076" width="9" style="122" hidden="1" customWidth="1"/>
    <col min="14077" max="14320" width="9" style="122"/>
    <col min="14321" max="14321" width="6.625" style="122" customWidth="1"/>
    <col min="14322" max="14323" width="21.625" style="122" customWidth="1"/>
    <col min="14324" max="14324" width="16.125" style="122" customWidth="1"/>
    <col min="14325" max="14325" width="13.875" style="122" customWidth="1"/>
    <col min="14326" max="14326" width="17.25" style="122" customWidth="1"/>
    <col min="14327" max="14328" width="20.5" style="122" customWidth="1"/>
    <col min="14329" max="14329" width="9" style="122" hidden="1" customWidth="1"/>
    <col min="14330" max="14330" width="18.375" style="122" customWidth="1"/>
    <col min="14331" max="14332" width="9" style="122" hidden="1" customWidth="1"/>
    <col min="14333" max="14576" width="9" style="122"/>
    <col min="14577" max="14577" width="6.625" style="122" customWidth="1"/>
    <col min="14578" max="14579" width="21.625" style="122" customWidth="1"/>
    <col min="14580" max="14580" width="16.125" style="122" customWidth="1"/>
    <col min="14581" max="14581" width="13.875" style="122" customWidth="1"/>
    <col min="14582" max="14582" width="17.25" style="122" customWidth="1"/>
    <col min="14583" max="14584" width="20.5" style="122" customWidth="1"/>
    <col min="14585" max="14585" width="9" style="122" hidden="1" customWidth="1"/>
    <col min="14586" max="14586" width="18.375" style="122" customWidth="1"/>
    <col min="14587" max="14588" width="9" style="122" hidden="1" customWidth="1"/>
    <col min="14589" max="14832" width="9" style="122"/>
    <col min="14833" max="14833" width="6.625" style="122" customWidth="1"/>
    <col min="14834" max="14835" width="21.625" style="122" customWidth="1"/>
    <col min="14836" max="14836" width="16.125" style="122" customWidth="1"/>
    <col min="14837" max="14837" width="13.875" style="122" customWidth="1"/>
    <col min="14838" max="14838" width="17.25" style="122" customWidth="1"/>
    <col min="14839" max="14840" width="20.5" style="122" customWidth="1"/>
    <col min="14841" max="14841" width="9" style="122" hidden="1" customWidth="1"/>
    <col min="14842" max="14842" width="18.375" style="122" customWidth="1"/>
    <col min="14843" max="14844" width="9" style="122" hidden="1" customWidth="1"/>
    <col min="14845" max="15088" width="9" style="122"/>
    <col min="15089" max="15089" width="6.625" style="122" customWidth="1"/>
    <col min="15090" max="15091" width="21.625" style="122" customWidth="1"/>
    <col min="15092" max="15092" width="16.125" style="122" customWidth="1"/>
    <col min="15093" max="15093" width="13.875" style="122" customWidth="1"/>
    <col min="15094" max="15094" width="17.25" style="122" customWidth="1"/>
    <col min="15095" max="15096" width="20.5" style="122" customWidth="1"/>
    <col min="15097" max="15097" width="9" style="122" hidden="1" customWidth="1"/>
    <col min="15098" max="15098" width="18.375" style="122" customWidth="1"/>
    <col min="15099" max="15100" width="9" style="122" hidden="1" customWidth="1"/>
    <col min="15101" max="15344" width="9" style="122"/>
    <col min="15345" max="15345" width="6.625" style="122" customWidth="1"/>
    <col min="15346" max="15347" width="21.625" style="122" customWidth="1"/>
    <col min="15348" max="15348" width="16.125" style="122" customWidth="1"/>
    <col min="15349" max="15349" width="13.875" style="122" customWidth="1"/>
    <col min="15350" max="15350" width="17.25" style="122" customWidth="1"/>
    <col min="15351" max="15352" width="20.5" style="122" customWidth="1"/>
    <col min="15353" max="15353" width="9" style="122" hidden="1" customWidth="1"/>
    <col min="15354" max="15354" width="18.375" style="122" customWidth="1"/>
    <col min="15355" max="15356" width="9" style="122" hidden="1" customWidth="1"/>
    <col min="15357" max="15600" width="9" style="122"/>
    <col min="15601" max="15601" width="6.625" style="122" customWidth="1"/>
    <col min="15602" max="15603" width="21.625" style="122" customWidth="1"/>
    <col min="15604" max="15604" width="16.125" style="122" customWidth="1"/>
    <col min="15605" max="15605" width="13.875" style="122" customWidth="1"/>
    <col min="15606" max="15606" width="17.25" style="122" customWidth="1"/>
    <col min="15607" max="15608" width="20.5" style="122" customWidth="1"/>
    <col min="15609" max="15609" width="9" style="122" hidden="1" customWidth="1"/>
    <col min="15610" max="15610" width="18.375" style="122" customWidth="1"/>
    <col min="15611" max="15612" width="9" style="122" hidden="1" customWidth="1"/>
    <col min="15613" max="15856" width="9" style="122"/>
    <col min="15857" max="15857" width="6.625" style="122" customWidth="1"/>
    <col min="15858" max="15859" width="21.625" style="122" customWidth="1"/>
    <col min="15860" max="15860" width="16.125" style="122" customWidth="1"/>
    <col min="15861" max="15861" width="13.875" style="122" customWidth="1"/>
    <col min="15862" max="15862" width="17.25" style="122" customWidth="1"/>
    <col min="15863" max="15864" width="20.5" style="122" customWidth="1"/>
    <col min="15865" max="15865" width="9" style="122" hidden="1" customWidth="1"/>
    <col min="15866" max="15866" width="18.375" style="122" customWidth="1"/>
    <col min="15867" max="15868" width="9" style="122" hidden="1" customWidth="1"/>
    <col min="15869" max="16112" width="9" style="122"/>
    <col min="16113" max="16113" width="6.625" style="122" customWidth="1"/>
    <col min="16114" max="16115" width="21.625" style="122" customWidth="1"/>
    <col min="16116" max="16116" width="16.125" style="122" customWidth="1"/>
    <col min="16117" max="16117" width="13.875" style="122" customWidth="1"/>
    <col min="16118" max="16118" width="17.25" style="122" customWidth="1"/>
    <col min="16119" max="16120" width="20.5" style="122" customWidth="1"/>
    <col min="16121" max="16121" width="9" style="122" hidden="1" customWidth="1"/>
    <col min="16122" max="16122" width="18.375" style="122" customWidth="1"/>
    <col min="16123" max="16124" width="9" style="122" hidden="1" customWidth="1"/>
    <col min="16125" max="16384" width="9" style="122"/>
  </cols>
  <sheetData>
    <row r="1" spans="1:7" ht="30" customHeight="1">
      <c r="A1" s="130" t="s">
        <v>296</v>
      </c>
      <c r="B1" s="131"/>
      <c r="C1" s="131"/>
      <c r="D1" s="131"/>
      <c r="E1" s="131"/>
      <c r="F1" s="132"/>
      <c r="G1" s="132"/>
    </row>
    <row r="2" spans="1:7" ht="35.1" customHeight="1">
      <c r="A2" s="133" t="s">
        <v>310</v>
      </c>
      <c r="B2" s="134"/>
      <c r="C2" s="135" t="s">
        <v>297</v>
      </c>
      <c r="D2" s="135"/>
      <c r="E2" s="135"/>
      <c r="F2" s="136"/>
      <c r="G2" s="136"/>
    </row>
    <row r="3" spans="1:7" s="125" customFormat="1" ht="30" customHeight="1">
      <c r="A3" s="123" t="s">
        <v>3</v>
      </c>
      <c r="B3" s="123" t="s">
        <v>298</v>
      </c>
      <c r="C3" s="123" t="s">
        <v>299</v>
      </c>
      <c r="D3" s="124" t="s">
        <v>300</v>
      </c>
      <c r="E3" s="123" t="s">
        <v>301</v>
      </c>
      <c r="F3" s="123" t="s">
        <v>302</v>
      </c>
      <c r="G3" s="123" t="s">
        <v>303</v>
      </c>
    </row>
    <row r="4" spans="1:7" ht="30" customHeight="1">
      <c r="A4" s="126">
        <v>1</v>
      </c>
      <c r="B4" s="126" t="s">
        <v>0</v>
      </c>
      <c r="C4" s="127">
        <f>吴泾!J5+清算2024年绩效!Q10+补缴年金!J4</f>
        <v>57177013.080000006</v>
      </c>
      <c r="D4" s="127">
        <f>补缴年金!J4</f>
        <v>32412</v>
      </c>
      <c r="E4" s="127">
        <f>C4-D4</f>
        <v>57144601.080000006</v>
      </c>
      <c r="F4" s="127"/>
      <c r="G4" s="127">
        <f>C4-F4-D4</f>
        <v>57144601.080000006</v>
      </c>
    </row>
    <row r="5" spans="1:7" ht="30" customHeight="1">
      <c r="A5" s="123">
        <v>2</v>
      </c>
      <c r="B5" s="123" t="s">
        <v>1</v>
      </c>
      <c r="C5" s="128">
        <f>吴泾!J37</f>
        <v>10426172.770000001</v>
      </c>
      <c r="D5" s="128"/>
      <c r="E5" s="127">
        <f t="shared" ref="E5:E11" si="0">C5-D5</f>
        <v>10426172.770000001</v>
      </c>
      <c r="F5" s="128"/>
      <c r="G5" s="127">
        <f t="shared" ref="G5:G11" si="1">C5-F5-D5</f>
        <v>10426172.770000001</v>
      </c>
    </row>
    <row r="6" spans="1:7" ht="30" customHeight="1">
      <c r="A6" s="123">
        <v>3</v>
      </c>
      <c r="B6" s="123" t="s">
        <v>304</v>
      </c>
      <c r="C6" s="128">
        <f>吴泾!J32</f>
        <v>1590815</v>
      </c>
      <c r="D6" s="128"/>
      <c r="E6" s="127">
        <f t="shared" si="0"/>
        <v>1590815</v>
      </c>
      <c r="F6" s="128"/>
      <c r="G6" s="127">
        <f t="shared" si="1"/>
        <v>1590815</v>
      </c>
    </row>
    <row r="7" spans="1:7" ht="30" customHeight="1">
      <c r="A7" s="126">
        <v>4</v>
      </c>
      <c r="B7" s="123" t="s">
        <v>305</v>
      </c>
      <c r="C7" s="128">
        <f>残疾就业保障!E8</f>
        <v>543516.92999999993</v>
      </c>
      <c r="D7" s="128"/>
      <c r="E7" s="127">
        <f t="shared" si="0"/>
        <v>543516.92999999993</v>
      </c>
      <c r="F7" s="128"/>
      <c r="G7" s="127">
        <f t="shared" si="1"/>
        <v>543516.92999999993</v>
      </c>
    </row>
    <row r="8" spans="1:7" ht="30" customHeight="1">
      <c r="A8" s="123">
        <v>5</v>
      </c>
      <c r="B8" s="123" t="s">
        <v>306</v>
      </c>
      <c r="C8" s="128">
        <f>社区教育!C4</f>
        <v>436551</v>
      </c>
      <c r="D8" s="128"/>
      <c r="E8" s="127">
        <f t="shared" si="0"/>
        <v>436551</v>
      </c>
      <c r="F8" s="128"/>
      <c r="G8" s="127">
        <f t="shared" si="1"/>
        <v>436551</v>
      </c>
    </row>
    <row r="9" spans="1:7" ht="30" customHeight="1">
      <c r="A9" s="123">
        <v>6</v>
      </c>
      <c r="B9" s="123" t="s">
        <v>307</v>
      </c>
      <c r="C9" s="128">
        <f>保安经费!G11</f>
        <v>4200000</v>
      </c>
      <c r="D9" s="128"/>
      <c r="E9" s="127">
        <f t="shared" si="0"/>
        <v>4200000</v>
      </c>
      <c r="F9" s="128">
        <f>C9</f>
        <v>4200000</v>
      </c>
      <c r="G9" s="127">
        <f t="shared" si="1"/>
        <v>0</v>
      </c>
    </row>
    <row r="10" spans="1:7" ht="30" customHeight="1">
      <c r="A10" s="126">
        <v>7</v>
      </c>
      <c r="B10" s="123" t="s">
        <v>308</v>
      </c>
      <c r="C10" s="128">
        <v>40000</v>
      </c>
      <c r="D10" s="128"/>
      <c r="E10" s="127">
        <f t="shared" si="0"/>
        <v>40000</v>
      </c>
      <c r="F10" s="128"/>
      <c r="G10" s="127">
        <f t="shared" si="1"/>
        <v>40000</v>
      </c>
    </row>
    <row r="11" spans="1:7" ht="30" customHeight="1">
      <c r="A11" s="123">
        <v>8</v>
      </c>
      <c r="B11" s="123" t="s">
        <v>309</v>
      </c>
      <c r="C11" s="128">
        <f>补充公用经费!AO8+清算补充公用经费!E5</f>
        <v>13551791</v>
      </c>
      <c r="D11" s="128"/>
      <c r="E11" s="127">
        <f t="shared" si="0"/>
        <v>13551791</v>
      </c>
      <c r="F11" s="128"/>
      <c r="G11" s="127">
        <f t="shared" si="1"/>
        <v>13551791</v>
      </c>
    </row>
    <row r="12" spans="1:7" ht="30" customHeight="1">
      <c r="A12" s="123"/>
      <c r="B12" s="123" t="s">
        <v>7</v>
      </c>
      <c r="C12" s="128">
        <f>SUM(C4:C11)</f>
        <v>87965859.780000016</v>
      </c>
      <c r="D12" s="128">
        <f>SUM(D4:D11)</f>
        <v>32412</v>
      </c>
      <c r="E12" s="128">
        <f>SUM(E4:E11)</f>
        <v>87933447.780000016</v>
      </c>
      <c r="F12" s="128">
        <f>SUM(F4:F11)</f>
        <v>4200000</v>
      </c>
      <c r="G12" s="128">
        <f>SUM(G4:G11)</f>
        <v>83733447.780000016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topLeftCell="A19" workbookViewId="0">
      <selection activeCell="A4" sqref="A4:XFD72"/>
    </sheetView>
  </sheetViews>
  <sheetFormatPr defaultRowHeight="11.25"/>
  <cols>
    <col min="1" max="1" width="5.25" style="11" customWidth="1"/>
    <col min="2" max="2" width="24.125" style="1" customWidth="1"/>
    <col min="3" max="3" width="9" style="1"/>
    <col min="4" max="4" width="9" style="12"/>
    <col min="5" max="10" width="12.625" style="1" customWidth="1"/>
    <col min="11" max="16384" width="9" style="1"/>
  </cols>
  <sheetData>
    <row r="1" spans="1:11" ht="20.100000000000001" customHeight="1">
      <c r="A1" s="137" t="s">
        <v>234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</row>
    <row r="2" spans="1:11" ht="24.75" customHeight="1">
      <c r="A2" s="139" t="s">
        <v>3</v>
      </c>
      <c r="B2" s="139" t="s">
        <v>4</v>
      </c>
      <c r="C2" s="139" t="s">
        <v>5</v>
      </c>
      <c r="D2" s="139" t="s">
        <v>6</v>
      </c>
      <c r="E2" s="20" t="s">
        <v>132</v>
      </c>
      <c r="F2" s="20" t="s">
        <v>133</v>
      </c>
      <c r="G2" s="20" t="s">
        <v>134</v>
      </c>
      <c r="H2" s="20" t="s">
        <v>135</v>
      </c>
      <c r="I2" s="20" t="s">
        <v>136</v>
      </c>
      <c r="J2" s="139" t="s">
        <v>7</v>
      </c>
      <c r="K2" s="139" t="s">
        <v>8</v>
      </c>
    </row>
    <row r="3" spans="1:11" ht="15" customHeight="1">
      <c r="A3" s="140"/>
      <c r="B3" s="140"/>
      <c r="C3" s="140"/>
      <c r="D3" s="140"/>
      <c r="E3" s="20" t="s">
        <v>181</v>
      </c>
      <c r="F3" s="20" t="s">
        <v>179</v>
      </c>
      <c r="G3" s="20" t="s">
        <v>179</v>
      </c>
      <c r="H3" s="20" t="s">
        <v>179</v>
      </c>
      <c r="I3" s="20" t="s">
        <v>180</v>
      </c>
      <c r="J3" s="140"/>
      <c r="K3" s="140"/>
    </row>
    <row r="4" spans="1:11" ht="14.1" customHeight="1">
      <c r="A4" s="21" t="s">
        <v>9</v>
      </c>
      <c r="B4" s="22" t="s">
        <v>10</v>
      </c>
      <c r="C4" s="22"/>
      <c r="D4" s="23" t="s">
        <v>11</v>
      </c>
      <c r="E4" s="24">
        <f>E5+E32+E37</f>
        <v>29428462.449999999</v>
      </c>
      <c r="F4" s="24">
        <f>F5+F32+F37</f>
        <v>6190005</v>
      </c>
      <c r="G4" s="24">
        <f>G5+G32+G37</f>
        <v>12201530.120000001</v>
      </c>
      <c r="H4" s="24">
        <f>H5+H32+H37</f>
        <v>19272919.93</v>
      </c>
      <c r="I4" s="24">
        <f>I5+I32+I37</f>
        <v>1745382.85</v>
      </c>
      <c r="J4" s="24">
        <f t="shared" ref="J4:J67" si="0">SUM(E4:I4)</f>
        <v>68838300.350000009</v>
      </c>
      <c r="K4" s="25"/>
    </row>
    <row r="5" spans="1:11" ht="14.1" customHeight="1">
      <c r="A5" s="21" t="s">
        <v>12</v>
      </c>
      <c r="B5" s="22" t="s">
        <v>0</v>
      </c>
      <c r="C5" s="22"/>
      <c r="D5" s="23" t="s">
        <v>11</v>
      </c>
      <c r="E5" s="24">
        <f>E6+E9+E13+E16+E21+E26+E28+E30+E31</f>
        <v>23613861.379999999</v>
      </c>
      <c r="F5" s="24">
        <f>F6+F9+F13+F16+F21+F26+F28+F30+F31</f>
        <v>4964260</v>
      </c>
      <c r="G5" s="24">
        <f>G6+G9+G13+G16+G21+G26+G28+G30+G31</f>
        <v>10438990.050000001</v>
      </c>
      <c r="H5" s="24">
        <f>H6+H9+H13+H16+H21+H26+H28+H30+H31</f>
        <v>16289555.440000001</v>
      </c>
      <c r="I5" s="24">
        <f>I6+I9+I13+I16+I21+I26+I28+I30+I31</f>
        <v>1514645.7100000002</v>
      </c>
      <c r="J5" s="24">
        <f t="shared" si="0"/>
        <v>56821312.580000006</v>
      </c>
      <c r="K5" s="25"/>
    </row>
    <row r="6" spans="1:11" ht="14.1" customHeight="1">
      <c r="A6" s="21" t="s">
        <v>13</v>
      </c>
      <c r="B6" s="22" t="s">
        <v>14</v>
      </c>
      <c r="C6" s="22"/>
      <c r="D6" s="23" t="s">
        <v>11</v>
      </c>
      <c r="E6" s="24">
        <f>E7+E8</f>
        <v>3376074.5300000003</v>
      </c>
      <c r="F6" s="24">
        <f>F7+F8</f>
        <v>778800</v>
      </c>
      <c r="G6" s="24">
        <f>G7+G8</f>
        <v>1425319.2000000002</v>
      </c>
      <c r="H6" s="24">
        <f>H7+H8</f>
        <v>2050000</v>
      </c>
      <c r="I6" s="24">
        <f>I7+I8</f>
        <v>196776</v>
      </c>
      <c r="J6" s="24">
        <f t="shared" si="0"/>
        <v>7826969.7300000004</v>
      </c>
      <c r="K6" s="25"/>
    </row>
    <row r="7" spans="1:11" ht="14.1" customHeight="1">
      <c r="A7" s="21" t="s">
        <v>15</v>
      </c>
      <c r="B7" s="22" t="s">
        <v>16</v>
      </c>
      <c r="C7" s="22" t="s">
        <v>17</v>
      </c>
      <c r="D7" s="23" t="s">
        <v>18</v>
      </c>
      <c r="E7" s="26">
        <v>1802091.53</v>
      </c>
      <c r="F7" s="26">
        <v>403200</v>
      </c>
      <c r="G7" s="26">
        <v>857306.4</v>
      </c>
      <c r="H7" s="26">
        <v>1300000</v>
      </c>
      <c r="I7" s="26">
        <v>84348</v>
      </c>
      <c r="J7" s="24">
        <f t="shared" si="0"/>
        <v>4446945.93</v>
      </c>
      <c r="K7" s="27"/>
    </row>
    <row r="8" spans="1:11" ht="14.1" customHeight="1">
      <c r="A8" s="21" t="s">
        <v>19</v>
      </c>
      <c r="B8" s="22" t="s">
        <v>20</v>
      </c>
      <c r="C8" s="22" t="s">
        <v>17</v>
      </c>
      <c r="D8" s="23" t="s">
        <v>18</v>
      </c>
      <c r="E8" s="26">
        <v>1573983</v>
      </c>
      <c r="F8" s="26">
        <v>375600</v>
      </c>
      <c r="G8" s="26">
        <v>568012.80000000005</v>
      </c>
      <c r="H8" s="26">
        <v>750000</v>
      </c>
      <c r="I8" s="26">
        <v>112428</v>
      </c>
      <c r="J8" s="24">
        <f t="shared" si="0"/>
        <v>3380023.8</v>
      </c>
      <c r="K8" s="25"/>
    </row>
    <row r="9" spans="1:11" ht="14.1" customHeight="1">
      <c r="A9" s="21" t="s">
        <v>21</v>
      </c>
      <c r="B9" s="22" t="s">
        <v>22</v>
      </c>
      <c r="C9" s="22"/>
      <c r="D9" s="23" t="s">
        <v>11</v>
      </c>
      <c r="E9" s="24">
        <f>E10+E11</f>
        <v>348694</v>
      </c>
      <c r="F9" s="24">
        <f>F10+F11</f>
        <v>85900</v>
      </c>
      <c r="G9" s="24">
        <f>G10+G11</f>
        <v>171180</v>
      </c>
      <c r="H9" s="24">
        <f>H10+H11</f>
        <v>271480</v>
      </c>
      <c r="I9" s="24">
        <f>I10+I11</f>
        <v>21480</v>
      </c>
      <c r="J9" s="24">
        <f t="shared" si="0"/>
        <v>898734</v>
      </c>
      <c r="K9" s="25"/>
    </row>
    <row r="10" spans="1:11" ht="14.1" customHeight="1">
      <c r="A10" s="21" t="s">
        <v>23</v>
      </c>
      <c r="B10" s="22" t="s">
        <v>24</v>
      </c>
      <c r="C10" s="22" t="s">
        <v>17</v>
      </c>
      <c r="D10" s="23" t="s">
        <v>18</v>
      </c>
      <c r="E10" s="26">
        <v>5494</v>
      </c>
      <c r="F10" s="26">
        <v>6700</v>
      </c>
      <c r="G10" s="26">
        <v>2220</v>
      </c>
      <c r="H10" s="26">
        <v>2200</v>
      </c>
      <c r="I10" s="26">
        <v>360</v>
      </c>
      <c r="J10" s="37">
        <f t="shared" si="0"/>
        <v>16974</v>
      </c>
      <c r="K10" s="25"/>
    </row>
    <row r="11" spans="1:11" ht="14.1" customHeight="1">
      <c r="A11" s="21" t="s">
        <v>25</v>
      </c>
      <c r="B11" s="22" t="s">
        <v>26</v>
      </c>
      <c r="C11" s="22"/>
      <c r="D11" s="23" t="s">
        <v>11</v>
      </c>
      <c r="E11" s="24">
        <f>E12</f>
        <v>343200</v>
      </c>
      <c r="F11" s="24">
        <f>F12</f>
        <v>79200</v>
      </c>
      <c r="G11" s="24">
        <f>G12</f>
        <v>168960</v>
      </c>
      <c r="H11" s="24">
        <f>H12</f>
        <v>269280</v>
      </c>
      <c r="I11" s="24">
        <f>I12</f>
        <v>21120</v>
      </c>
      <c r="J11" s="24">
        <f t="shared" si="0"/>
        <v>881760</v>
      </c>
      <c r="K11" s="25"/>
    </row>
    <row r="12" spans="1:11" s="2" customFormat="1" ht="14.1" customHeight="1">
      <c r="A12" s="21" t="s">
        <v>27</v>
      </c>
      <c r="B12" s="28" t="s">
        <v>137</v>
      </c>
      <c r="C12" s="28" t="s">
        <v>17</v>
      </c>
      <c r="D12" s="25" t="s">
        <v>11</v>
      </c>
      <c r="E12" s="24">
        <f>440*12*E60</f>
        <v>343200</v>
      </c>
      <c r="F12" s="24">
        <f>440*12*F60</f>
        <v>79200</v>
      </c>
      <c r="G12" s="24">
        <f>440*12*G60</f>
        <v>168960</v>
      </c>
      <c r="H12" s="24">
        <f>440*12*H60</f>
        <v>269280</v>
      </c>
      <c r="I12" s="24">
        <f>440*12*I60</f>
        <v>21120</v>
      </c>
      <c r="J12" s="24">
        <f t="shared" si="0"/>
        <v>881760</v>
      </c>
      <c r="K12" s="25"/>
    </row>
    <row r="13" spans="1:11" ht="14.1" customHeight="1">
      <c r="A13" s="21" t="s">
        <v>28</v>
      </c>
      <c r="B13" s="22" t="s">
        <v>29</v>
      </c>
      <c r="C13" s="22"/>
      <c r="D13" s="23" t="s">
        <v>30</v>
      </c>
      <c r="E13" s="24">
        <f>E14+E15</f>
        <v>149338.28</v>
      </c>
      <c r="F13" s="24">
        <f>F14+F15</f>
        <v>33000</v>
      </c>
      <c r="G13" s="24">
        <f>G14+G15</f>
        <v>72550.28</v>
      </c>
      <c r="H13" s="24">
        <f>H14+H15</f>
        <v>112857.14</v>
      </c>
      <c r="I13" s="24">
        <f>I14+I15</f>
        <v>10628.58</v>
      </c>
      <c r="J13" s="24">
        <f t="shared" si="0"/>
        <v>378374.28</v>
      </c>
      <c r="K13" s="25"/>
    </row>
    <row r="14" spans="1:11" s="2" customFormat="1" ht="14.1" customHeight="1">
      <c r="A14" s="21" t="s">
        <v>31</v>
      </c>
      <c r="B14" s="28" t="s">
        <v>168</v>
      </c>
      <c r="C14" s="28" t="s">
        <v>17</v>
      </c>
      <c r="D14" s="25" t="s">
        <v>32</v>
      </c>
      <c r="E14" s="24">
        <f>ROUND(E30/0.07*0.005,2)</f>
        <v>74669.14</v>
      </c>
      <c r="F14" s="24">
        <f>ROUND(F30/0.07*0.005,2)</f>
        <v>16500</v>
      </c>
      <c r="G14" s="24">
        <f>ROUND(G30/0.07*0.005,2)</f>
        <v>36275.14</v>
      </c>
      <c r="H14" s="24">
        <f>ROUND(H30/0.07*0.005,2)</f>
        <v>56428.57</v>
      </c>
      <c r="I14" s="24">
        <f>ROUND(I30/0.07*0.005,2)</f>
        <v>5314.29</v>
      </c>
      <c r="J14" s="24">
        <f t="shared" si="0"/>
        <v>189187.14</v>
      </c>
      <c r="K14" s="25"/>
    </row>
    <row r="15" spans="1:11" s="2" customFormat="1" ht="14.1" customHeight="1">
      <c r="A15" s="21" t="s">
        <v>33</v>
      </c>
      <c r="B15" s="28" t="s">
        <v>138</v>
      </c>
      <c r="C15" s="28" t="s">
        <v>17</v>
      </c>
      <c r="D15" s="25" t="s">
        <v>32</v>
      </c>
      <c r="E15" s="24">
        <f>ROUND(E30/0.07*0.005,2)</f>
        <v>74669.14</v>
      </c>
      <c r="F15" s="24">
        <f>ROUND(F30/0.07*0.005,2)</f>
        <v>16500</v>
      </c>
      <c r="G15" s="24">
        <f>ROUND(G30/0.07*0.005,2)</f>
        <v>36275.14</v>
      </c>
      <c r="H15" s="24">
        <f>ROUND(H30/0.07*0.005,2)</f>
        <v>56428.57</v>
      </c>
      <c r="I15" s="24">
        <f>ROUND(I30/0.07*0.005,2)</f>
        <v>5314.29</v>
      </c>
      <c r="J15" s="24">
        <f t="shared" si="0"/>
        <v>189187.14</v>
      </c>
      <c r="K15" s="25"/>
    </row>
    <row r="16" spans="1:11" ht="14.1" customHeight="1">
      <c r="A16" s="21" t="s">
        <v>34</v>
      </c>
      <c r="B16" s="22" t="s">
        <v>35</v>
      </c>
      <c r="C16" s="22"/>
      <c r="D16" s="23" t="s">
        <v>11</v>
      </c>
      <c r="E16" s="24">
        <f>E17+E18+E19+E20</f>
        <v>13168870</v>
      </c>
      <c r="F16" s="24">
        <f>F17+F18+F19+F20</f>
        <v>2614560</v>
      </c>
      <c r="G16" s="24">
        <f>G17+G18+G19+G20</f>
        <v>5577728</v>
      </c>
      <c r="H16" s="24">
        <f>H17+H18+H19+H20</f>
        <v>8889504</v>
      </c>
      <c r="I16" s="24">
        <f>I17+I18+I19+I20</f>
        <v>818104</v>
      </c>
      <c r="J16" s="24">
        <f t="shared" si="0"/>
        <v>31068766</v>
      </c>
      <c r="K16" s="25"/>
    </row>
    <row r="17" spans="1:11" ht="14.1" customHeight="1">
      <c r="A17" s="21" t="s">
        <v>36</v>
      </c>
      <c r="B17" s="29" t="s">
        <v>37</v>
      </c>
      <c r="C17" s="29" t="s">
        <v>17</v>
      </c>
      <c r="D17" s="30" t="s">
        <v>139</v>
      </c>
      <c r="E17" s="31">
        <v>11879736</v>
      </c>
      <c r="F17" s="31">
        <v>2524560</v>
      </c>
      <c r="G17" s="31">
        <v>5125512</v>
      </c>
      <c r="H17" s="31">
        <v>8283504</v>
      </c>
      <c r="I17" s="31">
        <v>794104</v>
      </c>
      <c r="J17" s="37">
        <f t="shared" si="0"/>
        <v>28607416</v>
      </c>
      <c r="K17" s="30"/>
    </row>
    <row r="18" spans="1:11" ht="14.1" customHeight="1">
      <c r="A18" s="21" t="s">
        <v>38</v>
      </c>
      <c r="B18" s="29" t="s">
        <v>39</v>
      </c>
      <c r="C18" s="29" t="s">
        <v>17</v>
      </c>
      <c r="D18" s="30" t="s">
        <v>40</v>
      </c>
      <c r="E18" s="31">
        <v>249134</v>
      </c>
      <c r="F18" s="31"/>
      <c r="G18" s="31">
        <v>260216</v>
      </c>
      <c r="H18" s="31">
        <v>300000</v>
      </c>
      <c r="I18" s="31"/>
      <c r="J18" s="37">
        <f t="shared" si="0"/>
        <v>809350</v>
      </c>
      <c r="K18" s="30"/>
    </row>
    <row r="19" spans="1:11" ht="14.1" customHeight="1">
      <c r="A19" s="21" t="s">
        <v>41</v>
      </c>
      <c r="B19" s="29" t="s">
        <v>140</v>
      </c>
      <c r="C19" s="29" t="s">
        <v>17</v>
      </c>
      <c r="D19" s="23" t="s">
        <v>11</v>
      </c>
      <c r="E19" s="32">
        <f>E60*500*12</f>
        <v>390000</v>
      </c>
      <c r="F19" s="32">
        <f>F60*500*12</f>
        <v>90000</v>
      </c>
      <c r="G19" s="32">
        <f>G60*500*12</f>
        <v>192000</v>
      </c>
      <c r="H19" s="32">
        <f>H60*500*12</f>
        <v>306000</v>
      </c>
      <c r="I19" s="32">
        <f>I60*500*12</f>
        <v>24000</v>
      </c>
      <c r="J19" s="24">
        <f t="shared" si="0"/>
        <v>1002000</v>
      </c>
      <c r="K19" s="30"/>
    </row>
    <row r="20" spans="1:11" ht="14.1" customHeight="1">
      <c r="A20" s="21" t="s">
        <v>42</v>
      </c>
      <c r="B20" s="29" t="s">
        <v>141</v>
      </c>
      <c r="C20" s="29" t="s">
        <v>17</v>
      </c>
      <c r="D20" s="23" t="s">
        <v>18</v>
      </c>
      <c r="E20" s="31">
        <v>650000</v>
      </c>
      <c r="F20" s="31"/>
      <c r="G20" s="31"/>
      <c r="H20" s="31"/>
      <c r="I20" s="31"/>
      <c r="J20" s="24">
        <f t="shared" si="0"/>
        <v>650000</v>
      </c>
      <c r="K20" s="30"/>
    </row>
    <row r="21" spans="1:11" ht="14.1" customHeight="1">
      <c r="A21" s="21" t="s">
        <v>43</v>
      </c>
      <c r="B21" s="22" t="s">
        <v>44</v>
      </c>
      <c r="C21" s="22"/>
      <c r="D21" s="30" t="s">
        <v>11</v>
      </c>
      <c r="E21" s="32">
        <f>E22+E23</f>
        <v>1941397.71</v>
      </c>
      <c r="F21" s="32">
        <f>F22+F23</f>
        <v>429000</v>
      </c>
      <c r="G21" s="32">
        <f>G22+G23</f>
        <v>943153.71</v>
      </c>
      <c r="H21" s="32">
        <f>H22+H23</f>
        <v>1467142.87</v>
      </c>
      <c r="I21" s="32">
        <f>I22+I23</f>
        <v>138171.41999999998</v>
      </c>
      <c r="J21" s="24">
        <f t="shared" si="0"/>
        <v>4918865.71</v>
      </c>
      <c r="K21" s="30"/>
    </row>
    <row r="22" spans="1:11" ht="14.1" customHeight="1">
      <c r="A22" s="21" t="s">
        <v>45</v>
      </c>
      <c r="B22" s="22" t="s">
        <v>169</v>
      </c>
      <c r="C22" s="22" t="s">
        <v>46</v>
      </c>
      <c r="D22" s="30" t="s">
        <v>11</v>
      </c>
      <c r="E22" s="32">
        <f>ROUND(E30/0.07*0.09,2)</f>
        <v>1344044.57</v>
      </c>
      <c r="F22" s="32">
        <f>ROUND(F30/0.07*0.09,2)</f>
        <v>297000</v>
      </c>
      <c r="G22" s="32">
        <f>ROUND(G30/0.07*0.09,2)</f>
        <v>652952.56999999995</v>
      </c>
      <c r="H22" s="32">
        <f>ROUND(H30/0.07*0.09,2)</f>
        <v>1015714.29</v>
      </c>
      <c r="I22" s="32">
        <f>ROUND(I30/0.07*0.09,2)</f>
        <v>95657.14</v>
      </c>
      <c r="J22" s="24">
        <f t="shared" si="0"/>
        <v>3405368.5700000003</v>
      </c>
      <c r="K22" s="30"/>
    </row>
    <row r="23" spans="1:11" ht="14.1" customHeight="1">
      <c r="A23" s="21" t="s">
        <v>47</v>
      </c>
      <c r="B23" s="22" t="s">
        <v>142</v>
      </c>
      <c r="C23" s="22" t="s">
        <v>46</v>
      </c>
      <c r="D23" s="30" t="s">
        <v>32</v>
      </c>
      <c r="E23" s="32">
        <f>E24+E25</f>
        <v>597353.14</v>
      </c>
      <c r="F23" s="32">
        <f>F24+F25</f>
        <v>132000</v>
      </c>
      <c r="G23" s="32">
        <f>G24+G25</f>
        <v>290201.14</v>
      </c>
      <c r="H23" s="32">
        <f>H24+H25</f>
        <v>451428.58</v>
      </c>
      <c r="I23" s="32">
        <f>I24+I25</f>
        <v>42514.28</v>
      </c>
      <c r="J23" s="24">
        <f t="shared" si="0"/>
        <v>1513497.1400000001</v>
      </c>
      <c r="K23" s="30"/>
    </row>
    <row r="24" spans="1:11" ht="14.1" customHeight="1">
      <c r="A24" s="21" t="s">
        <v>48</v>
      </c>
      <c r="B24" s="22" t="s">
        <v>170</v>
      </c>
      <c r="C24" s="22" t="s">
        <v>46</v>
      </c>
      <c r="D24" s="30" t="s">
        <v>32</v>
      </c>
      <c r="E24" s="32">
        <f>ROUND(E30/0.07*0.02,2)</f>
        <v>298676.57</v>
      </c>
      <c r="F24" s="32">
        <f>ROUND(F30/0.07*0.02,2)</f>
        <v>66000</v>
      </c>
      <c r="G24" s="32">
        <f>ROUND(G30/0.07*0.02,2)</f>
        <v>145100.57</v>
      </c>
      <c r="H24" s="32">
        <f>ROUND(H30/0.07*0.02,2)</f>
        <v>225714.29</v>
      </c>
      <c r="I24" s="32">
        <f>ROUND(I30/0.07*0.02,2)</f>
        <v>21257.14</v>
      </c>
      <c r="J24" s="24">
        <f t="shared" si="0"/>
        <v>756748.57000000007</v>
      </c>
      <c r="K24" s="30"/>
    </row>
    <row r="25" spans="1:11" ht="14.1" customHeight="1">
      <c r="A25" s="21" t="s">
        <v>49</v>
      </c>
      <c r="B25" s="22" t="s">
        <v>171</v>
      </c>
      <c r="C25" s="22" t="s">
        <v>46</v>
      </c>
      <c r="D25" s="30" t="s">
        <v>32</v>
      </c>
      <c r="E25" s="32">
        <f>ROUND(E30/0.07*0.02,2)</f>
        <v>298676.57</v>
      </c>
      <c r="F25" s="32">
        <f>ROUND(F30/0.07*0.02,2)</f>
        <v>66000</v>
      </c>
      <c r="G25" s="32">
        <f>ROUND(G30/0.07*0.02,2)</f>
        <v>145100.57</v>
      </c>
      <c r="H25" s="32">
        <f>ROUND(H30/0.07*0.02,2)</f>
        <v>225714.29</v>
      </c>
      <c r="I25" s="32">
        <f>ROUND(I30/0.07*0.02,2)</f>
        <v>21257.14</v>
      </c>
      <c r="J25" s="24">
        <f t="shared" si="0"/>
        <v>756748.57000000007</v>
      </c>
      <c r="K25" s="30"/>
    </row>
    <row r="26" spans="1:11" ht="14.1" customHeight="1">
      <c r="A26" s="21" t="s">
        <v>50</v>
      </c>
      <c r="B26" s="22" t="s">
        <v>51</v>
      </c>
      <c r="C26" s="22"/>
      <c r="D26" s="23" t="s">
        <v>11</v>
      </c>
      <c r="E26" s="24">
        <f>E27</f>
        <v>2389412.5699999998</v>
      </c>
      <c r="F26" s="24">
        <f>F27</f>
        <v>528000</v>
      </c>
      <c r="G26" s="24">
        <f>G27</f>
        <v>1160804.57</v>
      </c>
      <c r="H26" s="24">
        <f>H27</f>
        <v>1805714.29</v>
      </c>
      <c r="I26" s="24">
        <f>I27</f>
        <v>170057.14</v>
      </c>
      <c r="J26" s="24">
        <f t="shared" si="0"/>
        <v>6053988.5699999994</v>
      </c>
      <c r="K26" s="25"/>
    </row>
    <row r="27" spans="1:11" s="2" customFormat="1" ht="14.1" customHeight="1">
      <c r="A27" s="21" t="s">
        <v>52</v>
      </c>
      <c r="B27" s="28" t="s">
        <v>143</v>
      </c>
      <c r="C27" s="28" t="s">
        <v>53</v>
      </c>
      <c r="D27" s="25" t="s">
        <v>32</v>
      </c>
      <c r="E27" s="24">
        <f>ROUND(E30/0.07*0.16,2)</f>
        <v>2389412.5699999998</v>
      </c>
      <c r="F27" s="24">
        <f>ROUND(F30/0.07*0.16,2)</f>
        <v>528000</v>
      </c>
      <c r="G27" s="24">
        <f>ROUND(G30/0.07*0.16,2)</f>
        <v>1160804.57</v>
      </c>
      <c r="H27" s="24">
        <f>ROUND(H30/0.07*0.16,2)</f>
        <v>1805714.29</v>
      </c>
      <c r="I27" s="24">
        <f>ROUND(I30/0.07*0.16,2)</f>
        <v>170057.14</v>
      </c>
      <c r="J27" s="24">
        <f t="shared" si="0"/>
        <v>6053988.5699999994</v>
      </c>
      <c r="K27" s="25"/>
    </row>
    <row r="28" spans="1:11" ht="14.1" customHeight="1">
      <c r="A28" s="21" t="s">
        <v>54</v>
      </c>
      <c r="B28" s="22" t="s">
        <v>55</v>
      </c>
      <c r="C28" s="22"/>
      <c r="D28" s="23" t="s">
        <v>11</v>
      </c>
      <c r="E28" s="24">
        <f>E29</f>
        <v>1194706.29</v>
      </c>
      <c r="F28" s="24">
        <f>F29</f>
        <v>264000</v>
      </c>
      <c r="G28" s="24">
        <f>G29</f>
        <v>580402.29</v>
      </c>
      <c r="H28" s="24">
        <f>H29</f>
        <v>902857.14</v>
      </c>
      <c r="I28" s="24">
        <f>I29</f>
        <v>85028.57</v>
      </c>
      <c r="J28" s="24">
        <f t="shared" si="0"/>
        <v>3026994.29</v>
      </c>
      <c r="K28" s="25"/>
    </row>
    <row r="29" spans="1:11" s="2" customFormat="1" ht="14.1" customHeight="1">
      <c r="A29" s="21" t="s">
        <v>56</v>
      </c>
      <c r="B29" s="28" t="s">
        <v>57</v>
      </c>
      <c r="C29" s="28" t="s">
        <v>58</v>
      </c>
      <c r="D29" s="25" t="s">
        <v>32</v>
      </c>
      <c r="E29" s="24">
        <f>ROUND(E30/0.07*0.08,2)</f>
        <v>1194706.29</v>
      </c>
      <c r="F29" s="24">
        <f>ROUND(F30/0.07*0.08,2)</f>
        <v>264000</v>
      </c>
      <c r="G29" s="24">
        <f>ROUND(G30/0.07*0.08,2)</f>
        <v>580402.29</v>
      </c>
      <c r="H29" s="24">
        <f>ROUND(H30/0.07*0.08,2)</f>
        <v>902857.14</v>
      </c>
      <c r="I29" s="24">
        <f>ROUND(I30/0.07*0.08,2)</f>
        <v>85028.57</v>
      </c>
      <c r="J29" s="24">
        <f t="shared" si="0"/>
        <v>3026994.29</v>
      </c>
      <c r="K29" s="25"/>
    </row>
    <row r="30" spans="1:11" ht="14.1" customHeight="1">
      <c r="A30" s="21" t="s">
        <v>59</v>
      </c>
      <c r="B30" s="22" t="s">
        <v>144</v>
      </c>
      <c r="C30" s="22" t="s">
        <v>60</v>
      </c>
      <c r="D30" s="23" t="s">
        <v>18</v>
      </c>
      <c r="E30" s="31">
        <v>1045368</v>
      </c>
      <c r="F30" s="31">
        <v>231000</v>
      </c>
      <c r="G30" s="31">
        <v>507852</v>
      </c>
      <c r="H30" s="31">
        <v>790000</v>
      </c>
      <c r="I30" s="31">
        <v>74400</v>
      </c>
      <c r="J30" s="24">
        <f t="shared" si="0"/>
        <v>2648620</v>
      </c>
      <c r="K30" s="30"/>
    </row>
    <row r="31" spans="1:11" ht="14.1" customHeight="1">
      <c r="A31" s="21" t="s">
        <v>61</v>
      </c>
      <c r="B31" s="22" t="s">
        <v>145</v>
      </c>
      <c r="C31" s="29" t="s">
        <v>17</v>
      </c>
      <c r="D31" s="25" t="s">
        <v>146</v>
      </c>
      <c r="E31" s="31"/>
      <c r="F31" s="31"/>
      <c r="G31" s="31"/>
      <c r="H31" s="31"/>
      <c r="I31" s="31"/>
      <c r="J31" s="24">
        <f t="shared" si="0"/>
        <v>0</v>
      </c>
      <c r="K31" s="30"/>
    </row>
    <row r="32" spans="1:11" ht="14.1" customHeight="1">
      <c r="A32" s="21" t="s">
        <v>62</v>
      </c>
      <c r="B32" s="22" t="s">
        <v>63</v>
      </c>
      <c r="C32" s="22"/>
      <c r="D32" s="23" t="s">
        <v>11</v>
      </c>
      <c r="E32" s="24">
        <f>E33+E35</f>
        <v>1371935</v>
      </c>
      <c r="F32" s="24">
        <f>F33+F35</f>
        <v>136860</v>
      </c>
      <c r="G32" s="24">
        <f>G33+G35</f>
        <v>51420</v>
      </c>
      <c r="H32" s="24">
        <f>H33+H35</f>
        <v>30600</v>
      </c>
      <c r="I32" s="24">
        <f>I33+I35</f>
        <v>0</v>
      </c>
      <c r="J32" s="24">
        <f t="shared" si="0"/>
        <v>1590815</v>
      </c>
      <c r="K32" s="25"/>
    </row>
    <row r="33" spans="1:11" ht="14.1" customHeight="1">
      <c r="A33" s="21" t="s">
        <v>64</v>
      </c>
      <c r="B33" s="22" t="s">
        <v>147</v>
      </c>
      <c r="C33" s="22" t="s">
        <v>65</v>
      </c>
      <c r="D33" s="30" t="s">
        <v>148</v>
      </c>
      <c r="E33" s="32">
        <f>E34</f>
        <v>1367585</v>
      </c>
      <c r="F33" s="32">
        <f>F34</f>
        <v>134340</v>
      </c>
      <c r="G33" s="32">
        <f>G34</f>
        <v>48180</v>
      </c>
      <c r="H33" s="32">
        <f>H34</f>
        <v>28800</v>
      </c>
      <c r="I33" s="32">
        <f>I34</f>
        <v>0</v>
      </c>
      <c r="J33" s="24">
        <f t="shared" si="0"/>
        <v>1578905</v>
      </c>
      <c r="K33" s="30"/>
    </row>
    <row r="34" spans="1:11" ht="14.1" customHeight="1">
      <c r="A34" s="21" t="s">
        <v>66</v>
      </c>
      <c r="B34" s="22" t="s">
        <v>149</v>
      </c>
      <c r="C34" s="22" t="s">
        <v>65</v>
      </c>
      <c r="D34" s="30" t="s">
        <v>148</v>
      </c>
      <c r="E34" s="26">
        <v>1367585</v>
      </c>
      <c r="F34" s="26">
        <v>134340</v>
      </c>
      <c r="G34" s="26">
        <v>48180</v>
      </c>
      <c r="H34" s="26">
        <f>2400*12</f>
        <v>28800</v>
      </c>
      <c r="I34" s="26"/>
      <c r="J34" s="24">
        <f t="shared" si="0"/>
        <v>1578905</v>
      </c>
      <c r="K34" s="25"/>
    </row>
    <row r="35" spans="1:11" ht="14.1" customHeight="1">
      <c r="A35" s="21" t="s">
        <v>67</v>
      </c>
      <c r="B35" s="22" t="s">
        <v>68</v>
      </c>
      <c r="C35" s="22"/>
      <c r="D35" s="23" t="s">
        <v>11</v>
      </c>
      <c r="E35" s="24">
        <f>E36</f>
        <v>4350</v>
      </c>
      <c r="F35" s="24">
        <f>F36</f>
        <v>2520</v>
      </c>
      <c r="G35" s="24">
        <f>G36</f>
        <v>3240</v>
      </c>
      <c r="H35" s="24">
        <f>H36</f>
        <v>1800</v>
      </c>
      <c r="I35" s="24">
        <f>I36</f>
        <v>0</v>
      </c>
      <c r="J35" s="24">
        <f t="shared" si="0"/>
        <v>11910</v>
      </c>
      <c r="K35" s="25"/>
    </row>
    <row r="36" spans="1:11" ht="14.1" customHeight="1">
      <c r="A36" s="21" t="s">
        <v>69</v>
      </c>
      <c r="B36" s="22" t="s">
        <v>70</v>
      </c>
      <c r="C36" s="22" t="s">
        <v>17</v>
      </c>
      <c r="D36" s="23" t="s">
        <v>18</v>
      </c>
      <c r="E36" s="26">
        <v>4350</v>
      </c>
      <c r="F36" s="26">
        <f>210*12</f>
        <v>2520</v>
      </c>
      <c r="G36" s="26">
        <v>3240</v>
      </c>
      <c r="H36" s="26">
        <v>1800</v>
      </c>
      <c r="I36" s="26"/>
      <c r="J36" s="24">
        <f t="shared" si="0"/>
        <v>11910</v>
      </c>
      <c r="K36" s="25"/>
    </row>
    <row r="37" spans="1:11" ht="14.1" customHeight="1">
      <c r="A37" s="21" t="s">
        <v>71</v>
      </c>
      <c r="B37" s="22" t="s">
        <v>74</v>
      </c>
      <c r="C37" s="22"/>
      <c r="D37" s="23" t="s">
        <v>11</v>
      </c>
      <c r="E37" s="24">
        <f>E38+E40+E42+E44+E46+E49+E51+E53+E55+E57</f>
        <v>4442666.07</v>
      </c>
      <c r="F37" s="24">
        <f>F38+F40+F42+F44+F46+F49+F51+F53+F55+F57</f>
        <v>1088885</v>
      </c>
      <c r="G37" s="24">
        <f>G38+G40+G42+G44+G46+G49+G51+G53+G55+G57</f>
        <v>1711120.07</v>
      </c>
      <c r="H37" s="24">
        <f>H38+H40+H42+H44+H46+H49+H51+H53+H55+H57</f>
        <v>2952764.49</v>
      </c>
      <c r="I37" s="24">
        <f>I38+I40+I42+I44+I46+I49+I51+I53+I55+I57</f>
        <v>230737.14</v>
      </c>
      <c r="J37" s="24">
        <f t="shared" si="0"/>
        <v>10426172.770000001</v>
      </c>
      <c r="K37" s="25"/>
    </row>
    <row r="38" spans="1:11" ht="14.1" customHeight="1">
      <c r="A38" s="21" t="s">
        <v>72</v>
      </c>
      <c r="B38" s="22" t="s">
        <v>76</v>
      </c>
      <c r="C38" s="22"/>
      <c r="D38" s="23" t="s">
        <v>77</v>
      </c>
      <c r="E38" s="26">
        <f>1035*3210</f>
        <v>3322350</v>
      </c>
      <c r="F38" s="26">
        <f>2860*300</f>
        <v>858000</v>
      </c>
      <c r="G38" s="26">
        <f>408*3060</f>
        <v>1248480</v>
      </c>
      <c r="H38" s="26">
        <f>751*2860</f>
        <v>2147860</v>
      </c>
      <c r="I38" s="26">
        <v>89600</v>
      </c>
      <c r="J38" s="24">
        <f t="shared" si="0"/>
        <v>7666290</v>
      </c>
      <c r="K38" s="25"/>
    </row>
    <row r="39" spans="1:11" ht="14.1" customHeight="1">
      <c r="A39" s="21" t="s">
        <v>73</v>
      </c>
      <c r="B39" s="22" t="s">
        <v>150</v>
      </c>
      <c r="C39" s="22" t="s">
        <v>17</v>
      </c>
      <c r="D39" s="33" t="s">
        <v>151</v>
      </c>
      <c r="E39" s="26">
        <f>E38*0.05</f>
        <v>166117.5</v>
      </c>
      <c r="F39" s="26">
        <f>125*2860*5%</f>
        <v>17875</v>
      </c>
      <c r="G39" s="26">
        <f>408*3060*5%</f>
        <v>62424</v>
      </c>
      <c r="H39" s="26">
        <f>H38*5%</f>
        <v>107393</v>
      </c>
      <c r="I39" s="26">
        <v>3360</v>
      </c>
      <c r="J39" s="24">
        <f t="shared" si="0"/>
        <v>357169.5</v>
      </c>
      <c r="K39" s="25"/>
    </row>
    <row r="40" spans="1:11" ht="14.1" customHeight="1">
      <c r="A40" s="21" t="s">
        <v>75</v>
      </c>
      <c r="B40" s="22" t="s">
        <v>80</v>
      </c>
      <c r="C40" s="22"/>
      <c r="D40" s="23"/>
      <c r="E40" s="24">
        <f>E41</f>
        <v>26000</v>
      </c>
      <c r="F40" s="24">
        <f>F41</f>
        <v>6000</v>
      </c>
      <c r="G40" s="24">
        <f>G41</f>
        <v>12800</v>
      </c>
      <c r="H40" s="24">
        <f>H41</f>
        <v>20400</v>
      </c>
      <c r="I40" s="24">
        <f>I41</f>
        <v>1600</v>
      </c>
      <c r="J40" s="24">
        <f t="shared" si="0"/>
        <v>66800</v>
      </c>
      <c r="K40" s="25"/>
    </row>
    <row r="41" spans="1:11" s="2" customFormat="1" ht="14.1" customHeight="1">
      <c r="A41" s="21" t="s">
        <v>78</v>
      </c>
      <c r="B41" s="28" t="s">
        <v>82</v>
      </c>
      <c r="C41" s="28" t="s">
        <v>17</v>
      </c>
      <c r="D41" s="34" t="s">
        <v>83</v>
      </c>
      <c r="E41" s="24">
        <f>E60*400</f>
        <v>26000</v>
      </c>
      <c r="F41" s="24">
        <f>F60*400</f>
        <v>6000</v>
      </c>
      <c r="G41" s="24">
        <f>G60*400</f>
        <v>12800</v>
      </c>
      <c r="H41" s="24">
        <f>H60*400</f>
        <v>20400</v>
      </c>
      <c r="I41" s="24">
        <f>I60*400</f>
        <v>1600</v>
      </c>
      <c r="J41" s="24">
        <f t="shared" si="0"/>
        <v>66800</v>
      </c>
      <c r="K41" s="25"/>
    </row>
    <row r="42" spans="1:11" ht="14.1" customHeight="1">
      <c r="A42" s="21" t="s">
        <v>79</v>
      </c>
      <c r="B42" s="22" t="s">
        <v>85</v>
      </c>
      <c r="C42" s="22"/>
      <c r="D42" s="23" t="s">
        <v>11</v>
      </c>
      <c r="E42" s="24">
        <f>E43</f>
        <v>100471.5</v>
      </c>
      <c r="F42" s="24">
        <f>F43</f>
        <v>22725</v>
      </c>
      <c r="G42" s="24">
        <f>G43</f>
        <v>86839.5</v>
      </c>
      <c r="H42" s="24">
        <f>H43</f>
        <v>224590.2</v>
      </c>
      <c r="I42" s="24">
        <f>I43</f>
        <v>45000</v>
      </c>
      <c r="J42" s="24">
        <f t="shared" si="0"/>
        <v>479626.2</v>
      </c>
      <c r="K42" s="25"/>
    </row>
    <row r="43" spans="1:11" s="2" customFormat="1" ht="14.1" customHeight="1">
      <c r="A43" s="21" t="s">
        <v>81</v>
      </c>
      <c r="B43" s="28" t="s">
        <v>87</v>
      </c>
      <c r="C43" s="28" t="s">
        <v>17</v>
      </c>
      <c r="D43" s="34" t="s">
        <v>88</v>
      </c>
      <c r="E43" s="24">
        <f>E71*15</f>
        <v>100471.5</v>
      </c>
      <c r="F43" s="24">
        <f>F71*15</f>
        <v>22725</v>
      </c>
      <c r="G43" s="24">
        <f>G71*15</f>
        <v>86839.5</v>
      </c>
      <c r="H43" s="24">
        <f>H71*15</f>
        <v>224590.2</v>
      </c>
      <c r="I43" s="24">
        <f>I71*15</f>
        <v>45000</v>
      </c>
      <c r="J43" s="24">
        <f t="shared" si="0"/>
        <v>479626.2</v>
      </c>
      <c r="K43" s="25"/>
    </row>
    <row r="44" spans="1:11" ht="14.1" customHeight="1">
      <c r="A44" s="21" t="s">
        <v>84</v>
      </c>
      <c r="B44" s="22" t="s">
        <v>90</v>
      </c>
      <c r="C44" s="22"/>
      <c r="D44" s="23" t="s">
        <v>11</v>
      </c>
      <c r="E44" s="24">
        <f>E45</f>
        <v>40528</v>
      </c>
      <c r="F44" s="24">
        <f>F45</f>
        <v>1600</v>
      </c>
      <c r="G44" s="24">
        <f>G45</f>
        <v>28000</v>
      </c>
      <c r="H44" s="24">
        <f>H45</f>
        <v>66440</v>
      </c>
      <c r="I44" s="24">
        <f>I45</f>
        <v>24000</v>
      </c>
      <c r="J44" s="24">
        <f t="shared" si="0"/>
        <v>160568</v>
      </c>
      <c r="K44" s="25"/>
    </row>
    <row r="45" spans="1:11" s="2" customFormat="1" ht="14.1" customHeight="1">
      <c r="A45" s="21" t="s">
        <v>86</v>
      </c>
      <c r="B45" s="28" t="s">
        <v>92</v>
      </c>
      <c r="C45" s="28" t="s">
        <v>17</v>
      </c>
      <c r="D45" s="34" t="s">
        <v>93</v>
      </c>
      <c r="E45" s="24">
        <f>E72*8</f>
        <v>40528</v>
      </c>
      <c r="F45" s="24">
        <f>F72*8</f>
        <v>1600</v>
      </c>
      <c r="G45" s="24">
        <f>G72*8</f>
        <v>28000</v>
      </c>
      <c r="H45" s="24">
        <f>H72*8</f>
        <v>66440</v>
      </c>
      <c r="I45" s="24">
        <f>I72*8</f>
        <v>24000</v>
      </c>
      <c r="J45" s="24">
        <f t="shared" si="0"/>
        <v>160568</v>
      </c>
      <c r="K45" s="25"/>
    </row>
    <row r="46" spans="1:11" ht="14.1" customHeight="1">
      <c r="A46" s="21" t="s">
        <v>89</v>
      </c>
      <c r="B46" s="22" t="s">
        <v>152</v>
      </c>
      <c r="C46" s="22"/>
      <c r="D46" s="23" t="s">
        <v>11</v>
      </c>
      <c r="E46" s="24">
        <f>E47+E48</f>
        <v>591840</v>
      </c>
      <c r="F46" s="24">
        <f>F47+F48</f>
        <v>99360</v>
      </c>
      <c r="G46" s="24">
        <f>G47+G48</f>
        <v>151200</v>
      </c>
      <c r="H46" s="24">
        <f>H47+H48</f>
        <v>228960</v>
      </c>
      <c r="I46" s="24">
        <f>I47+I48</f>
        <v>17280</v>
      </c>
      <c r="J46" s="24">
        <f t="shared" si="0"/>
        <v>1088640</v>
      </c>
      <c r="K46" s="25"/>
    </row>
    <row r="47" spans="1:11" s="2" customFormat="1" ht="14.1" customHeight="1">
      <c r="A47" s="21" t="s">
        <v>91</v>
      </c>
      <c r="B47" s="28" t="s">
        <v>153</v>
      </c>
      <c r="C47" s="28" t="s">
        <v>17</v>
      </c>
      <c r="D47" s="34" t="s">
        <v>96</v>
      </c>
      <c r="E47" s="24">
        <f>E60*4320</f>
        <v>280800</v>
      </c>
      <c r="F47" s="24">
        <f>F60*4320</f>
        <v>64800</v>
      </c>
      <c r="G47" s="24">
        <f>G60*4320</f>
        <v>138240</v>
      </c>
      <c r="H47" s="24">
        <f>H60*4320</f>
        <v>220320</v>
      </c>
      <c r="I47" s="24">
        <f>I60*4320</f>
        <v>17280</v>
      </c>
      <c r="J47" s="24">
        <f t="shared" si="0"/>
        <v>721440</v>
      </c>
      <c r="K47" s="25"/>
    </row>
    <row r="48" spans="1:11" s="2" customFormat="1" ht="14.1" customHeight="1">
      <c r="A48" s="21" t="s">
        <v>94</v>
      </c>
      <c r="B48" s="28" t="s">
        <v>154</v>
      </c>
      <c r="C48" s="28" t="s">
        <v>17</v>
      </c>
      <c r="D48" s="34" t="s">
        <v>155</v>
      </c>
      <c r="E48" s="24">
        <f>E70*4320</f>
        <v>311040</v>
      </c>
      <c r="F48" s="24">
        <f>F70*4320</f>
        <v>34560</v>
      </c>
      <c r="G48" s="24">
        <f>G70*4320</f>
        <v>12960</v>
      </c>
      <c r="H48" s="24">
        <f>H70*4320</f>
        <v>8640</v>
      </c>
      <c r="I48" s="24">
        <f>I70*4320</f>
        <v>0</v>
      </c>
      <c r="J48" s="24">
        <f t="shared" si="0"/>
        <v>367200</v>
      </c>
      <c r="K48" s="25"/>
    </row>
    <row r="49" spans="1:11" ht="14.1" customHeight="1">
      <c r="A49" s="21" t="s">
        <v>95</v>
      </c>
      <c r="B49" s="22" t="s">
        <v>156</v>
      </c>
      <c r="C49" s="22"/>
      <c r="D49" s="23" t="s">
        <v>11</v>
      </c>
      <c r="E49" s="24">
        <f>E50</f>
        <v>298676.57</v>
      </c>
      <c r="F49" s="24">
        <f>F50</f>
        <v>66000</v>
      </c>
      <c r="G49" s="24">
        <f>G50</f>
        <v>145100.57</v>
      </c>
      <c r="H49" s="24">
        <f>H50</f>
        <v>225714.29</v>
      </c>
      <c r="I49" s="24">
        <f>I50</f>
        <v>21257.14</v>
      </c>
      <c r="J49" s="24">
        <f t="shared" si="0"/>
        <v>756748.57000000007</v>
      </c>
      <c r="K49" s="25"/>
    </row>
    <row r="50" spans="1:11" s="2" customFormat="1" ht="14.1" customHeight="1">
      <c r="A50" s="21" t="s">
        <v>97</v>
      </c>
      <c r="B50" s="28" t="s">
        <v>100</v>
      </c>
      <c r="C50" s="28" t="s">
        <v>17</v>
      </c>
      <c r="D50" s="25" t="s">
        <v>32</v>
      </c>
      <c r="E50" s="24">
        <f>ROUND(E30/0.07*0.02,2)</f>
        <v>298676.57</v>
      </c>
      <c r="F50" s="24">
        <f>ROUND(F30/0.07*0.02,2)</f>
        <v>66000</v>
      </c>
      <c r="G50" s="24">
        <f>ROUND(G30/0.07*0.02,2)</f>
        <v>145100.57</v>
      </c>
      <c r="H50" s="24">
        <f>ROUND(H30/0.07*0.02,2)</f>
        <v>225714.29</v>
      </c>
      <c r="I50" s="24">
        <f>ROUND(I30/0.07*0.02,2)</f>
        <v>21257.14</v>
      </c>
      <c r="J50" s="24">
        <f t="shared" si="0"/>
        <v>756748.57000000007</v>
      </c>
      <c r="K50" s="25"/>
    </row>
    <row r="51" spans="1:11" ht="14.1" customHeight="1">
      <c r="A51" s="21" t="s">
        <v>98</v>
      </c>
      <c r="B51" s="22" t="s">
        <v>157</v>
      </c>
      <c r="C51" s="22"/>
      <c r="D51" s="23" t="s">
        <v>11</v>
      </c>
      <c r="E51" s="24">
        <f>E52</f>
        <v>32000</v>
      </c>
      <c r="F51" s="24">
        <f>F52</f>
        <v>0</v>
      </c>
      <c r="G51" s="24">
        <f>G52</f>
        <v>0</v>
      </c>
      <c r="H51" s="24">
        <f>H52</f>
        <v>0</v>
      </c>
      <c r="I51" s="24">
        <f>I52</f>
        <v>0</v>
      </c>
      <c r="J51" s="24">
        <f t="shared" si="0"/>
        <v>32000</v>
      </c>
      <c r="K51" s="25"/>
    </row>
    <row r="52" spans="1:11" ht="14.1" customHeight="1">
      <c r="A52" s="21" t="s">
        <v>99</v>
      </c>
      <c r="B52" s="22" t="s">
        <v>103</v>
      </c>
      <c r="C52" s="22" t="s">
        <v>17</v>
      </c>
      <c r="D52" s="33" t="s">
        <v>104</v>
      </c>
      <c r="E52" s="26">
        <v>32000</v>
      </c>
      <c r="F52" s="26"/>
      <c r="G52" s="26"/>
      <c r="H52" s="26"/>
      <c r="I52" s="26"/>
      <c r="J52" s="24">
        <f t="shared" si="0"/>
        <v>32000</v>
      </c>
      <c r="K52" s="25"/>
    </row>
    <row r="53" spans="1:11" ht="14.1" customHeight="1">
      <c r="A53" s="21" t="s">
        <v>101</v>
      </c>
      <c r="B53" s="22" t="s">
        <v>177</v>
      </c>
      <c r="C53" s="22"/>
      <c r="D53" s="23" t="s">
        <v>11</v>
      </c>
      <c r="E53" s="24">
        <f>E54</f>
        <v>28800</v>
      </c>
      <c r="F53" s="24">
        <f>F54</f>
        <v>3200</v>
      </c>
      <c r="G53" s="24">
        <f>G54</f>
        <v>1200</v>
      </c>
      <c r="H53" s="24">
        <f>H54</f>
        <v>800</v>
      </c>
      <c r="I53" s="24">
        <f>I54</f>
        <v>0</v>
      </c>
      <c r="J53" s="24">
        <f t="shared" si="0"/>
        <v>34000</v>
      </c>
      <c r="K53" s="25"/>
    </row>
    <row r="54" spans="1:11" s="2" customFormat="1" ht="14.1" customHeight="1">
      <c r="A54" s="21" t="s">
        <v>102</v>
      </c>
      <c r="B54" s="28" t="s">
        <v>178</v>
      </c>
      <c r="C54" s="28" t="s">
        <v>17</v>
      </c>
      <c r="D54" s="34" t="s">
        <v>158</v>
      </c>
      <c r="E54" s="24">
        <f>E70*400</f>
        <v>28800</v>
      </c>
      <c r="F54" s="24">
        <f>F70*400</f>
        <v>3200</v>
      </c>
      <c r="G54" s="24">
        <f>G70*400</f>
        <v>1200</v>
      </c>
      <c r="H54" s="24">
        <f>H70*400</f>
        <v>800</v>
      </c>
      <c r="I54" s="24">
        <f>I70*400</f>
        <v>0</v>
      </c>
      <c r="J54" s="24">
        <f t="shared" si="0"/>
        <v>34000</v>
      </c>
      <c r="K54" s="25"/>
    </row>
    <row r="55" spans="1:11" s="2" customFormat="1" ht="14.1" customHeight="1">
      <c r="A55" s="21" t="s">
        <v>105</v>
      </c>
      <c r="B55" s="22" t="s">
        <v>172</v>
      </c>
      <c r="C55" s="28"/>
      <c r="D55" s="34"/>
      <c r="E55" s="24">
        <f>E56</f>
        <v>2000</v>
      </c>
      <c r="F55" s="24">
        <f>F56</f>
        <v>0</v>
      </c>
      <c r="G55" s="24">
        <f>G56</f>
        <v>5500</v>
      </c>
      <c r="H55" s="24">
        <f>H56</f>
        <v>6000</v>
      </c>
      <c r="I55" s="24">
        <f>I56</f>
        <v>0</v>
      </c>
      <c r="J55" s="24">
        <f t="shared" si="0"/>
        <v>13500</v>
      </c>
      <c r="K55" s="25"/>
    </row>
    <row r="56" spans="1:11" ht="14.1" customHeight="1">
      <c r="A56" s="21" t="s">
        <v>106</v>
      </c>
      <c r="B56" s="22" t="s">
        <v>173</v>
      </c>
      <c r="C56" s="22" t="s">
        <v>17</v>
      </c>
      <c r="D56" s="33" t="s">
        <v>109</v>
      </c>
      <c r="E56" s="35">
        <v>2000</v>
      </c>
      <c r="F56" s="35"/>
      <c r="G56" s="35">
        <v>5500</v>
      </c>
      <c r="H56" s="35">
        <v>6000</v>
      </c>
      <c r="I56" s="35"/>
      <c r="J56" s="24">
        <f t="shared" si="0"/>
        <v>13500</v>
      </c>
      <c r="K56" s="30"/>
    </row>
    <row r="57" spans="1:11" ht="14.1" customHeight="1">
      <c r="A57" s="21" t="s">
        <v>107</v>
      </c>
      <c r="B57" s="22" t="s">
        <v>174</v>
      </c>
      <c r="C57" s="22"/>
      <c r="D57" s="23" t="s">
        <v>11</v>
      </c>
      <c r="E57" s="24">
        <f>E58</f>
        <v>0</v>
      </c>
      <c r="F57" s="24">
        <f>F58</f>
        <v>32000</v>
      </c>
      <c r="G57" s="24">
        <f>G58</f>
        <v>32000</v>
      </c>
      <c r="H57" s="24">
        <f>H58</f>
        <v>32000</v>
      </c>
      <c r="I57" s="24">
        <f>I58</f>
        <v>32000</v>
      </c>
      <c r="J57" s="24">
        <f t="shared" si="0"/>
        <v>128000</v>
      </c>
      <c r="K57" s="25"/>
    </row>
    <row r="58" spans="1:11" ht="14.1" customHeight="1" thickBot="1">
      <c r="A58" s="21" t="s">
        <v>108</v>
      </c>
      <c r="B58" s="3" t="s">
        <v>112</v>
      </c>
      <c r="C58" s="22" t="s">
        <v>17</v>
      </c>
      <c r="D58" s="4" t="s">
        <v>159</v>
      </c>
      <c r="E58" s="5"/>
      <c r="F58" s="5">
        <v>32000</v>
      </c>
      <c r="G58" s="5">
        <v>32000</v>
      </c>
      <c r="H58" s="5">
        <v>32000</v>
      </c>
      <c r="I58" s="5">
        <v>32000</v>
      </c>
      <c r="J58" s="24">
        <f t="shared" si="0"/>
        <v>128000</v>
      </c>
      <c r="K58" s="6"/>
    </row>
    <row r="59" spans="1:11" ht="14.1" customHeight="1" thickTop="1">
      <c r="A59" s="21" t="s">
        <v>110</v>
      </c>
      <c r="B59" s="7" t="s">
        <v>114</v>
      </c>
      <c r="C59" s="7"/>
      <c r="D59" s="8"/>
      <c r="E59" s="9"/>
      <c r="F59" s="9"/>
      <c r="G59" s="9"/>
      <c r="H59" s="9"/>
      <c r="I59" s="9"/>
      <c r="J59" s="24">
        <f t="shared" si="0"/>
        <v>0</v>
      </c>
      <c r="K59" s="10"/>
    </row>
    <row r="60" spans="1:11" ht="14.1" customHeight="1">
      <c r="A60" s="21" t="s">
        <v>111</v>
      </c>
      <c r="B60" s="22" t="s">
        <v>116</v>
      </c>
      <c r="C60" s="22"/>
      <c r="D60" s="23" t="s">
        <v>175</v>
      </c>
      <c r="E60" s="24">
        <f>E61+E62+E63+E64</f>
        <v>65</v>
      </c>
      <c r="F60" s="24">
        <f>F61+F62+F63+F64</f>
        <v>15</v>
      </c>
      <c r="G60" s="24">
        <f>G61+G62+G63+G64</f>
        <v>32</v>
      </c>
      <c r="H60" s="24">
        <f>H61+H62+H63+H64</f>
        <v>51</v>
      </c>
      <c r="I60" s="24">
        <f>I61+I62+I63+I64</f>
        <v>4</v>
      </c>
      <c r="J60" s="24">
        <f t="shared" si="0"/>
        <v>167</v>
      </c>
      <c r="K60" s="25"/>
    </row>
    <row r="61" spans="1:11" ht="14.1" customHeight="1">
      <c r="A61" s="21" t="s">
        <v>113</v>
      </c>
      <c r="B61" s="36" t="s">
        <v>118</v>
      </c>
      <c r="C61" s="36"/>
      <c r="D61" s="30"/>
      <c r="E61" s="31"/>
      <c r="F61" s="31"/>
      <c r="G61" s="31"/>
      <c r="H61" s="31"/>
      <c r="I61" s="31"/>
      <c r="J61" s="24">
        <f t="shared" si="0"/>
        <v>0</v>
      </c>
      <c r="K61" s="25"/>
    </row>
    <row r="62" spans="1:11" ht="14.1" customHeight="1">
      <c r="A62" s="21" t="s">
        <v>115</v>
      </c>
      <c r="B62" s="36" t="s">
        <v>120</v>
      </c>
      <c r="C62" s="36"/>
      <c r="D62" s="23"/>
      <c r="E62" s="26">
        <v>65</v>
      </c>
      <c r="F62" s="26"/>
      <c r="G62" s="26"/>
      <c r="H62" s="26"/>
      <c r="I62" s="26"/>
      <c r="J62" s="24">
        <f t="shared" si="0"/>
        <v>65</v>
      </c>
      <c r="K62" s="25"/>
    </row>
    <row r="63" spans="1:11" ht="14.1" customHeight="1">
      <c r="A63" s="21" t="s">
        <v>117</v>
      </c>
      <c r="B63" s="36" t="s">
        <v>122</v>
      </c>
      <c r="C63" s="36"/>
      <c r="D63" s="30"/>
      <c r="E63" s="31"/>
      <c r="F63" s="31">
        <v>15</v>
      </c>
      <c r="G63" s="31">
        <v>32</v>
      </c>
      <c r="H63" s="31">
        <v>51</v>
      </c>
      <c r="I63" s="31"/>
      <c r="J63" s="24">
        <f t="shared" si="0"/>
        <v>98</v>
      </c>
      <c r="K63" s="25"/>
    </row>
    <row r="64" spans="1:11" ht="14.1" customHeight="1">
      <c r="A64" s="21" t="s">
        <v>119</v>
      </c>
      <c r="B64" s="36" t="s">
        <v>124</v>
      </c>
      <c r="C64" s="36"/>
      <c r="D64" s="30"/>
      <c r="E64" s="31"/>
      <c r="F64" s="31"/>
      <c r="G64" s="31"/>
      <c r="H64" s="31"/>
      <c r="I64" s="31">
        <v>4</v>
      </c>
      <c r="J64" s="24">
        <f t="shared" si="0"/>
        <v>4</v>
      </c>
      <c r="K64" s="25"/>
    </row>
    <row r="65" spans="1:11" ht="14.1" customHeight="1">
      <c r="A65" s="21" t="s">
        <v>121</v>
      </c>
      <c r="B65" s="22" t="s">
        <v>126</v>
      </c>
      <c r="C65" s="22"/>
      <c r="D65" s="23" t="s">
        <v>176</v>
      </c>
      <c r="E65" s="24">
        <f>E66+E67+E68+E69</f>
        <v>1035</v>
      </c>
      <c r="F65" s="24">
        <f>F66+F67+F68+F69</f>
        <v>125</v>
      </c>
      <c r="G65" s="24">
        <f>G66+G67+G68+G69</f>
        <v>408</v>
      </c>
      <c r="H65" s="24">
        <f>H66+H67+H68+H69</f>
        <v>751</v>
      </c>
      <c r="I65" s="24">
        <f>I66+I67+I68+I69</f>
        <v>0</v>
      </c>
      <c r="J65" s="24">
        <f t="shared" si="0"/>
        <v>2319</v>
      </c>
      <c r="K65" s="25"/>
    </row>
    <row r="66" spans="1:11" ht="14.1" customHeight="1">
      <c r="A66" s="21" t="s">
        <v>123</v>
      </c>
      <c r="B66" s="36" t="s">
        <v>118</v>
      </c>
      <c r="C66" s="36"/>
      <c r="D66" s="30"/>
      <c r="E66" s="31"/>
      <c r="F66" s="31"/>
      <c r="G66" s="31"/>
      <c r="H66" s="31"/>
      <c r="I66" s="31"/>
      <c r="J66" s="24">
        <f t="shared" si="0"/>
        <v>0</v>
      </c>
      <c r="K66" s="25"/>
    </row>
    <row r="67" spans="1:11" ht="14.1" customHeight="1">
      <c r="A67" s="21" t="s">
        <v>125</v>
      </c>
      <c r="B67" s="36" t="s">
        <v>120</v>
      </c>
      <c r="C67" s="36"/>
      <c r="D67" s="23"/>
      <c r="E67" s="26">
        <v>1035</v>
      </c>
      <c r="F67" s="26"/>
      <c r="G67" s="26"/>
      <c r="H67" s="26"/>
      <c r="I67" s="26"/>
      <c r="J67" s="24">
        <f t="shared" si="0"/>
        <v>1035</v>
      </c>
      <c r="K67" s="25"/>
    </row>
    <row r="68" spans="1:11" ht="14.1" customHeight="1">
      <c r="A68" s="21" t="s">
        <v>127</v>
      </c>
      <c r="B68" s="36" t="s">
        <v>122</v>
      </c>
      <c r="C68" s="36"/>
      <c r="D68" s="30"/>
      <c r="E68" s="31"/>
      <c r="F68" s="31">
        <v>125</v>
      </c>
      <c r="G68" s="31">
        <v>408</v>
      </c>
      <c r="H68" s="31">
        <v>751</v>
      </c>
      <c r="I68" s="31"/>
      <c r="J68" s="24">
        <f t="shared" ref="J68:J72" si="1">SUM(E68:I68)</f>
        <v>1284</v>
      </c>
      <c r="K68" s="25"/>
    </row>
    <row r="69" spans="1:11" ht="14.1" customHeight="1">
      <c r="A69" s="21" t="s">
        <v>128</v>
      </c>
      <c r="B69" s="36" t="s">
        <v>124</v>
      </c>
      <c r="C69" s="36"/>
      <c r="D69" s="30"/>
      <c r="E69" s="31"/>
      <c r="F69" s="31"/>
      <c r="G69" s="31"/>
      <c r="H69" s="31"/>
      <c r="I69" s="31"/>
      <c r="J69" s="24">
        <f t="shared" si="1"/>
        <v>0</v>
      </c>
      <c r="K69" s="25"/>
    </row>
    <row r="70" spans="1:11" ht="14.1" customHeight="1">
      <c r="A70" s="21" t="s">
        <v>129</v>
      </c>
      <c r="B70" s="22" t="s">
        <v>160</v>
      </c>
      <c r="C70" s="22"/>
      <c r="D70" s="23"/>
      <c r="E70" s="26">
        <v>72</v>
      </c>
      <c r="F70" s="26">
        <v>8</v>
      </c>
      <c r="G70" s="26">
        <v>3</v>
      </c>
      <c r="H70" s="26">
        <v>2</v>
      </c>
      <c r="I70" s="26"/>
      <c r="J70" s="24">
        <f t="shared" si="1"/>
        <v>85</v>
      </c>
      <c r="K70" s="25"/>
    </row>
    <row r="71" spans="1:11" ht="14.1" customHeight="1">
      <c r="A71" s="21" t="s">
        <v>130</v>
      </c>
      <c r="B71" s="36" t="s">
        <v>161</v>
      </c>
      <c r="C71" s="36"/>
      <c r="D71" s="33"/>
      <c r="E71" s="26">
        <v>6698.1</v>
      </c>
      <c r="F71" s="26">
        <v>1515</v>
      </c>
      <c r="G71" s="26">
        <v>5789.3</v>
      </c>
      <c r="H71" s="26">
        <v>14972.68</v>
      </c>
      <c r="I71" s="26">
        <v>3000</v>
      </c>
      <c r="J71" s="24">
        <f t="shared" si="1"/>
        <v>31975.08</v>
      </c>
      <c r="K71" s="25"/>
    </row>
    <row r="72" spans="1:11" ht="14.1" customHeight="1">
      <c r="A72" s="21" t="s">
        <v>131</v>
      </c>
      <c r="B72" s="36" t="s">
        <v>162</v>
      </c>
      <c r="C72" s="36"/>
      <c r="D72" s="33"/>
      <c r="E72" s="26">
        <v>5066</v>
      </c>
      <c r="F72" s="26">
        <v>200</v>
      </c>
      <c r="G72" s="26">
        <v>3500</v>
      </c>
      <c r="H72" s="26">
        <v>8305</v>
      </c>
      <c r="I72" s="26">
        <v>3000</v>
      </c>
      <c r="J72" s="24">
        <f t="shared" si="1"/>
        <v>20071</v>
      </c>
      <c r="K72" s="25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1"/>
  <sheetViews>
    <sheetView topLeftCell="B1" workbookViewId="0">
      <selection activeCell="A4" sqref="A4:XFD72"/>
    </sheetView>
  </sheetViews>
  <sheetFormatPr defaultRowHeight="13.5"/>
  <cols>
    <col min="1" max="1" width="0" style="95" hidden="1" customWidth="1"/>
    <col min="2" max="2" width="25.625" style="95" customWidth="1"/>
    <col min="3" max="3" width="6.5" style="95" hidden="1" customWidth="1"/>
    <col min="4" max="5" width="0" style="95" hidden="1" customWidth="1"/>
    <col min="6" max="7" width="12.625" style="95" customWidth="1"/>
    <col min="8" max="8" width="14.125" style="95" customWidth="1"/>
    <col min="9" max="17" width="12.625" style="95" customWidth="1"/>
    <col min="18" max="16384" width="9" style="95"/>
  </cols>
  <sheetData>
    <row r="1" spans="1:17" ht="20.25">
      <c r="A1" s="141" t="s">
        <v>253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</row>
    <row r="2" spans="1:17">
      <c r="A2" s="143" t="s">
        <v>205</v>
      </c>
      <c r="B2" s="145" t="s">
        <v>254</v>
      </c>
      <c r="C2" s="145" t="s">
        <v>3</v>
      </c>
      <c r="D2" s="143" t="s">
        <v>255</v>
      </c>
      <c r="E2" s="146" t="s">
        <v>256</v>
      </c>
      <c r="F2" s="147" t="s">
        <v>257</v>
      </c>
      <c r="G2" s="148"/>
      <c r="H2" s="148"/>
      <c r="I2" s="148"/>
      <c r="J2" s="147" t="s">
        <v>258</v>
      </c>
      <c r="K2" s="148"/>
      <c r="L2" s="148"/>
      <c r="M2" s="148"/>
      <c r="N2" s="147" t="s">
        <v>259</v>
      </c>
      <c r="O2" s="148"/>
      <c r="P2" s="148"/>
      <c r="Q2" s="148"/>
    </row>
    <row r="3" spans="1:17" ht="22.5">
      <c r="A3" s="144"/>
      <c r="B3" s="144"/>
      <c r="C3" s="144"/>
      <c r="D3" s="144"/>
      <c r="E3" s="144"/>
      <c r="F3" s="96" t="s">
        <v>260</v>
      </c>
      <c r="G3" s="97" t="s">
        <v>261</v>
      </c>
      <c r="H3" s="98" t="s">
        <v>271</v>
      </c>
      <c r="I3" s="98" t="s">
        <v>262</v>
      </c>
      <c r="J3" s="96" t="s">
        <v>260</v>
      </c>
      <c r="K3" s="97" t="s">
        <v>261</v>
      </c>
      <c r="L3" s="98" t="s">
        <v>263</v>
      </c>
      <c r="M3" s="98" t="s">
        <v>262</v>
      </c>
      <c r="N3" s="96" t="s">
        <v>260</v>
      </c>
      <c r="O3" s="97" t="s">
        <v>261</v>
      </c>
      <c r="P3" s="98" t="s">
        <v>271</v>
      </c>
      <c r="Q3" s="98" t="s">
        <v>262</v>
      </c>
    </row>
    <row r="4" spans="1:17" s="100" customFormat="1" ht="20.100000000000001" customHeight="1">
      <c r="A4" s="101" t="s">
        <v>2</v>
      </c>
      <c r="B4" s="52" t="s">
        <v>132</v>
      </c>
      <c r="C4" s="52">
        <v>2</v>
      </c>
      <c r="D4" s="52" t="s">
        <v>264</v>
      </c>
      <c r="E4" s="52" t="s">
        <v>268</v>
      </c>
      <c r="F4" s="50">
        <v>12404858</v>
      </c>
      <c r="G4" s="50">
        <v>530480</v>
      </c>
      <c r="H4" s="67">
        <v>589792.5</v>
      </c>
      <c r="I4" s="67">
        <f t="shared" ref="I4:I9" si="0">F4+H4</f>
        <v>12994650.5</v>
      </c>
      <c r="J4" s="99">
        <v>12315468</v>
      </c>
      <c r="K4" s="99">
        <v>453486</v>
      </c>
      <c r="L4" s="99">
        <v>683465.25</v>
      </c>
      <c r="M4" s="99">
        <f t="shared" ref="M4:M9" si="1">J4+L4</f>
        <v>12998933.25</v>
      </c>
      <c r="N4" s="99">
        <f t="shared" ref="N4:N9" si="2">F4-J4</f>
        <v>89390</v>
      </c>
      <c r="O4" s="99">
        <f t="shared" ref="O4:Q9" si="3">G4-K4</f>
        <v>76994</v>
      </c>
      <c r="P4" s="99">
        <f t="shared" si="3"/>
        <v>-93672.75</v>
      </c>
      <c r="Q4" s="99">
        <f t="shared" si="3"/>
        <v>-4282.75</v>
      </c>
    </row>
    <row r="5" spans="1:17" s="100" customFormat="1" ht="20.100000000000001" customHeight="1">
      <c r="A5" s="101" t="s">
        <v>2</v>
      </c>
      <c r="B5" s="52" t="s">
        <v>269</v>
      </c>
      <c r="C5" s="52">
        <v>3</v>
      </c>
      <c r="D5" s="52" t="s">
        <v>264</v>
      </c>
      <c r="E5" s="52" t="s">
        <v>268</v>
      </c>
      <c r="F5" s="50">
        <v>8331088</v>
      </c>
      <c r="G5" s="50">
        <v>514984</v>
      </c>
      <c r="H5" s="67">
        <v>592380</v>
      </c>
      <c r="I5" s="67">
        <f t="shared" si="0"/>
        <v>8923468</v>
      </c>
      <c r="J5" s="99">
        <v>8396910</v>
      </c>
      <c r="K5" s="99">
        <v>466984</v>
      </c>
      <c r="L5" s="99">
        <v>717184.75</v>
      </c>
      <c r="M5" s="99">
        <f t="shared" si="1"/>
        <v>9114094.75</v>
      </c>
      <c r="N5" s="99">
        <f t="shared" si="2"/>
        <v>-65822</v>
      </c>
      <c r="O5" s="99">
        <f t="shared" si="3"/>
        <v>48000</v>
      </c>
      <c r="P5" s="99">
        <f t="shared" si="3"/>
        <v>-124804.75</v>
      </c>
      <c r="Q5" s="99">
        <f t="shared" si="3"/>
        <v>-190626.75</v>
      </c>
    </row>
    <row r="6" spans="1:17" s="100" customFormat="1" ht="20.100000000000001" customHeight="1">
      <c r="A6" s="101" t="s">
        <v>2</v>
      </c>
      <c r="B6" s="52" t="s">
        <v>136</v>
      </c>
      <c r="C6" s="52">
        <v>4</v>
      </c>
      <c r="D6" s="52" t="s">
        <v>265</v>
      </c>
      <c r="E6" s="52" t="s">
        <v>266</v>
      </c>
      <c r="F6" s="50">
        <v>863604</v>
      </c>
      <c r="G6" s="50">
        <v>0</v>
      </c>
      <c r="H6" s="67"/>
      <c r="I6" s="67">
        <f t="shared" si="0"/>
        <v>863604</v>
      </c>
      <c r="J6" s="99">
        <v>794104</v>
      </c>
      <c r="K6" s="99"/>
      <c r="L6" s="99"/>
      <c r="M6" s="99">
        <f t="shared" si="1"/>
        <v>794104</v>
      </c>
      <c r="N6" s="99">
        <f t="shared" si="2"/>
        <v>69500</v>
      </c>
      <c r="O6" s="99">
        <f t="shared" si="3"/>
        <v>0</v>
      </c>
      <c r="P6" s="99">
        <f t="shared" si="3"/>
        <v>0</v>
      </c>
      <c r="Q6" s="99">
        <f t="shared" si="3"/>
        <v>69500</v>
      </c>
    </row>
    <row r="7" spans="1:17" s="100" customFormat="1" ht="20.100000000000001" customHeight="1">
      <c r="A7" s="101" t="s">
        <v>2</v>
      </c>
      <c r="B7" s="52" t="s">
        <v>133</v>
      </c>
      <c r="C7" s="52">
        <v>5</v>
      </c>
      <c r="D7" s="52" t="s">
        <v>265</v>
      </c>
      <c r="E7" s="52" t="s">
        <v>267</v>
      </c>
      <c r="F7" s="50">
        <v>2522250</v>
      </c>
      <c r="G7" s="50">
        <v>0</v>
      </c>
      <c r="H7" s="67"/>
      <c r="I7" s="67">
        <f t="shared" si="0"/>
        <v>2522250</v>
      </c>
      <c r="J7" s="99">
        <v>2524560</v>
      </c>
      <c r="K7" s="99"/>
      <c r="L7" s="99"/>
      <c r="M7" s="99">
        <f t="shared" si="1"/>
        <v>2524560</v>
      </c>
      <c r="N7" s="99">
        <f t="shared" si="2"/>
        <v>-2310</v>
      </c>
      <c r="O7" s="99">
        <f t="shared" si="3"/>
        <v>0</v>
      </c>
      <c r="P7" s="99">
        <f t="shared" si="3"/>
        <v>0</v>
      </c>
      <c r="Q7" s="99">
        <f t="shared" si="3"/>
        <v>-2310</v>
      </c>
    </row>
    <row r="8" spans="1:17" s="100" customFormat="1" ht="20.100000000000001" customHeight="1">
      <c r="A8" s="101" t="s">
        <v>2</v>
      </c>
      <c r="B8" s="52" t="s">
        <v>134</v>
      </c>
      <c r="C8" s="52">
        <v>6</v>
      </c>
      <c r="D8" s="52" t="s">
        <v>265</v>
      </c>
      <c r="E8" s="52" t="s">
        <v>267</v>
      </c>
      <c r="F8" s="50">
        <v>5607146</v>
      </c>
      <c r="G8" s="50">
        <v>284216</v>
      </c>
      <c r="H8" s="67"/>
      <c r="I8" s="67">
        <f t="shared" si="0"/>
        <v>5607146</v>
      </c>
      <c r="J8" s="99">
        <v>5385728</v>
      </c>
      <c r="K8" s="99">
        <v>260216</v>
      </c>
      <c r="L8" s="99"/>
      <c r="M8" s="99">
        <f t="shared" si="1"/>
        <v>5385728</v>
      </c>
      <c r="N8" s="99">
        <f t="shared" si="2"/>
        <v>221418</v>
      </c>
      <c r="O8" s="99">
        <f t="shared" si="3"/>
        <v>24000</v>
      </c>
      <c r="P8" s="99">
        <f t="shared" si="3"/>
        <v>0</v>
      </c>
      <c r="Q8" s="99">
        <f t="shared" si="3"/>
        <v>221418</v>
      </c>
    </row>
    <row r="9" spans="1:17" s="100" customFormat="1" ht="20.100000000000001" customHeight="1">
      <c r="A9" s="101" t="s">
        <v>2</v>
      </c>
      <c r="B9" s="52" t="s">
        <v>135</v>
      </c>
      <c r="C9" s="52">
        <v>7</v>
      </c>
      <c r="D9" s="52" t="s">
        <v>265</v>
      </c>
      <c r="E9" s="52" t="s">
        <v>267</v>
      </c>
      <c r="F9" s="50">
        <v>8728942</v>
      </c>
      <c r="G9" s="50">
        <v>306224</v>
      </c>
      <c r="H9" s="67"/>
      <c r="I9" s="67">
        <f t="shared" si="0"/>
        <v>8728942</v>
      </c>
      <c r="J9" s="99">
        <v>8499352</v>
      </c>
      <c r="K9" s="99">
        <v>262571</v>
      </c>
      <c r="L9" s="99"/>
      <c r="M9" s="99">
        <f t="shared" si="1"/>
        <v>8499352</v>
      </c>
      <c r="N9" s="99">
        <f t="shared" si="2"/>
        <v>229590</v>
      </c>
      <c r="O9" s="99">
        <f t="shared" si="3"/>
        <v>43653</v>
      </c>
      <c r="P9" s="99">
        <f t="shared" si="3"/>
        <v>0</v>
      </c>
      <c r="Q9" s="99">
        <f t="shared" si="3"/>
        <v>229590</v>
      </c>
    </row>
    <row r="10" spans="1:17" s="100" customFormat="1" ht="20.100000000000001" customHeight="1">
      <c r="A10" s="101"/>
      <c r="B10" s="52" t="s">
        <v>270</v>
      </c>
      <c r="C10" s="52"/>
      <c r="D10" s="52"/>
      <c r="E10" s="52"/>
      <c r="F10" s="50">
        <f t="shared" ref="F10:Q10" si="4">SUM(F4:F9)</f>
        <v>38457888</v>
      </c>
      <c r="G10" s="50">
        <f t="shared" si="4"/>
        <v>1635904</v>
      </c>
      <c r="H10" s="50">
        <f t="shared" si="4"/>
        <v>1182172.5</v>
      </c>
      <c r="I10" s="50">
        <f t="shared" si="4"/>
        <v>39640060.5</v>
      </c>
      <c r="J10" s="50">
        <f t="shared" si="4"/>
        <v>37916122</v>
      </c>
      <c r="K10" s="50">
        <f t="shared" si="4"/>
        <v>1443257</v>
      </c>
      <c r="L10" s="50">
        <f t="shared" si="4"/>
        <v>1400650</v>
      </c>
      <c r="M10" s="50">
        <f t="shared" si="4"/>
        <v>39316772</v>
      </c>
      <c r="N10" s="50">
        <f t="shared" si="4"/>
        <v>541766</v>
      </c>
      <c r="O10" s="50">
        <f t="shared" si="4"/>
        <v>192647</v>
      </c>
      <c r="P10" s="50">
        <f t="shared" si="4"/>
        <v>-218477.5</v>
      </c>
      <c r="Q10" s="50">
        <f t="shared" si="4"/>
        <v>323288.5</v>
      </c>
    </row>
    <row r="11" spans="1:17">
      <c r="M11" s="10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"/>
  <sheetViews>
    <sheetView topLeftCell="B1" workbookViewId="0">
      <selection activeCell="A4" sqref="A4:XFD72"/>
    </sheetView>
  </sheetViews>
  <sheetFormatPr defaultRowHeight="14.25"/>
  <cols>
    <col min="1" max="1" width="0" style="111" hidden="1" customWidth="1"/>
    <col min="2" max="2" width="28.5" style="111" customWidth="1"/>
    <col min="3" max="3" width="10.25" style="111" customWidth="1"/>
    <col min="4" max="4" width="7.5" style="111" customWidth="1"/>
    <col min="5" max="5" width="21.375" style="111" customWidth="1"/>
    <col min="6" max="6" width="13.625" style="111" customWidth="1"/>
    <col min="7" max="7" width="9" style="111"/>
    <col min="8" max="8" width="6.375" style="111" customWidth="1"/>
    <col min="9" max="9" width="6.75" style="111" customWidth="1"/>
    <col min="10" max="10" width="12.5" style="121" customWidth="1"/>
    <col min="11" max="11" width="9" style="111"/>
    <col min="12" max="12" width="21.25" style="111" customWidth="1"/>
    <col min="13" max="16384" width="9" style="111"/>
  </cols>
  <sheetData>
    <row r="1" spans="1:10" ht="18.75">
      <c r="A1" s="149" t="s">
        <v>279</v>
      </c>
      <c r="B1" s="149"/>
      <c r="C1" s="149"/>
      <c r="D1" s="149"/>
      <c r="E1" s="149"/>
      <c r="F1" s="149"/>
      <c r="G1" s="149"/>
      <c r="H1" s="149"/>
      <c r="I1" s="149"/>
      <c r="J1" s="149"/>
    </row>
    <row r="2" spans="1:10" s="115" customFormat="1" ht="85.5">
      <c r="A2" s="112" t="s">
        <v>3</v>
      </c>
      <c r="B2" s="112" t="s">
        <v>280</v>
      </c>
      <c r="C2" s="112" t="s">
        <v>281</v>
      </c>
      <c r="D2" s="112" t="s">
        <v>282</v>
      </c>
      <c r="E2" s="113" t="s">
        <v>283</v>
      </c>
      <c r="F2" s="114" t="s">
        <v>284</v>
      </c>
      <c r="G2" s="112" t="s">
        <v>285</v>
      </c>
      <c r="H2" s="112" t="s">
        <v>286</v>
      </c>
      <c r="I2" s="112" t="s">
        <v>287</v>
      </c>
      <c r="J2" s="113" t="s">
        <v>288</v>
      </c>
    </row>
    <row r="3" spans="1:10" s="115" customFormat="1">
      <c r="A3" s="116">
        <v>3</v>
      </c>
      <c r="B3" s="117" t="s">
        <v>134</v>
      </c>
      <c r="C3" s="117" t="s">
        <v>289</v>
      </c>
      <c r="D3" s="116" t="s">
        <v>290</v>
      </c>
      <c r="E3" s="118" t="s">
        <v>291</v>
      </c>
      <c r="F3" s="119">
        <v>43831</v>
      </c>
      <c r="G3" s="116" t="s">
        <v>292</v>
      </c>
      <c r="H3" s="116" t="s">
        <v>293</v>
      </c>
      <c r="I3" s="116" t="s">
        <v>294</v>
      </c>
      <c r="J3" s="120">
        <v>32412</v>
      </c>
    </row>
    <row r="4" spans="1:10" s="115" customFormat="1">
      <c r="A4" s="116"/>
      <c r="B4" s="117"/>
      <c r="C4" s="117" t="s">
        <v>295</v>
      </c>
      <c r="D4" s="116"/>
      <c r="E4" s="118"/>
      <c r="F4" s="119"/>
      <c r="G4" s="116"/>
      <c r="H4" s="116"/>
      <c r="I4" s="116"/>
      <c r="J4" s="120">
        <f>J3</f>
        <v>32412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9"/>
  <sheetViews>
    <sheetView workbookViewId="0">
      <selection activeCell="A4" sqref="A4:XFD72"/>
    </sheetView>
  </sheetViews>
  <sheetFormatPr defaultColWidth="9" defaultRowHeight="13.5" outlineLevelRow="2"/>
  <cols>
    <col min="1" max="1" width="20.875" style="64" customWidth="1"/>
    <col min="2" max="2" width="35" style="64" customWidth="1"/>
    <col min="3" max="3" width="15.625" style="64" customWidth="1"/>
    <col min="4" max="4" width="20.625" style="64" customWidth="1"/>
    <col min="5" max="5" width="24.75" style="64" customWidth="1"/>
    <col min="6" max="16384" width="9" style="64"/>
  </cols>
  <sheetData>
    <row r="1" spans="1:5" s="56" customFormat="1" ht="20.25">
      <c r="A1" s="150" t="s">
        <v>228</v>
      </c>
      <c r="B1" s="151"/>
      <c r="C1" s="151"/>
      <c r="D1" s="151"/>
      <c r="E1" s="151"/>
    </row>
    <row r="2" spans="1:5" s="58" customFormat="1" ht="17.100000000000001" customHeight="1">
      <c r="A2" s="57" t="s">
        <v>229</v>
      </c>
      <c r="B2" s="57" t="s">
        <v>230</v>
      </c>
      <c r="C2" s="57" t="s">
        <v>242</v>
      </c>
      <c r="D2" s="57" t="s">
        <v>231</v>
      </c>
      <c r="E2" s="57" t="s">
        <v>232</v>
      </c>
    </row>
    <row r="3" spans="1:5" s="58" customFormat="1" ht="17.100000000000001" customHeight="1" outlineLevel="2">
      <c r="A3" s="38" t="s">
        <v>233</v>
      </c>
      <c r="B3" s="63" t="s">
        <v>132</v>
      </c>
      <c r="C3" s="63" t="s">
        <v>244</v>
      </c>
      <c r="D3" s="59">
        <v>209862.5</v>
      </c>
      <c r="E3" s="59">
        <f t="shared" ref="E3:E7" si="0">ROUND(D3*1.1,2)</f>
        <v>230848.75</v>
      </c>
    </row>
    <row r="4" spans="1:5" s="58" customFormat="1" ht="17.100000000000001" customHeight="1" outlineLevel="2">
      <c r="A4" s="38" t="s">
        <v>233</v>
      </c>
      <c r="B4" s="63" t="s">
        <v>133</v>
      </c>
      <c r="C4" s="63" t="s">
        <v>245</v>
      </c>
      <c r="D4" s="59">
        <v>42995.4</v>
      </c>
      <c r="E4" s="59">
        <f t="shared" si="0"/>
        <v>47294.94</v>
      </c>
    </row>
    <row r="5" spans="1:5" s="58" customFormat="1" ht="17.100000000000001" customHeight="1" outlineLevel="2">
      <c r="A5" s="38" t="s">
        <v>233</v>
      </c>
      <c r="B5" s="63" t="s">
        <v>134</v>
      </c>
      <c r="C5" s="63" t="s">
        <v>245</v>
      </c>
      <c r="D5" s="59">
        <v>93588.800000000003</v>
      </c>
      <c r="E5" s="59">
        <f t="shared" si="0"/>
        <v>102947.68</v>
      </c>
    </row>
    <row r="6" spans="1:5" s="58" customFormat="1" ht="17.100000000000001" customHeight="1" outlineLevel="2">
      <c r="A6" s="38" t="s">
        <v>233</v>
      </c>
      <c r="B6" s="63" t="s">
        <v>135</v>
      </c>
      <c r="C6" s="63" t="s">
        <v>245</v>
      </c>
      <c r="D6" s="59">
        <v>131567.6</v>
      </c>
      <c r="E6" s="59">
        <f t="shared" si="0"/>
        <v>144724.35999999999</v>
      </c>
    </row>
    <row r="7" spans="1:5" s="58" customFormat="1" ht="17.100000000000001" customHeight="1" outlineLevel="2">
      <c r="A7" s="38" t="s">
        <v>233</v>
      </c>
      <c r="B7" s="63" t="s">
        <v>136</v>
      </c>
      <c r="C7" s="63" t="s">
        <v>243</v>
      </c>
      <c r="D7" s="59">
        <v>16092</v>
      </c>
      <c r="E7" s="59">
        <f t="shared" si="0"/>
        <v>17701.2</v>
      </c>
    </row>
    <row r="8" spans="1:5" s="58" customFormat="1" ht="17.100000000000001" customHeight="1" outlineLevel="1">
      <c r="A8" s="60" t="s">
        <v>164</v>
      </c>
      <c r="B8" s="61"/>
      <c r="C8" s="61"/>
      <c r="D8" s="62">
        <f>SUM(D3:D7)</f>
        <v>494106.30000000005</v>
      </c>
      <c r="E8" s="62">
        <f>SUM(E3:E7)</f>
        <v>543516.92999999993</v>
      </c>
    </row>
    <row r="9" spans="1:5" s="58" customFormat="1" ht="11.25"/>
  </sheetData>
  <autoFilter ref="A2:E8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A4" sqref="A4:XFD72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52" t="s">
        <v>235</v>
      </c>
      <c r="B1" s="152"/>
      <c r="C1" s="152"/>
    </row>
    <row r="2" spans="1:3" ht="24.95" customHeight="1">
      <c r="A2" s="15" t="s">
        <v>163</v>
      </c>
      <c r="B2" s="15" t="s">
        <v>166</v>
      </c>
      <c r="C2" s="15" t="s">
        <v>167</v>
      </c>
    </row>
    <row r="3" spans="1:3" ht="24.95" customHeight="1">
      <c r="A3" s="16" t="s">
        <v>2</v>
      </c>
      <c r="B3" s="17">
        <v>145517</v>
      </c>
      <c r="C3" s="14">
        <f t="shared" ref="C3" si="0">B3*3</f>
        <v>436551</v>
      </c>
    </row>
    <row r="4" spans="1:3" ht="24.95" customHeight="1">
      <c r="A4" s="18" t="s">
        <v>165</v>
      </c>
      <c r="B4" s="19">
        <f>SUM(B3:B3)</f>
        <v>145517</v>
      </c>
      <c r="C4" s="19">
        <f>SUM(C3:C3)</f>
        <v>436551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A4" sqref="A4:XFD72"/>
    </sheetView>
  </sheetViews>
  <sheetFormatPr defaultRowHeight="14.25" outlineLevelRow="2"/>
  <cols>
    <col min="1" max="1" width="37.5" style="70" customWidth="1"/>
    <col min="2" max="2" width="11.625" style="71" customWidth="1"/>
    <col min="3" max="3" width="13.5" style="13" customWidth="1"/>
    <col min="4" max="5" width="7.625" style="13" customWidth="1"/>
    <col min="6" max="6" width="12.625" style="75" customWidth="1"/>
    <col min="7" max="7" width="15.75" style="76" customWidth="1"/>
    <col min="8" max="8" width="6.25" style="13" hidden="1" customWidth="1"/>
    <col min="9" max="9" width="25.875" style="13" hidden="1" customWidth="1"/>
    <col min="10" max="10" width="31.25" style="74" customWidth="1"/>
    <col min="11" max="16384" width="9" style="13"/>
  </cols>
  <sheetData>
    <row r="1" spans="1:10" ht="32.1" customHeight="1">
      <c r="A1" s="153" t="s">
        <v>241</v>
      </c>
      <c r="B1" s="153"/>
      <c r="C1" s="153"/>
      <c r="D1" s="153"/>
      <c r="E1" s="153"/>
      <c r="F1" s="153"/>
      <c r="G1" s="153"/>
      <c r="H1" s="153"/>
      <c r="I1" s="153"/>
      <c r="J1" s="153"/>
    </row>
    <row r="2" spans="1:10" ht="14.1" customHeight="1">
      <c r="A2" s="77" t="s">
        <v>182</v>
      </c>
      <c r="B2" s="77" t="s">
        <v>183</v>
      </c>
      <c r="C2" s="78" t="s">
        <v>184</v>
      </c>
      <c r="D2" s="77" t="s">
        <v>185</v>
      </c>
      <c r="E2" s="77" t="s">
        <v>186</v>
      </c>
      <c r="F2" s="79" t="s">
        <v>187</v>
      </c>
      <c r="G2" s="80" t="s">
        <v>188</v>
      </c>
      <c r="H2" s="77" t="s">
        <v>189</v>
      </c>
      <c r="I2" s="81" t="s">
        <v>190</v>
      </c>
      <c r="J2" s="78" t="s">
        <v>190</v>
      </c>
    </row>
    <row r="3" spans="1:10" s="39" customFormat="1" ht="14.1" customHeight="1" outlineLevel="2">
      <c r="A3" s="82" t="s">
        <v>203</v>
      </c>
      <c r="B3" s="83" t="s">
        <v>202</v>
      </c>
      <c r="C3" s="88" t="s">
        <v>195</v>
      </c>
      <c r="D3" s="84">
        <v>1</v>
      </c>
      <c r="E3" s="88">
        <v>5</v>
      </c>
      <c r="F3" s="85">
        <v>105000</v>
      </c>
      <c r="G3" s="85">
        <f t="shared" ref="G3:G8" si="0">F3*E3</f>
        <v>525000</v>
      </c>
      <c r="H3" s="83" t="s">
        <v>196</v>
      </c>
      <c r="I3" s="84"/>
      <c r="J3" s="40"/>
    </row>
    <row r="4" spans="1:10" s="39" customFormat="1" ht="14.1" customHeight="1" outlineLevel="2">
      <c r="A4" s="87" t="s">
        <v>194</v>
      </c>
      <c r="B4" s="83" t="s">
        <v>191</v>
      </c>
      <c r="C4" s="88" t="s">
        <v>195</v>
      </c>
      <c r="D4" s="84">
        <v>1</v>
      </c>
      <c r="E4" s="88">
        <v>5</v>
      </c>
      <c r="F4" s="85">
        <v>105000</v>
      </c>
      <c r="G4" s="85">
        <f t="shared" si="0"/>
        <v>525000</v>
      </c>
      <c r="H4" s="83" t="s">
        <v>196</v>
      </c>
      <c r="I4" s="84"/>
      <c r="J4" s="40"/>
    </row>
    <row r="5" spans="1:10" s="39" customFormat="1" ht="14.1" customHeight="1" outlineLevel="2">
      <c r="A5" s="82" t="s">
        <v>197</v>
      </c>
      <c r="B5" s="83" t="s">
        <v>191</v>
      </c>
      <c r="C5" s="88" t="s">
        <v>195</v>
      </c>
      <c r="D5" s="84">
        <v>1</v>
      </c>
      <c r="E5" s="88">
        <v>5</v>
      </c>
      <c r="F5" s="85">
        <v>105000</v>
      </c>
      <c r="G5" s="85">
        <f t="shared" si="0"/>
        <v>525000</v>
      </c>
      <c r="H5" s="83" t="s">
        <v>196</v>
      </c>
      <c r="I5" s="84"/>
      <c r="J5" s="40"/>
    </row>
    <row r="6" spans="1:10" s="39" customFormat="1" ht="14.1" customHeight="1" outlineLevel="2">
      <c r="A6" s="87" t="s">
        <v>198</v>
      </c>
      <c r="B6" s="83" t="s">
        <v>191</v>
      </c>
      <c r="C6" s="88" t="s">
        <v>195</v>
      </c>
      <c r="D6" s="84">
        <v>1</v>
      </c>
      <c r="E6" s="88">
        <v>5</v>
      </c>
      <c r="F6" s="85">
        <v>105000</v>
      </c>
      <c r="G6" s="85">
        <f t="shared" si="0"/>
        <v>525000</v>
      </c>
      <c r="H6" s="83" t="s">
        <v>196</v>
      </c>
      <c r="I6" s="84" t="s">
        <v>199</v>
      </c>
      <c r="J6" s="40"/>
    </row>
    <row r="7" spans="1:10" s="39" customFormat="1" ht="14.1" customHeight="1" outlineLevel="2">
      <c r="A7" s="87" t="s">
        <v>200</v>
      </c>
      <c r="B7" s="83" t="s">
        <v>191</v>
      </c>
      <c r="C7" s="88" t="s">
        <v>195</v>
      </c>
      <c r="D7" s="84">
        <v>1</v>
      </c>
      <c r="E7" s="88">
        <v>5</v>
      </c>
      <c r="F7" s="85">
        <v>105000</v>
      </c>
      <c r="G7" s="85">
        <f t="shared" si="0"/>
        <v>525000</v>
      </c>
      <c r="H7" s="83" t="s">
        <v>196</v>
      </c>
      <c r="I7" s="84"/>
      <c r="J7" s="89"/>
    </row>
    <row r="8" spans="1:10" s="39" customFormat="1" ht="14.1" customHeight="1" outlineLevel="2">
      <c r="A8" s="82" t="s">
        <v>201</v>
      </c>
      <c r="B8" s="83" t="s">
        <v>192</v>
      </c>
      <c r="C8" s="88" t="s">
        <v>195</v>
      </c>
      <c r="D8" s="84">
        <v>1</v>
      </c>
      <c r="E8" s="88">
        <v>5</v>
      </c>
      <c r="F8" s="85">
        <v>105000</v>
      </c>
      <c r="G8" s="85">
        <f t="shared" si="0"/>
        <v>525000</v>
      </c>
      <c r="H8" s="83" t="s">
        <v>196</v>
      </c>
      <c r="I8" s="91" t="s">
        <v>193</v>
      </c>
      <c r="J8" s="40"/>
    </row>
    <row r="9" spans="1:10" s="39" customFormat="1" ht="14.1" customHeight="1" outlineLevel="2">
      <c r="A9" s="90" t="s">
        <v>204</v>
      </c>
      <c r="B9" s="83" t="s">
        <v>236</v>
      </c>
      <c r="C9" s="88" t="s">
        <v>237</v>
      </c>
      <c r="D9" s="84">
        <v>1</v>
      </c>
      <c r="E9" s="84">
        <v>5</v>
      </c>
      <c r="F9" s="86">
        <v>105000</v>
      </c>
      <c r="G9" s="86">
        <f t="shared" ref="G9:G10" si="1">ROUND(F9*E9,2)</f>
        <v>525000</v>
      </c>
      <c r="H9" s="83"/>
      <c r="I9" s="84"/>
      <c r="J9" s="40"/>
    </row>
    <row r="10" spans="1:10" s="39" customFormat="1" ht="14.1" customHeight="1" outlineLevel="2">
      <c r="A10" s="90" t="s">
        <v>239</v>
      </c>
      <c r="B10" s="83" t="s">
        <v>236</v>
      </c>
      <c r="C10" s="83" t="s">
        <v>238</v>
      </c>
      <c r="D10" s="84">
        <v>1</v>
      </c>
      <c r="E10" s="84">
        <v>5</v>
      </c>
      <c r="F10" s="86">
        <v>105000</v>
      </c>
      <c r="G10" s="86">
        <f t="shared" si="1"/>
        <v>525000</v>
      </c>
      <c r="H10" s="83"/>
      <c r="I10" s="84"/>
      <c r="J10" s="40"/>
    </row>
    <row r="11" spans="1:10" s="39" customFormat="1" ht="14.1" customHeight="1" outlineLevel="1">
      <c r="A11" s="90"/>
      <c r="B11" s="83"/>
      <c r="C11" s="92" t="s">
        <v>240</v>
      </c>
      <c r="D11" s="84">
        <f>SUBTOTAL(9,D3:D10)</f>
        <v>8</v>
      </c>
      <c r="E11" s="84">
        <f>SUBTOTAL(9,E3:E10)</f>
        <v>40</v>
      </c>
      <c r="F11" s="86"/>
      <c r="G11" s="86">
        <f>SUBTOTAL(9,G3:G10)</f>
        <v>4200000</v>
      </c>
      <c r="H11" s="83"/>
      <c r="I11" s="84"/>
      <c r="J11" s="40"/>
    </row>
    <row r="12" spans="1:10">
      <c r="F12" s="72"/>
      <c r="G12" s="73"/>
    </row>
    <row r="13" spans="1:10">
      <c r="F13" s="72"/>
      <c r="G13" s="73"/>
    </row>
  </sheetData>
  <autoFilter ref="A2:J11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8"/>
  <sheetViews>
    <sheetView topLeftCell="B1" workbookViewId="0">
      <pane xSplit="2" ySplit="1" topLeftCell="D2" activePane="bottomRight" state="frozen"/>
      <selection activeCell="A4" sqref="A4:XFD72"/>
      <selection pane="topRight" activeCell="A4" sqref="A4:XFD72"/>
      <selection pane="bottomLeft" activeCell="A4" sqref="A4:XFD72"/>
      <selection pane="bottomRight" activeCell="A4" sqref="A4:XFD72"/>
    </sheetView>
  </sheetViews>
  <sheetFormatPr defaultColWidth="9" defaultRowHeight="11.25"/>
  <cols>
    <col min="1" max="1" width="8.125" style="41" hidden="1" customWidth="1"/>
    <col min="2" max="2" width="20.375" style="41" customWidth="1"/>
    <col min="3" max="3" width="5.75" style="41" customWidth="1"/>
    <col min="4" max="4" width="9.75" style="41" hidden="1" customWidth="1"/>
    <col min="5" max="18" width="9" style="41" hidden="1" customWidth="1"/>
    <col min="19" max="19" width="9" style="55" hidden="1" customWidth="1"/>
    <col min="20" max="23" width="9" style="41" hidden="1" customWidth="1"/>
    <col min="24" max="24" width="9" style="55" hidden="1" customWidth="1"/>
    <col min="25" max="25" width="8.375" style="41" customWidth="1"/>
    <col min="26" max="26" width="9.625" style="41" customWidth="1"/>
    <col min="27" max="27" width="9.375" style="41" customWidth="1"/>
    <col min="28" max="28" width="12.5" style="41" customWidth="1"/>
    <col min="29" max="29" width="9.875" style="41" customWidth="1"/>
    <col min="30" max="30" width="11.625" style="41" customWidth="1"/>
    <col min="31" max="31" width="10.5" style="41" customWidth="1"/>
    <col min="32" max="32" width="10.875" style="41" customWidth="1"/>
    <col min="33" max="33" width="11.375" style="41" customWidth="1"/>
    <col min="34" max="34" width="11.625" style="41" customWidth="1"/>
    <col min="35" max="35" width="11.375" style="41" customWidth="1"/>
    <col min="36" max="36" width="9.5" style="41" bestFit="1" customWidth="1"/>
    <col min="37" max="37" width="11" style="41" customWidth="1"/>
    <col min="38" max="38" width="12.125" style="41" customWidth="1"/>
    <col min="39" max="39" width="12.5" style="51" customWidth="1"/>
    <col min="40" max="40" width="10.5" style="68" customWidth="1"/>
    <col min="41" max="41" width="13" style="69" bestFit="1" customWidth="1"/>
    <col min="42" max="16384" width="9" style="41"/>
  </cols>
  <sheetData>
    <row r="1" spans="1:41" ht="18.75">
      <c r="A1" s="156" t="s">
        <v>246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8"/>
      <c r="AO1" s="158"/>
    </row>
    <row r="2" spans="1:41" ht="11.25" customHeight="1">
      <c r="A2" s="159" t="s">
        <v>205</v>
      </c>
      <c r="B2" s="159" t="s">
        <v>206</v>
      </c>
      <c r="C2" s="159" t="s">
        <v>242</v>
      </c>
      <c r="D2" s="159" t="s">
        <v>207</v>
      </c>
      <c r="E2" s="159" t="s">
        <v>208</v>
      </c>
      <c r="F2" s="159"/>
      <c r="G2" s="159"/>
      <c r="H2" s="159"/>
      <c r="I2" s="159"/>
      <c r="J2" s="159" t="s">
        <v>247</v>
      </c>
      <c r="K2" s="159"/>
      <c r="L2" s="159"/>
      <c r="M2" s="159"/>
      <c r="N2" s="159"/>
      <c r="O2" s="160" t="s">
        <v>209</v>
      </c>
      <c r="P2" s="160"/>
      <c r="Q2" s="160"/>
      <c r="R2" s="160"/>
      <c r="S2" s="160"/>
      <c r="T2" s="160" t="s">
        <v>210</v>
      </c>
      <c r="U2" s="160"/>
      <c r="V2" s="160"/>
      <c r="W2" s="160"/>
      <c r="X2" s="160"/>
      <c r="Y2" s="160" t="s">
        <v>211</v>
      </c>
      <c r="Z2" s="160"/>
      <c r="AA2" s="160"/>
      <c r="AB2" s="160"/>
      <c r="AC2" s="160"/>
      <c r="AD2" s="159" t="s">
        <v>248</v>
      </c>
      <c r="AE2" s="159"/>
      <c r="AF2" s="159"/>
      <c r="AG2" s="159"/>
      <c r="AH2" s="159"/>
      <c r="AI2" s="159"/>
      <c r="AJ2" s="159"/>
      <c r="AK2" s="159"/>
      <c r="AL2" s="159"/>
      <c r="AM2" s="159"/>
      <c r="AN2" s="154" t="s">
        <v>249</v>
      </c>
      <c r="AO2" s="154" t="s">
        <v>165</v>
      </c>
    </row>
    <row r="3" spans="1:41" ht="33.75">
      <c r="A3" s="159"/>
      <c r="B3" s="159"/>
      <c r="C3" s="159"/>
      <c r="D3" s="159"/>
      <c r="E3" s="42" t="s">
        <v>212</v>
      </c>
      <c r="F3" s="42" t="s">
        <v>213</v>
      </c>
      <c r="G3" s="42" t="s">
        <v>214</v>
      </c>
      <c r="H3" s="42" t="s">
        <v>215</v>
      </c>
      <c r="I3" s="94" t="s">
        <v>7</v>
      </c>
      <c r="J3" s="42" t="s">
        <v>212</v>
      </c>
      <c r="K3" s="42" t="s">
        <v>213</v>
      </c>
      <c r="L3" s="42" t="s">
        <v>214</v>
      </c>
      <c r="M3" s="42" t="s">
        <v>215</v>
      </c>
      <c r="N3" s="94" t="s">
        <v>7</v>
      </c>
      <c r="O3" s="42" t="s">
        <v>212</v>
      </c>
      <c r="P3" s="42" t="s">
        <v>213</v>
      </c>
      <c r="Q3" s="42" t="s">
        <v>214</v>
      </c>
      <c r="R3" s="42" t="s">
        <v>215</v>
      </c>
      <c r="S3" s="53" t="s">
        <v>7</v>
      </c>
      <c r="T3" s="42" t="s">
        <v>212</v>
      </c>
      <c r="U3" s="42" t="s">
        <v>213</v>
      </c>
      <c r="V3" s="42" t="s">
        <v>214</v>
      </c>
      <c r="W3" s="42" t="s">
        <v>215</v>
      </c>
      <c r="X3" s="53" t="s">
        <v>7</v>
      </c>
      <c r="Y3" s="42" t="s">
        <v>212</v>
      </c>
      <c r="Z3" s="42" t="s">
        <v>213</v>
      </c>
      <c r="AA3" s="42" t="s">
        <v>214</v>
      </c>
      <c r="AB3" s="42" t="s">
        <v>215</v>
      </c>
      <c r="AC3" s="94" t="s">
        <v>7</v>
      </c>
      <c r="AD3" s="42" t="s">
        <v>216</v>
      </c>
      <c r="AE3" s="42" t="s">
        <v>217</v>
      </c>
      <c r="AF3" s="42" t="s">
        <v>218</v>
      </c>
      <c r="AG3" s="42" t="s">
        <v>219</v>
      </c>
      <c r="AH3" s="42" t="s">
        <v>220</v>
      </c>
      <c r="AI3" s="42" t="s">
        <v>250</v>
      </c>
      <c r="AJ3" s="42" t="s">
        <v>251</v>
      </c>
      <c r="AK3" s="42" t="s">
        <v>227</v>
      </c>
      <c r="AL3" s="42" t="s">
        <v>221</v>
      </c>
      <c r="AM3" s="48" t="s">
        <v>252</v>
      </c>
      <c r="AN3" s="155"/>
      <c r="AO3" s="155"/>
    </row>
    <row r="4" spans="1:41" ht="18" customHeight="1">
      <c r="A4" s="43" t="s">
        <v>2</v>
      </c>
      <c r="B4" s="44" t="s">
        <v>223</v>
      </c>
      <c r="C4" s="44" t="s">
        <v>222</v>
      </c>
      <c r="D4" s="45">
        <v>2</v>
      </c>
      <c r="E4" s="46">
        <v>14.017094017093996</v>
      </c>
      <c r="F4" s="46">
        <v>3</v>
      </c>
      <c r="G4" s="46">
        <v>37.362499999999997</v>
      </c>
      <c r="H4" s="46">
        <v>4</v>
      </c>
      <c r="I4" s="46">
        <f t="shared" ref="I4:I7" si="0">SUM(E4:H4)</f>
        <v>58.379594017093993</v>
      </c>
      <c r="J4" s="45">
        <v>6</v>
      </c>
      <c r="K4" s="45">
        <v>1</v>
      </c>
      <c r="L4" s="45">
        <v>4</v>
      </c>
      <c r="M4" s="45">
        <v>0</v>
      </c>
      <c r="N4" s="46">
        <f t="shared" ref="N4:N7" si="1">SUM(J4:M4)</f>
        <v>11</v>
      </c>
      <c r="O4" s="46">
        <f t="shared" ref="O4:R7" si="2">E4+J4</f>
        <v>20.017094017093996</v>
      </c>
      <c r="P4" s="46">
        <f t="shared" si="2"/>
        <v>4</v>
      </c>
      <c r="Q4" s="46">
        <f t="shared" si="2"/>
        <v>41.362499999999997</v>
      </c>
      <c r="R4" s="46">
        <f t="shared" si="2"/>
        <v>4</v>
      </c>
      <c r="S4" s="54">
        <f t="shared" ref="S4:S7" si="3">SUM(O4:R4)</f>
        <v>69.379594017093993</v>
      </c>
      <c r="T4" s="45">
        <v>15</v>
      </c>
      <c r="U4" s="45">
        <v>3</v>
      </c>
      <c r="V4" s="45">
        <v>37</v>
      </c>
      <c r="W4" s="45">
        <v>4</v>
      </c>
      <c r="X4" s="54">
        <f t="shared" ref="X4:X7" si="4">SUM(T4:W4)</f>
        <v>59</v>
      </c>
      <c r="Y4" s="45">
        <v>15</v>
      </c>
      <c r="Z4" s="45">
        <v>3</v>
      </c>
      <c r="AA4" s="45">
        <v>37</v>
      </c>
      <c r="AB4" s="45">
        <v>4</v>
      </c>
      <c r="AC4" s="46">
        <f t="shared" ref="AC4:AC7" si="5">SUM(Y4:AB4)</f>
        <v>59</v>
      </c>
      <c r="AD4" s="46">
        <f>(Y4*7050+Z4*6485+AA4*5800+AB4*4900)*12</f>
        <v>4312860</v>
      </c>
      <c r="AE4" s="46">
        <f t="shared" ref="AE4:AE7" si="6">AC4*4320</f>
        <v>254880</v>
      </c>
      <c r="AF4" s="46">
        <f t="shared" ref="AF4:AF7" si="7">AC4*6000</f>
        <v>354000</v>
      </c>
      <c r="AG4" s="46">
        <f t="shared" ref="AG4:AG7" si="8">AC4*2400</f>
        <v>141600</v>
      </c>
      <c r="AH4" s="46">
        <f t="shared" ref="AH4:AH7" si="9">AC4*9400</f>
        <v>554600</v>
      </c>
      <c r="AI4" s="46">
        <f t="shared" ref="AI4:AI7" si="10">AC4*800</f>
        <v>47200</v>
      </c>
      <c r="AJ4" s="46">
        <f t="shared" ref="AJ4:AJ7" si="11">D4*50*200</f>
        <v>20000</v>
      </c>
      <c r="AK4" s="46">
        <f t="shared" ref="AK4:AK7" si="12">AC4*960</f>
        <v>56640</v>
      </c>
      <c r="AL4" s="46">
        <f t="shared" ref="AL4:AL7" si="13">ROUND((7384*0.34256*AC4*12),2)</f>
        <v>1790859.83</v>
      </c>
      <c r="AM4" s="46">
        <f t="shared" ref="AM4:AM7" si="14">ROUND(SUM(AD4:AL4),0)</f>
        <v>7532640</v>
      </c>
      <c r="AN4" s="65"/>
      <c r="AO4" s="67">
        <f>AM4+AN4</f>
        <v>7532640</v>
      </c>
    </row>
    <row r="5" spans="1:41" s="47" customFormat="1" ht="18" customHeight="1">
      <c r="A5" s="43" t="s">
        <v>2</v>
      </c>
      <c r="B5" s="44" t="s">
        <v>224</v>
      </c>
      <c r="C5" s="44" t="s">
        <v>222</v>
      </c>
      <c r="D5" s="45">
        <v>1</v>
      </c>
      <c r="E5" s="46">
        <v>2.8717948717948971</v>
      </c>
      <c r="F5" s="46">
        <v>3</v>
      </c>
      <c r="G5" s="46">
        <v>20.100000000000001</v>
      </c>
      <c r="H5" s="46">
        <v>3</v>
      </c>
      <c r="I5" s="46">
        <f t="shared" si="0"/>
        <v>28.971794871794899</v>
      </c>
      <c r="J5" s="45">
        <v>3</v>
      </c>
      <c r="K5" s="45">
        <v>0</v>
      </c>
      <c r="L5" s="45">
        <v>2</v>
      </c>
      <c r="M5" s="45">
        <v>0</v>
      </c>
      <c r="N5" s="46">
        <f t="shared" si="1"/>
        <v>5</v>
      </c>
      <c r="O5" s="46">
        <f t="shared" si="2"/>
        <v>5.8717948717948971</v>
      </c>
      <c r="P5" s="46">
        <f t="shared" si="2"/>
        <v>3</v>
      </c>
      <c r="Q5" s="46">
        <f t="shared" si="2"/>
        <v>22.1</v>
      </c>
      <c r="R5" s="46">
        <f t="shared" si="2"/>
        <v>3</v>
      </c>
      <c r="S5" s="54">
        <f t="shared" si="3"/>
        <v>33.971794871794899</v>
      </c>
      <c r="T5" s="45">
        <v>3</v>
      </c>
      <c r="U5" s="45">
        <v>3</v>
      </c>
      <c r="V5" s="45">
        <v>21</v>
      </c>
      <c r="W5" s="45">
        <v>2</v>
      </c>
      <c r="X5" s="54">
        <f t="shared" si="4"/>
        <v>29</v>
      </c>
      <c r="Y5" s="45">
        <v>3</v>
      </c>
      <c r="Z5" s="45">
        <v>3</v>
      </c>
      <c r="AA5" s="45">
        <v>21</v>
      </c>
      <c r="AB5" s="45">
        <v>2</v>
      </c>
      <c r="AC5" s="46">
        <f t="shared" si="5"/>
        <v>29</v>
      </c>
      <c r="AD5" s="46">
        <f>(Y5*7050+Z5*6485+AA5*5800+AB5*4900)*12</f>
        <v>2066460</v>
      </c>
      <c r="AE5" s="46">
        <f t="shared" si="6"/>
        <v>125280</v>
      </c>
      <c r="AF5" s="46">
        <f t="shared" si="7"/>
        <v>174000</v>
      </c>
      <c r="AG5" s="46">
        <f t="shared" si="8"/>
        <v>69600</v>
      </c>
      <c r="AH5" s="46">
        <f t="shared" si="9"/>
        <v>272600</v>
      </c>
      <c r="AI5" s="46">
        <f t="shared" si="10"/>
        <v>23200</v>
      </c>
      <c r="AJ5" s="46">
        <f t="shared" si="11"/>
        <v>10000</v>
      </c>
      <c r="AK5" s="46">
        <f t="shared" si="12"/>
        <v>27840</v>
      </c>
      <c r="AL5" s="46">
        <f t="shared" si="13"/>
        <v>880253.14</v>
      </c>
      <c r="AM5" s="46">
        <f t="shared" si="14"/>
        <v>3649233</v>
      </c>
      <c r="AN5" s="66"/>
      <c r="AO5" s="67">
        <f t="shared" ref="AO5:AO7" si="15">AM5+AN5</f>
        <v>3649233</v>
      </c>
    </row>
    <row r="6" spans="1:41" s="47" customFormat="1" ht="18" customHeight="1">
      <c r="A6" s="43" t="s">
        <v>2</v>
      </c>
      <c r="B6" s="44" t="s">
        <v>133</v>
      </c>
      <c r="C6" s="44" t="s">
        <v>222</v>
      </c>
      <c r="D6" s="45">
        <v>1</v>
      </c>
      <c r="E6" s="46">
        <v>0</v>
      </c>
      <c r="F6" s="46">
        <v>1</v>
      </c>
      <c r="G6" s="46">
        <v>6.5625</v>
      </c>
      <c r="H6" s="46">
        <v>1</v>
      </c>
      <c r="I6" s="46">
        <f t="shared" si="0"/>
        <v>8.5625</v>
      </c>
      <c r="J6" s="45">
        <v>0</v>
      </c>
      <c r="K6" s="45">
        <v>0</v>
      </c>
      <c r="L6" s="45">
        <v>0</v>
      </c>
      <c r="M6" s="45">
        <v>0</v>
      </c>
      <c r="N6" s="46">
        <f t="shared" si="1"/>
        <v>0</v>
      </c>
      <c r="O6" s="46">
        <f t="shared" si="2"/>
        <v>0</v>
      </c>
      <c r="P6" s="46">
        <f t="shared" si="2"/>
        <v>1</v>
      </c>
      <c r="Q6" s="46">
        <f t="shared" si="2"/>
        <v>6.5625</v>
      </c>
      <c r="R6" s="46">
        <f t="shared" si="2"/>
        <v>1</v>
      </c>
      <c r="S6" s="54">
        <f t="shared" si="3"/>
        <v>8.5625</v>
      </c>
      <c r="T6" s="45">
        <v>0</v>
      </c>
      <c r="U6" s="45">
        <v>1</v>
      </c>
      <c r="V6" s="45">
        <v>7</v>
      </c>
      <c r="W6" s="45">
        <v>0</v>
      </c>
      <c r="X6" s="54">
        <f t="shared" si="4"/>
        <v>8</v>
      </c>
      <c r="Y6" s="45">
        <v>0</v>
      </c>
      <c r="Z6" s="45">
        <v>1</v>
      </c>
      <c r="AA6" s="45">
        <v>7</v>
      </c>
      <c r="AB6" s="45">
        <v>0</v>
      </c>
      <c r="AC6" s="46">
        <f t="shared" si="5"/>
        <v>8</v>
      </c>
      <c r="AD6" s="46">
        <f>(Y6*7050+Z6*6485+AA6*5800+AB6*4900)*12</f>
        <v>565020</v>
      </c>
      <c r="AE6" s="46">
        <f t="shared" si="6"/>
        <v>34560</v>
      </c>
      <c r="AF6" s="46">
        <f t="shared" si="7"/>
        <v>48000</v>
      </c>
      <c r="AG6" s="46">
        <f t="shared" si="8"/>
        <v>19200</v>
      </c>
      <c r="AH6" s="46">
        <f t="shared" si="9"/>
        <v>75200</v>
      </c>
      <c r="AI6" s="46">
        <f t="shared" si="10"/>
        <v>6400</v>
      </c>
      <c r="AJ6" s="46">
        <f t="shared" si="11"/>
        <v>10000</v>
      </c>
      <c r="AK6" s="46">
        <f t="shared" si="12"/>
        <v>7680</v>
      </c>
      <c r="AL6" s="46">
        <f t="shared" si="13"/>
        <v>242828.45</v>
      </c>
      <c r="AM6" s="46">
        <f t="shared" si="14"/>
        <v>1008888</v>
      </c>
      <c r="AN6" s="66"/>
      <c r="AO6" s="67">
        <f t="shared" si="15"/>
        <v>1008888</v>
      </c>
    </row>
    <row r="7" spans="1:41" ht="18" customHeight="1">
      <c r="A7" s="43" t="s">
        <v>2</v>
      </c>
      <c r="B7" s="44" t="s">
        <v>225</v>
      </c>
      <c r="C7" s="45" t="s">
        <v>244</v>
      </c>
      <c r="D7" s="45"/>
      <c r="E7" s="46">
        <v>5.3793103448276014</v>
      </c>
      <c r="F7" s="46">
        <v>9</v>
      </c>
      <c r="G7" s="46">
        <v>0</v>
      </c>
      <c r="H7" s="46">
        <v>5.5</v>
      </c>
      <c r="I7" s="46">
        <f t="shared" si="0"/>
        <v>19.879310344827601</v>
      </c>
      <c r="J7" s="45">
        <v>3</v>
      </c>
      <c r="K7" s="45">
        <v>0</v>
      </c>
      <c r="L7" s="45">
        <v>0</v>
      </c>
      <c r="M7" s="45">
        <v>0</v>
      </c>
      <c r="N7" s="46">
        <f t="shared" si="1"/>
        <v>3</v>
      </c>
      <c r="O7" s="46">
        <f t="shared" si="2"/>
        <v>8.3793103448276014</v>
      </c>
      <c r="P7" s="46">
        <f t="shared" si="2"/>
        <v>9</v>
      </c>
      <c r="Q7" s="46">
        <f t="shared" si="2"/>
        <v>0</v>
      </c>
      <c r="R7" s="46">
        <f t="shared" si="2"/>
        <v>5.5</v>
      </c>
      <c r="S7" s="54">
        <f t="shared" si="3"/>
        <v>22.879310344827601</v>
      </c>
      <c r="T7" s="45">
        <v>2</v>
      </c>
      <c r="U7" s="45">
        <v>3</v>
      </c>
      <c r="V7" s="45">
        <v>0</v>
      </c>
      <c r="W7" s="45">
        <v>6</v>
      </c>
      <c r="X7" s="54">
        <f t="shared" si="4"/>
        <v>11</v>
      </c>
      <c r="Y7" s="45">
        <v>2</v>
      </c>
      <c r="Z7" s="45">
        <v>3</v>
      </c>
      <c r="AA7" s="45">
        <v>0</v>
      </c>
      <c r="AB7" s="45">
        <v>6</v>
      </c>
      <c r="AC7" s="46">
        <f t="shared" si="5"/>
        <v>11</v>
      </c>
      <c r="AD7" s="46">
        <f>(Y7*7050+Z7*6485+AA7*5800+AB7*4900)*12</f>
        <v>755460</v>
      </c>
      <c r="AE7" s="46">
        <f t="shared" si="6"/>
        <v>47520</v>
      </c>
      <c r="AF7" s="46">
        <f t="shared" si="7"/>
        <v>66000</v>
      </c>
      <c r="AG7" s="46">
        <f t="shared" si="8"/>
        <v>26400</v>
      </c>
      <c r="AH7" s="46">
        <f t="shared" si="9"/>
        <v>103400</v>
      </c>
      <c r="AI7" s="46">
        <f t="shared" si="10"/>
        <v>8800</v>
      </c>
      <c r="AJ7" s="46">
        <f t="shared" si="11"/>
        <v>0</v>
      </c>
      <c r="AK7" s="46">
        <f t="shared" si="12"/>
        <v>10560</v>
      </c>
      <c r="AL7" s="46">
        <f t="shared" si="13"/>
        <v>333889.12</v>
      </c>
      <c r="AM7" s="46">
        <f t="shared" si="14"/>
        <v>1352029</v>
      </c>
      <c r="AN7" s="65">
        <v>35062.5</v>
      </c>
      <c r="AO7" s="65">
        <f t="shared" si="15"/>
        <v>1387091.5</v>
      </c>
    </row>
    <row r="8" spans="1:41" s="49" customFormat="1" ht="18" customHeight="1">
      <c r="A8" s="93"/>
      <c r="B8" s="93" t="s">
        <v>226</v>
      </c>
      <c r="C8" s="93"/>
      <c r="D8" s="48">
        <f>SUM(D4:D7)</f>
        <v>4</v>
      </c>
      <c r="E8" s="48">
        <f>SUM(E4:E7)</f>
        <v>22.268199233716494</v>
      </c>
      <c r="F8" s="48">
        <f>SUM(F4:F7)</f>
        <v>16</v>
      </c>
      <c r="G8" s="48">
        <f>SUM(G4:G7)</f>
        <v>64.025000000000006</v>
      </c>
      <c r="H8" s="48">
        <f>SUM(H4:H7)</f>
        <v>13.5</v>
      </c>
      <c r="I8" s="48">
        <f t="shared" ref="I8:AO8" si="16">SUM(I4:I7)</f>
        <v>115.79319923371649</v>
      </c>
      <c r="J8" s="48">
        <f t="shared" si="16"/>
        <v>12</v>
      </c>
      <c r="K8" s="48">
        <f t="shared" si="16"/>
        <v>1</v>
      </c>
      <c r="L8" s="48">
        <f t="shared" si="16"/>
        <v>6</v>
      </c>
      <c r="M8" s="48">
        <f t="shared" si="16"/>
        <v>0</v>
      </c>
      <c r="N8" s="48">
        <f t="shared" si="16"/>
        <v>19</v>
      </c>
      <c r="O8" s="48">
        <f t="shared" si="16"/>
        <v>34.268199233716494</v>
      </c>
      <c r="P8" s="48">
        <f t="shared" si="16"/>
        <v>17</v>
      </c>
      <c r="Q8" s="48">
        <f t="shared" si="16"/>
        <v>70.025000000000006</v>
      </c>
      <c r="R8" s="48">
        <f t="shared" si="16"/>
        <v>13.5</v>
      </c>
      <c r="S8" s="48">
        <f t="shared" si="16"/>
        <v>134.79319923371651</v>
      </c>
      <c r="T8" s="48">
        <f t="shared" si="16"/>
        <v>20</v>
      </c>
      <c r="U8" s="48">
        <f t="shared" si="16"/>
        <v>10</v>
      </c>
      <c r="V8" s="48">
        <f t="shared" si="16"/>
        <v>65</v>
      </c>
      <c r="W8" s="48">
        <f t="shared" si="16"/>
        <v>12</v>
      </c>
      <c r="X8" s="48">
        <f t="shared" si="16"/>
        <v>107</v>
      </c>
      <c r="Y8" s="48">
        <f t="shared" si="16"/>
        <v>20</v>
      </c>
      <c r="Z8" s="48">
        <f t="shared" si="16"/>
        <v>10</v>
      </c>
      <c r="AA8" s="48">
        <f t="shared" si="16"/>
        <v>65</v>
      </c>
      <c r="AB8" s="48">
        <f t="shared" si="16"/>
        <v>12</v>
      </c>
      <c r="AC8" s="48">
        <f t="shared" si="16"/>
        <v>107</v>
      </c>
      <c r="AD8" s="48">
        <f t="shared" si="16"/>
        <v>7699800</v>
      </c>
      <c r="AE8" s="48">
        <f t="shared" si="16"/>
        <v>462240</v>
      </c>
      <c r="AF8" s="48">
        <f t="shared" si="16"/>
        <v>642000</v>
      </c>
      <c r="AG8" s="48">
        <f t="shared" si="16"/>
        <v>256800</v>
      </c>
      <c r="AH8" s="48">
        <f t="shared" si="16"/>
        <v>1005800</v>
      </c>
      <c r="AI8" s="48">
        <f t="shared" si="16"/>
        <v>85600</v>
      </c>
      <c r="AJ8" s="48">
        <f t="shared" si="16"/>
        <v>40000</v>
      </c>
      <c r="AK8" s="48">
        <f t="shared" si="16"/>
        <v>102720</v>
      </c>
      <c r="AL8" s="48">
        <f t="shared" si="16"/>
        <v>3247830.5400000005</v>
      </c>
      <c r="AM8" s="48">
        <f t="shared" si="16"/>
        <v>13542790</v>
      </c>
      <c r="AN8" s="48">
        <f t="shared" si="16"/>
        <v>35062.5</v>
      </c>
      <c r="AO8" s="48">
        <f t="shared" si="16"/>
        <v>13577852.5</v>
      </c>
    </row>
  </sheetData>
  <autoFilter ref="A2:AN8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A4" sqref="A4:XFD72"/>
    </sheetView>
  </sheetViews>
  <sheetFormatPr defaultRowHeight="13.5" outlineLevelRow="2"/>
  <cols>
    <col min="1" max="1" width="9.625" style="103" customWidth="1"/>
    <col min="2" max="2" width="30" style="103" customWidth="1"/>
    <col min="3" max="5" width="15.625" style="103" customWidth="1"/>
    <col min="6" max="16384" width="9" style="103"/>
  </cols>
  <sheetData>
    <row r="1" spans="1:5" ht="35.25" customHeight="1">
      <c r="A1" s="161" t="s">
        <v>272</v>
      </c>
      <c r="B1" s="161"/>
      <c r="C1" s="161"/>
      <c r="D1" s="162"/>
      <c r="E1" s="162"/>
    </row>
    <row r="2" spans="1:5" s="105" customFormat="1" ht="18" customHeight="1">
      <c r="A2" s="98" t="s">
        <v>273</v>
      </c>
      <c r="B2" s="104" t="s">
        <v>274</v>
      </c>
      <c r="C2" s="104" t="s">
        <v>275</v>
      </c>
      <c r="D2" s="101" t="s">
        <v>276</v>
      </c>
      <c r="E2" s="101" t="s">
        <v>277</v>
      </c>
    </row>
    <row r="3" spans="1:5" ht="18" customHeight="1" outlineLevel="2">
      <c r="A3" s="106" t="s">
        <v>278</v>
      </c>
      <c r="B3" s="107" t="s">
        <v>132</v>
      </c>
      <c r="C3" s="108">
        <v>26524</v>
      </c>
      <c r="D3" s="109">
        <v>35062.5</v>
      </c>
      <c r="E3" s="109">
        <f t="shared" ref="E3:E4" si="0">C3-D3</f>
        <v>-8538.5</v>
      </c>
    </row>
    <row r="4" spans="1:5" ht="18" customHeight="1" outlineLevel="2">
      <c r="A4" s="106" t="s">
        <v>278</v>
      </c>
      <c r="B4" s="107" t="s">
        <v>269</v>
      </c>
      <c r="C4" s="108">
        <v>12252</v>
      </c>
      <c r="D4" s="109">
        <v>29775</v>
      </c>
      <c r="E4" s="109">
        <f t="shared" si="0"/>
        <v>-17523</v>
      </c>
    </row>
    <row r="5" spans="1:5" ht="18" customHeight="1" outlineLevel="1">
      <c r="A5" s="110" t="s">
        <v>164</v>
      </c>
      <c r="B5" s="107"/>
      <c r="C5" s="108">
        <f t="shared" ref="C5:E5" si="1">SUBTOTAL(9,C3:C4)</f>
        <v>38776</v>
      </c>
      <c r="D5" s="109">
        <f t="shared" si="1"/>
        <v>64837.5</v>
      </c>
      <c r="E5" s="109">
        <f t="shared" si="1"/>
        <v>-26061.5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吴泾镇</vt:lpstr>
      <vt:lpstr>吴泾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社区教育!Print_Area</vt:lpstr>
      <vt:lpstr>吴泾!Print_Area</vt:lpstr>
      <vt:lpstr>保安经费!Print_Titles</vt:lpstr>
      <vt:lpstr>补充公用经费!Print_Titles</vt:lpstr>
      <vt:lpstr>残疾就业保障!Print_Titles</vt:lpstr>
      <vt:lpstr>吴泾!Print_Titles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2025-01-02T07:51:18Z</cp:lastPrinted>
  <dcterms:created xsi:type="dcterms:W3CDTF">2022-11-10T02:18:00Z</dcterms:created>
  <dcterms:modified xsi:type="dcterms:W3CDTF">2025-02-17T05:52:45Z</dcterms:modified>
</cp:coreProperties>
</file>