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浦江镇" sheetId="68" r:id="rId1"/>
    <sheet name="浦江" sheetId="62" state="hidden" r:id="rId2"/>
    <sheet name="清算2024年绩效" sheetId="64" state="hidden" r:id="rId3"/>
    <sheet name="补缴年金" sheetId="67" state="hidden" r:id="rId4"/>
    <sheet name="残疾就业保障" sheetId="31" state="hidden" r:id="rId5"/>
    <sheet name="社区教育" sheetId="43" state="hidden" r:id="rId6"/>
    <sheet name="保安经费" sheetId="33" state="hidden" r:id="rId7"/>
    <sheet name="补充公用经费" sheetId="32" state="hidden" r:id="rId8"/>
    <sheet name="清算补充公用经费" sheetId="65" state="hidden" r:id="rId9"/>
  </sheets>
  <definedNames>
    <definedName name="_xlnm._FilterDatabase" localSheetId="6" hidden="1">保安经费!$A$2:$J$33</definedName>
    <definedName name="_xlnm._FilterDatabase" localSheetId="7" hidden="1">补充公用经费!$A$2:$AN$22</definedName>
    <definedName name="_xlnm._FilterDatabase" localSheetId="4" hidden="1">残疾就业保障!$A$2:$E$22</definedName>
    <definedName name="_xlnm.Print_Area" localSheetId="6">保安经费!$A$1:$J$33</definedName>
    <definedName name="_xlnm.Print_Area" localSheetId="7">补充公用经费!$A$1:$AO$22</definedName>
    <definedName name="_xlnm.Print_Area" localSheetId="4">残疾就业保障!$A$1:$E$22</definedName>
    <definedName name="_xlnm.Print_Area" localSheetId="1">浦江!$A$1:$X$72</definedName>
    <definedName name="_xlnm.Print_Area" localSheetId="5">社区教育!$A$1:$C$4</definedName>
    <definedName name="_xlnm.Print_Titles" localSheetId="6">保安经费!$1:$2</definedName>
    <definedName name="_xlnm.Print_Titles" localSheetId="7">补充公用经费!$1:$3</definedName>
    <definedName name="_xlnm.Print_Titles" localSheetId="4">残疾就业保障!$1:$2</definedName>
    <definedName name="_xlnm.Print_Titles" localSheetId="1">浦江!$1:$3</definedName>
  </definedNames>
  <calcPr calcId="124519"/>
</workbook>
</file>

<file path=xl/calcChain.xml><?xml version="1.0" encoding="utf-8"?>
<calcChain xmlns="http://schemas.openxmlformats.org/spreadsheetml/2006/main">
  <c r="D4" i="68"/>
  <c r="C11"/>
  <c r="C9"/>
  <c r="C8"/>
  <c r="E8" s="1"/>
  <c r="C7"/>
  <c r="E7" s="1"/>
  <c r="C6"/>
  <c r="C5"/>
  <c r="C4"/>
  <c r="E4" s="1"/>
  <c r="D12"/>
  <c r="E11"/>
  <c r="G10"/>
  <c r="E10"/>
  <c r="F9"/>
  <c r="F12" s="1"/>
  <c r="G8"/>
  <c r="E6"/>
  <c r="G5"/>
  <c r="E5"/>
  <c r="G6" l="1"/>
  <c r="E9"/>
  <c r="E12" s="1"/>
  <c r="C12"/>
  <c r="G7"/>
  <c r="G11"/>
  <c r="G4"/>
  <c r="G9"/>
  <c r="G12" l="1"/>
  <c r="J5" i="67"/>
  <c r="AD20" i="32" l="1"/>
  <c r="AD18"/>
  <c r="AD17"/>
  <c r="AD16"/>
  <c r="AD15"/>
  <c r="AD11"/>
  <c r="AD10"/>
  <c r="AD9"/>
  <c r="AD8"/>
  <c r="AD7"/>
  <c r="AD6"/>
  <c r="AD5"/>
  <c r="AD4"/>
  <c r="D13" i="65" l="1"/>
  <c r="C13"/>
  <c r="E12"/>
  <c r="E11"/>
  <c r="E10"/>
  <c r="E9"/>
  <c r="E8"/>
  <c r="E7"/>
  <c r="E6"/>
  <c r="E5"/>
  <c r="E4"/>
  <c r="E3"/>
  <c r="E13" l="1"/>
  <c r="L23" i="64" l="1"/>
  <c r="K23"/>
  <c r="J23"/>
  <c r="H23"/>
  <c r="G23"/>
  <c r="F23"/>
  <c r="P22"/>
  <c r="O22"/>
  <c r="N22"/>
  <c r="M22"/>
  <c r="I22"/>
  <c r="P21"/>
  <c r="O21"/>
  <c r="N21"/>
  <c r="M21"/>
  <c r="I21"/>
  <c r="P20"/>
  <c r="O20"/>
  <c r="N20"/>
  <c r="M20"/>
  <c r="I20"/>
  <c r="P19"/>
  <c r="O19"/>
  <c r="N19"/>
  <c r="M19"/>
  <c r="I19"/>
  <c r="Q19" s="1"/>
  <c r="P18"/>
  <c r="O18"/>
  <c r="N18"/>
  <c r="M18"/>
  <c r="I18"/>
  <c r="P17"/>
  <c r="O17"/>
  <c r="N17"/>
  <c r="M17"/>
  <c r="I17"/>
  <c r="P16"/>
  <c r="O16"/>
  <c r="N16"/>
  <c r="M16"/>
  <c r="I16"/>
  <c r="P15"/>
  <c r="O15"/>
  <c r="N15"/>
  <c r="M15"/>
  <c r="I15"/>
  <c r="Q15" s="1"/>
  <c r="P14"/>
  <c r="O14"/>
  <c r="N14"/>
  <c r="M14"/>
  <c r="I14"/>
  <c r="P13"/>
  <c r="O13"/>
  <c r="N13"/>
  <c r="M13"/>
  <c r="I13"/>
  <c r="P12"/>
  <c r="O12"/>
  <c r="N12"/>
  <c r="M12"/>
  <c r="I12"/>
  <c r="P11"/>
  <c r="O11"/>
  <c r="N11"/>
  <c r="M11"/>
  <c r="I11"/>
  <c r="Q11" s="1"/>
  <c r="P10"/>
  <c r="O10"/>
  <c r="N10"/>
  <c r="M10"/>
  <c r="I10"/>
  <c r="P9"/>
  <c r="O9"/>
  <c r="N9"/>
  <c r="M9"/>
  <c r="I9"/>
  <c r="P8"/>
  <c r="O8"/>
  <c r="N8"/>
  <c r="M8"/>
  <c r="I8"/>
  <c r="P7"/>
  <c r="O7"/>
  <c r="N7"/>
  <c r="M7"/>
  <c r="I7"/>
  <c r="Q7" s="1"/>
  <c r="P6"/>
  <c r="O6"/>
  <c r="N6"/>
  <c r="M6"/>
  <c r="I6"/>
  <c r="P5"/>
  <c r="O5"/>
  <c r="N5"/>
  <c r="M5"/>
  <c r="I5"/>
  <c r="P4"/>
  <c r="O4"/>
  <c r="N4"/>
  <c r="M4"/>
  <c r="I4"/>
  <c r="Q6" l="1"/>
  <c r="Q8"/>
  <c r="Q12"/>
  <c r="Q16"/>
  <c r="Q20"/>
  <c r="N23"/>
  <c r="Q14"/>
  <c r="Q18"/>
  <c r="Q22"/>
  <c r="Q10"/>
  <c r="M23"/>
  <c r="Q5"/>
  <c r="Q9"/>
  <c r="Q13"/>
  <c r="Q17"/>
  <c r="Q21"/>
  <c r="O23"/>
  <c r="P23"/>
  <c r="I23"/>
  <c r="Q4"/>
  <c r="Q23" l="1"/>
  <c r="P52" i="62" l="1"/>
  <c r="AC4" i="32"/>
  <c r="AF4" s="1"/>
  <c r="AJ4"/>
  <c r="AC5"/>
  <c r="AG5" s="1"/>
  <c r="AJ5"/>
  <c r="AC6"/>
  <c r="AG6" s="1"/>
  <c r="AH6"/>
  <c r="AJ6"/>
  <c r="AC7"/>
  <c r="AG7" s="1"/>
  <c r="AJ7"/>
  <c r="AL7"/>
  <c r="AC8"/>
  <c r="AG8" s="1"/>
  <c r="AJ8"/>
  <c r="AC9"/>
  <c r="AG9" s="1"/>
  <c r="AJ9"/>
  <c r="AC10"/>
  <c r="AG10" s="1"/>
  <c r="AJ10"/>
  <c r="AL10"/>
  <c r="AC11"/>
  <c r="AG11" s="1"/>
  <c r="AJ11"/>
  <c r="AD12"/>
  <c r="AC12"/>
  <c r="AG12" s="1"/>
  <c r="AH12"/>
  <c r="AJ12"/>
  <c r="AD13"/>
  <c r="AC13"/>
  <c r="AG13" s="1"/>
  <c r="AH13"/>
  <c r="AJ13"/>
  <c r="AL13"/>
  <c r="AD14"/>
  <c r="AC14"/>
  <c r="AG14" s="1"/>
  <c r="AH14"/>
  <c r="AJ14"/>
  <c r="AJ22" s="1"/>
  <c r="AC15"/>
  <c r="AG15" s="1"/>
  <c r="AJ15"/>
  <c r="AC16"/>
  <c r="AG16" s="1"/>
  <c r="AJ16"/>
  <c r="AC17"/>
  <c r="AG17" s="1"/>
  <c r="AJ17"/>
  <c r="AC18"/>
  <c r="AG18" s="1"/>
  <c r="AJ18"/>
  <c r="AD19"/>
  <c r="AC19"/>
  <c r="AG19" s="1"/>
  <c r="AH19"/>
  <c r="AJ19"/>
  <c r="AL19"/>
  <c r="AC20"/>
  <c r="AG20" s="1"/>
  <c r="AJ20"/>
  <c r="AL20"/>
  <c r="AD21"/>
  <c r="AC21"/>
  <c r="AG21" s="1"/>
  <c r="AH21"/>
  <c r="AJ21"/>
  <c r="AL21"/>
  <c r="AN22"/>
  <c r="AB22"/>
  <c r="AA22"/>
  <c r="Z22"/>
  <c r="Y22"/>
  <c r="X4"/>
  <c r="X5"/>
  <c r="X6"/>
  <c r="X7"/>
  <c r="X8"/>
  <c r="X9"/>
  <c r="X10"/>
  <c r="X11"/>
  <c r="X12"/>
  <c r="X13"/>
  <c r="X14"/>
  <c r="X15"/>
  <c r="X16"/>
  <c r="X17"/>
  <c r="X18"/>
  <c r="X19"/>
  <c r="X20"/>
  <c r="X21"/>
  <c r="W22"/>
  <c r="V22"/>
  <c r="U22"/>
  <c r="T22"/>
  <c r="O4"/>
  <c r="P4"/>
  <c r="Q4"/>
  <c r="R4"/>
  <c r="O5"/>
  <c r="P5"/>
  <c r="Q5"/>
  <c r="R5"/>
  <c r="O6"/>
  <c r="P6"/>
  <c r="Q6"/>
  <c r="R6"/>
  <c r="O7"/>
  <c r="P7"/>
  <c r="Q7"/>
  <c r="R7"/>
  <c r="O8"/>
  <c r="P8"/>
  <c r="Q8"/>
  <c r="R8"/>
  <c r="O9"/>
  <c r="P9"/>
  <c r="Q9"/>
  <c r="R9"/>
  <c r="O10"/>
  <c r="P10"/>
  <c r="Q10"/>
  <c r="R10"/>
  <c r="O11"/>
  <c r="P11"/>
  <c r="Q11"/>
  <c r="R11"/>
  <c r="O12"/>
  <c r="P12"/>
  <c r="Q12"/>
  <c r="R12"/>
  <c r="O13"/>
  <c r="P13"/>
  <c r="Q13"/>
  <c r="R13"/>
  <c r="O14"/>
  <c r="P14"/>
  <c r="Q14"/>
  <c r="R14"/>
  <c r="O15"/>
  <c r="P15"/>
  <c r="Q15"/>
  <c r="R15"/>
  <c r="O16"/>
  <c r="P16"/>
  <c r="Q16"/>
  <c r="R16"/>
  <c r="O17"/>
  <c r="P17"/>
  <c r="Q17"/>
  <c r="R17"/>
  <c r="O18"/>
  <c r="P18"/>
  <c r="Q18"/>
  <c r="R18"/>
  <c r="O19"/>
  <c r="P19"/>
  <c r="Q19"/>
  <c r="R19"/>
  <c r="O20"/>
  <c r="P20"/>
  <c r="Q20"/>
  <c r="R20"/>
  <c r="O21"/>
  <c r="P21"/>
  <c r="Q21"/>
  <c r="R21"/>
  <c r="R22" s="1"/>
  <c r="P22"/>
  <c r="N4"/>
  <c r="N5"/>
  <c r="N6"/>
  <c r="N7"/>
  <c r="N8"/>
  <c r="N9"/>
  <c r="N10"/>
  <c r="N11"/>
  <c r="N12"/>
  <c r="N13"/>
  <c r="N14"/>
  <c r="N15"/>
  <c r="N16"/>
  <c r="N17"/>
  <c r="N18"/>
  <c r="N19"/>
  <c r="N20"/>
  <c r="N21"/>
  <c r="M22"/>
  <c r="L22"/>
  <c r="K22"/>
  <c r="J22"/>
  <c r="I4"/>
  <c r="I5"/>
  <c r="I6"/>
  <c r="I7"/>
  <c r="I8"/>
  <c r="I9"/>
  <c r="I10"/>
  <c r="I11"/>
  <c r="I12"/>
  <c r="I13"/>
  <c r="I14"/>
  <c r="I15"/>
  <c r="I16"/>
  <c r="I17"/>
  <c r="I18"/>
  <c r="I19"/>
  <c r="I20"/>
  <c r="I21"/>
  <c r="H22"/>
  <c r="G22"/>
  <c r="F22"/>
  <c r="E22"/>
  <c r="D22"/>
  <c r="S13" l="1"/>
  <c r="S9"/>
  <c r="S8"/>
  <c r="S7"/>
  <c r="S5"/>
  <c r="AL12"/>
  <c r="AD22"/>
  <c r="X22"/>
  <c r="AL9"/>
  <c r="AL6"/>
  <c r="AL5"/>
  <c r="AK4"/>
  <c r="AH5"/>
  <c r="S21"/>
  <c r="S18"/>
  <c r="AC22"/>
  <c r="AL8"/>
  <c r="S17"/>
  <c r="AL11"/>
  <c r="AK5"/>
  <c r="AH18"/>
  <c r="AH17"/>
  <c r="AH16"/>
  <c r="AH15"/>
  <c r="N22"/>
  <c r="S12"/>
  <c r="S11"/>
  <c r="S6"/>
  <c r="AH20"/>
  <c r="AH11"/>
  <c r="AH10"/>
  <c r="AH9"/>
  <c r="AH8"/>
  <c r="AH7"/>
  <c r="O22"/>
  <c r="S16"/>
  <c r="S15"/>
  <c r="S10"/>
  <c r="AL18"/>
  <c r="AL17"/>
  <c r="AL16"/>
  <c r="AL15"/>
  <c r="AL14"/>
  <c r="AL4"/>
  <c r="AG4"/>
  <c r="AG22" s="1"/>
  <c r="S20"/>
  <c r="S19"/>
  <c r="Q22"/>
  <c r="S14"/>
  <c r="S4"/>
  <c r="AH4"/>
  <c r="I22"/>
  <c r="AI21"/>
  <c r="AE21"/>
  <c r="AI20"/>
  <c r="AE20"/>
  <c r="AI19"/>
  <c r="AE19"/>
  <c r="AI18"/>
  <c r="AE18"/>
  <c r="AI17"/>
  <c r="AE17"/>
  <c r="AI16"/>
  <c r="AE16"/>
  <c r="AI15"/>
  <c r="AE15"/>
  <c r="AI14"/>
  <c r="AE14"/>
  <c r="AI13"/>
  <c r="AE13"/>
  <c r="AI12"/>
  <c r="AE12"/>
  <c r="AI11"/>
  <c r="AE11"/>
  <c r="AI10"/>
  <c r="AE10"/>
  <c r="AI9"/>
  <c r="AE9"/>
  <c r="AI8"/>
  <c r="AE8"/>
  <c r="AI7"/>
  <c r="AE7"/>
  <c r="AI6"/>
  <c r="AE6"/>
  <c r="AI5"/>
  <c r="AE5"/>
  <c r="AI4"/>
  <c r="AE4"/>
  <c r="AF21"/>
  <c r="AF20"/>
  <c r="AF19"/>
  <c r="AF18"/>
  <c r="AF17"/>
  <c r="AF16"/>
  <c r="AF15"/>
  <c r="AF14"/>
  <c r="AF13"/>
  <c r="AF12"/>
  <c r="AF11"/>
  <c r="AF10"/>
  <c r="AF9"/>
  <c r="AF8"/>
  <c r="AF7"/>
  <c r="AF6"/>
  <c r="AF5"/>
  <c r="AK21"/>
  <c r="AK20"/>
  <c r="AK19"/>
  <c r="AK18"/>
  <c r="AK17"/>
  <c r="AK16"/>
  <c r="AK15"/>
  <c r="AK14"/>
  <c r="AK13"/>
  <c r="AK12"/>
  <c r="AK11"/>
  <c r="AK10"/>
  <c r="AK9"/>
  <c r="AK8"/>
  <c r="AK7"/>
  <c r="AK6"/>
  <c r="S22" l="1"/>
  <c r="AI22"/>
  <c r="AE22"/>
  <c r="AL22"/>
  <c r="AM5"/>
  <c r="AO5" s="1"/>
  <c r="AM7"/>
  <c r="AO7" s="1"/>
  <c r="AM9"/>
  <c r="AO9" s="1"/>
  <c r="AM11"/>
  <c r="AO11" s="1"/>
  <c r="AM13"/>
  <c r="AO13" s="1"/>
  <c r="AM15"/>
  <c r="AO15" s="1"/>
  <c r="AM17"/>
  <c r="AO17" s="1"/>
  <c r="AM19"/>
  <c r="AO19" s="1"/>
  <c r="AM21"/>
  <c r="AO21" s="1"/>
  <c r="AH22"/>
  <c r="AM6"/>
  <c r="AO6" s="1"/>
  <c r="AM8"/>
  <c r="AO8" s="1"/>
  <c r="AM10"/>
  <c r="AO10" s="1"/>
  <c r="AM12"/>
  <c r="AO12" s="1"/>
  <c r="AM14"/>
  <c r="AO14" s="1"/>
  <c r="AM16"/>
  <c r="AO16" s="1"/>
  <c r="AM18"/>
  <c r="AO18" s="1"/>
  <c r="AM20"/>
  <c r="AO20" s="1"/>
  <c r="AF22"/>
  <c r="AM4"/>
  <c r="AK22"/>
  <c r="AM22" l="1"/>
  <c r="AO4"/>
  <c r="AO22" s="1"/>
  <c r="E33" i="33" l="1"/>
  <c r="D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  <c r="G3"/>
  <c r="G33" l="1"/>
  <c r="E3" i="31" l="1"/>
  <c r="E4"/>
  <c r="E5"/>
  <c r="E6"/>
  <c r="E7"/>
  <c r="E8"/>
  <c r="E9"/>
  <c r="E10"/>
  <c r="E11"/>
  <c r="E12"/>
  <c r="E13"/>
  <c r="E14"/>
  <c r="E15"/>
  <c r="E16"/>
  <c r="E17"/>
  <c r="E18"/>
  <c r="E19"/>
  <c r="E20"/>
  <c r="E21"/>
  <c r="D22"/>
  <c r="E22" l="1"/>
  <c r="W74" i="62" l="1"/>
  <c r="V74"/>
  <c r="U74"/>
  <c r="T74"/>
  <c r="S74"/>
  <c r="R74"/>
  <c r="P74"/>
  <c r="O74"/>
  <c r="N74"/>
  <c r="M74"/>
  <c r="L74"/>
  <c r="K74"/>
  <c r="J74"/>
  <c r="I74"/>
  <c r="G74"/>
  <c r="S72"/>
  <c r="X72" s="1"/>
  <c r="X71"/>
  <c r="S71"/>
  <c r="X70"/>
  <c r="X69"/>
  <c r="X68"/>
  <c r="X67"/>
  <c r="X66"/>
  <c r="W65"/>
  <c r="V65"/>
  <c r="U65"/>
  <c r="T65"/>
  <c r="S65"/>
  <c r="R65"/>
  <c r="Q65"/>
  <c r="P65"/>
  <c r="O65"/>
  <c r="N65"/>
  <c r="M65"/>
  <c r="L65"/>
  <c r="K65"/>
  <c r="J65"/>
  <c r="I65"/>
  <c r="H65"/>
  <c r="G65"/>
  <c r="F65"/>
  <c r="X65" s="1"/>
  <c r="E65"/>
  <c r="X64"/>
  <c r="X63"/>
  <c r="X62"/>
  <c r="X61"/>
  <c r="W60"/>
  <c r="W47" s="1"/>
  <c r="V60"/>
  <c r="U60"/>
  <c r="T60"/>
  <c r="S60"/>
  <c r="S47" s="1"/>
  <c r="R60"/>
  <c r="Q60"/>
  <c r="P60"/>
  <c r="O60"/>
  <c r="O47" s="1"/>
  <c r="N60"/>
  <c r="M60"/>
  <c r="L60"/>
  <c r="K60"/>
  <c r="K47" s="1"/>
  <c r="J60"/>
  <c r="I60"/>
  <c r="H60"/>
  <c r="G60"/>
  <c r="G47" s="1"/>
  <c r="F60"/>
  <c r="E60"/>
  <c r="X59"/>
  <c r="X58"/>
  <c r="W57"/>
  <c r="V57"/>
  <c r="U57"/>
  <c r="T57"/>
  <c r="S57"/>
  <c r="R57"/>
  <c r="Q57"/>
  <c r="P57"/>
  <c r="O57"/>
  <c r="N57"/>
  <c r="M57"/>
  <c r="L57"/>
  <c r="K57"/>
  <c r="J57"/>
  <c r="I57"/>
  <c r="H57"/>
  <c r="G57"/>
  <c r="F57"/>
  <c r="E57"/>
  <c r="X56"/>
  <c r="U56"/>
  <c r="S56"/>
  <c r="S55" s="1"/>
  <c r="W55"/>
  <c r="V55"/>
  <c r="U55"/>
  <c r="T55"/>
  <c r="R55"/>
  <c r="Q55"/>
  <c r="P55"/>
  <c r="O55"/>
  <c r="N55"/>
  <c r="M55"/>
  <c r="L55"/>
  <c r="K55"/>
  <c r="J55"/>
  <c r="I55"/>
  <c r="H55"/>
  <c r="G55"/>
  <c r="F55"/>
  <c r="E55"/>
  <c r="W54"/>
  <c r="V54"/>
  <c r="U54"/>
  <c r="T54"/>
  <c r="S54"/>
  <c r="R54"/>
  <c r="Q54"/>
  <c r="P54"/>
  <c r="O54"/>
  <c r="N54"/>
  <c r="M54"/>
  <c r="L54"/>
  <c r="K54"/>
  <c r="J54"/>
  <c r="I54"/>
  <c r="I53" s="1"/>
  <c r="H54"/>
  <c r="G54"/>
  <c r="F54"/>
  <c r="E54"/>
  <c r="X54" s="1"/>
  <c r="W53"/>
  <c r="V53"/>
  <c r="U53"/>
  <c r="T53"/>
  <c r="S53"/>
  <c r="R53"/>
  <c r="Q53"/>
  <c r="P53"/>
  <c r="O53"/>
  <c r="N53"/>
  <c r="M53"/>
  <c r="L53"/>
  <c r="K53"/>
  <c r="J53"/>
  <c r="H53"/>
  <c r="G53"/>
  <c r="F53"/>
  <c r="E53"/>
  <c r="X52"/>
  <c r="W51"/>
  <c r="V51"/>
  <c r="U51"/>
  <c r="T51"/>
  <c r="S51"/>
  <c r="R51"/>
  <c r="Q51"/>
  <c r="P51"/>
  <c r="O51"/>
  <c r="N51"/>
  <c r="M51"/>
  <c r="L51"/>
  <c r="K51"/>
  <c r="J51"/>
  <c r="I51"/>
  <c r="H51"/>
  <c r="G51"/>
  <c r="F51"/>
  <c r="E51"/>
  <c r="W50"/>
  <c r="V50"/>
  <c r="U50"/>
  <c r="T50"/>
  <c r="Q50"/>
  <c r="P50"/>
  <c r="O50"/>
  <c r="M50"/>
  <c r="L50"/>
  <c r="J50"/>
  <c r="I50"/>
  <c r="G50"/>
  <c r="W49"/>
  <c r="V49"/>
  <c r="U49"/>
  <c r="T49"/>
  <c r="Q49"/>
  <c r="P49"/>
  <c r="O49"/>
  <c r="M49"/>
  <c r="L49"/>
  <c r="J49"/>
  <c r="I49"/>
  <c r="G49"/>
  <c r="W48"/>
  <c r="V48"/>
  <c r="U48"/>
  <c r="T48"/>
  <c r="S48"/>
  <c r="R48"/>
  <c r="Q48"/>
  <c r="P48"/>
  <c r="O48"/>
  <c r="N48"/>
  <c r="M48"/>
  <c r="L48"/>
  <c r="K48"/>
  <c r="J48"/>
  <c r="I48"/>
  <c r="H48"/>
  <c r="G48"/>
  <c r="F48"/>
  <c r="E48"/>
  <c r="X48" s="1"/>
  <c r="V47"/>
  <c r="U47"/>
  <c r="T47"/>
  <c r="R47"/>
  <c r="Q47"/>
  <c r="P47"/>
  <c r="N47"/>
  <c r="M47"/>
  <c r="L47"/>
  <c r="J47"/>
  <c r="I47"/>
  <c r="H47"/>
  <c r="F47"/>
  <c r="E47"/>
  <c r="V46"/>
  <c r="U46"/>
  <c r="T46"/>
  <c r="R46"/>
  <c r="Q46"/>
  <c r="P46"/>
  <c r="N46"/>
  <c r="M46"/>
  <c r="L46"/>
  <c r="J46"/>
  <c r="I46"/>
  <c r="H46"/>
  <c r="F46"/>
  <c r="E46"/>
  <c r="W45"/>
  <c r="V45"/>
  <c r="U45"/>
  <c r="T45"/>
  <c r="S45"/>
  <c r="R45"/>
  <c r="Q45"/>
  <c r="P45"/>
  <c r="O45"/>
  <c r="N45"/>
  <c r="M45"/>
  <c r="L45"/>
  <c r="K45"/>
  <c r="J45"/>
  <c r="I45"/>
  <c r="H45"/>
  <c r="G45"/>
  <c r="F45"/>
  <c r="E45"/>
  <c r="X45" s="1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3"/>
  <c r="U43"/>
  <c r="T43"/>
  <c r="S43"/>
  <c r="R43"/>
  <c r="Q43"/>
  <c r="P43"/>
  <c r="O43"/>
  <c r="N43"/>
  <c r="M43"/>
  <c r="L43"/>
  <c r="K43"/>
  <c r="J43"/>
  <c r="I43"/>
  <c r="H43"/>
  <c r="G43"/>
  <c r="F43"/>
  <c r="E43"/>
  <c r="W42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V41"/>
  <c r="U41"/>
  <c r="T41"/>
  <c r="S41"/>
  <c r="R41"/>
  <c r="Q41"/>
  <c r="P41"/>
  <c r="O41"/>
  <c r="N41"/>
  <c r="M41"/>
  <c r="L41"/>
  <c r="K41"/>
  <c r="J41"/>
  <c r="I41"/>
  <c r="H41"/>
  <c r="G41"/>
  <c r="F41"/>
  <c r="E41"/>
  <c r="X41" s="1"/>
  <c r="W40"/>
  <c r="V40"/>
  <c r="U40"/>
  <c r="U37" s="1"/>
  <c r="T40"/>
  <c r="T37" s="1"/>
  <c r="S40"/>
  <c r="R40"/>
  <c r="Q40"/>
  <c r="Q37" s="1"/>
  <c r="P40"/>
  <c r="O40"/>
  <c r="N40"/>
  <c r="M40"/>
  <c r="L40"/>
  <c r="L37" s="1"/>
  <c r="K40"/>
  <c r="J40"/>
  <c r="I40"/>
  <c r="H40"/>
  <c r="G40"/>
  <c r="F40"/>
  <c r="E40"/>
  <c r="S38"/>
  <c r="M38"/>
  <c r="M39" s="1"/>
  <c r="L38"/>
  <c r="K38"/>
  <c r="K39" s="1"/>
  <c r="H38"/>
  <c r="H39" s="1"/>
  <c r="F38"/>
  <c r="F39" s="1"/>
  <c r="E38"/>
  <c r="E39" s="1"/>
  <c r="V37"/>
  <c r="J37"/>
  <c r="U36"/>
  <c r="S36"/>
  <c r="S35" s="1"/>
  <c r="H36"/>
  <c r="F36"/>
  <c r="F35" s="1"/>
  <c r="E36"/>
  <c r="W35"/>
  <c r="V35"/>
  <c r="U35"/>
  <c r="T35"/>
  <c r="R35"/>
  <c r="Q35"/>
  <c r="P35"/>
  <c r="O35"/>
  <c r="N35"/>
  <c r="M35"/>
  <c r="M32" s="1"/>
  <c r="L35"/>
  <c r="K35"/>
  <c r="J35"/>
  <c r="I35"/>
  <c r="H35"/>
  <c r="G35"/>
  <c r="E35"/>
  <c r="Q34"/>
  <c r="Q74" s="1"/>
  <c r="H34"/>
  <c r="H74" s="1"/>
  <c r="F34"/>
  <c r="F74" s="1"/>
  <c r="E34"/>
  <c r="E74" s="1"/>
  <c r="W33"/>
  <c r="W32" s="1"/>
  <c r="V33"/>
  <c r="U33"/>
  <c r="T33"/>
  <c r="S33"/>
  <c r="R33"/>
  <c r="P33"/>
  <c r="O33"/>
  <c r="O32" s="1"/>
  <c r="N33"/>
  <c r="M33"/>
  <c r="L33"/>
  <c r="K33"/>
  <c r="K32" s="1"/>
  <c r="J33"/>
  <c r="I33"/>
  <c r="G33"/>
  <c r="G32" s="1"/>
  <c r="F33"/>
  <c r="F32" s="1"/>
  <c r="V32"/>
  <c r="U32"/>
  <c r="R32"/>
  <c r="N32"/>
  <c r="J32"/>
  <c r="I32"/>
  <c r="X31"/>
  <c r="S30"/>
  <c r="S50" s="1"/>
  <c r="S49" s="1"/>
  <c r="R30"/>
  <c r="R50" s="1"/>
  <c r="R49" s="1"/>
  <c r="R37" s="1"/>
  <c r="N30"/>
  <c r="N50" s="1"/>
  <c r="N49" s="1"/>
  <c r="N37" s="1"/>
  <c r="K30"/>
  <c r="K50" s="1"/>
  <c r="K49" s="1"/>
  <c r="H30"/>
  <c r="H50" s="1"/>
  <c r="H49" s="1"/>
  <c r="F30"/>
  <c r="F50" s="1"/>
  <c r="F49" s="1"/>
  <c r="F37" s="1"/>
  <c r="E30"/>
  <c r="E50" s="1"/>
  <c r="W29"/>
  <c r="V29"/>
  <c r="U29"/>
  <c r="T29"/>
  <c r="T28" s="1"/>
  <c r="S29"/>
  <c r="R29"/>
  <c r="Q29"/>
  <c r="P29"/>
  <c r="P28" s="1"/>
  <c r="O29"/>
  <c r="N29"/>
  <c r="M29"/>
  <c r="L29"/>
  <c r="L28" s="1"/>
  <c r="K29"/>
  <c r="K28" s="1"/>
  <c r="J29"/>
  <c r="I29"/>
  <c r="G29"/>
  <c r="G28" s="1"/>
  <c r="F29"/>
  <c r="F28" s="1"/>
  <c r="E29"/>
  <c r="W28"/>
  <c r="V28"/>
  <c r="U28"/>
  <c r="S28"/>
  <c r="R28"/>
  <c r="Q28"/>
  <c r="O28"/>
  <c r="N28"/>
  <c r="M28"/>
  <c r="J28"/>
  <c r="I28"/>
  <c r="E28"/>
  <c r="W27"/>
  <c r="V27"/>
  <c r="U27"/>
  <c r="T27"/>
  <c r="S27"/>
  <c r="R27"/>
  <c r="Q27"/>
  <c r="P27"/>
  <c r="O27"/>
  <c r="N27"/>
  <c r="M27"/>
  <c r="L27"/>
  <c r="K27"/>
  <c r="J27"/>
  <c r="I27"/>
  <c r="H27"/>
  <c r="H26" s="1"/>
  <c r="G27"/>
  <c r="F27"/>
  <c r="E27"/>
  <c r="E26" s="1"/>
  <c r="W26"/>
  <c r="V26"/>
  <c r="U26"/>
  <c r="T26"/>
  <c r="S26"/>
  <c r="R26"/>
  <c r="Q26"/>
  <c r="P26"/>
  <c r="O26"/>
  <c r="N26"/>
  <c r="M26"/>
  <c r="L26"/>
  <c r="K26"/>
  <c r="J26"/>
  <c r="I26"/>
  <c r="G26"/>
  <c r="F26"/>
  <c r="W25"/>
  <c r="V25"/>
  <c r="U25"/>
  <c r="T25"/>
  <c r="S25"/>
  <c r="R25"/>
  <c r="Q25"/>
  <c r="P25"/>
  <c r="O25"/>
  <c r="N25"/>
  <c r="M25"/>
  <c r="L25"/>
  <c r="K25"/>
  <c r="J25"/>
  <c r="I25"/>
  <c r="H25"/>
  <c r="G25"/>
  <c r="F25"/>
  <c r="E25"/>
  <c r="W24"/>
  <c r="V24"/>
  <c r="U24"/>
  <c r="T24"/>
  <c r="S24"/>
  <c r="R24"/>
  <c r="Q24"/>
  <c r="P24"/>
  <c r="O24"/>
  <c r="N24"/>
  <c r="M24"/>
  <c r="L24"/>
  <c r="K24"/>
  <c r="J24"/>
  <c r="I24"/>
  <c r="H24"/>
  <c r="G24"/>
  <c r="F24"/>
  <c r="F23" s="1"/>
  <c r="E24"/>
  <c r="E23" s="1"/>
  <c r="E21" s="1"/>
  <c r="W23"/>
  <c r="V23"/>
  <c r="U23"/>
  <c r="T23"/>
  <c r="S23"/>
  <c r="R23"/>
  <c r="Q23"/>
  <c r="P23"/>
  <c r="O23"/>
  <c r="N23"/>
  <c r="M23"/>
  <c r="L23"/>
  <c r="K23"/>
  <c r="J23"/>
  <c r="I23"/>
  <c r="H23"/>
  <c r="G23"/>
  <c r="W22"/>
  <c r="V22"/>
  <c r="U22"/>
  <c r="T22"/>
  <c r="S22"/>
  <c r="R22"/>
  <c r="Q22"/>
  <c r="P22"/>
  <c r="O22"/>
  <c r="N22"/>
  <c r="M22"/>
  <c r="L22"/>
  <c r="K22"/>
  <c r="K21" s="1"/>
  <c r="J22"/>
  <c r="I22"/>
  <c r="H22"/>
  <c r="H21" s="1"/>
  <c r="G22"/>
  <c r="G21" s="1"/>
  <c r="F22"/>
  <c r="X22" s="1"/>
  <c r="E22"/>
  <c r="W21"/>
  <c r="V21"/>
  <c r="U21"/>
  <c r="T21"/>
  <c r="S21"/>
  <c r="R21"/>
  <c r="Q21"/>
  <c r="P21"/>
  <c r="O21"/>
  <c r="N21"/>
  <c r="M21"/>
  <c r="L21"/>
  <c r="J21"/>
  <c r="I21"/>
  <c r="N20"/>
  <c r="M20"/>
  <c r="L20"/>
  <c r="K20"/>
  <c r="J20"/>
  <c r="I20"/>
  <c r="H20"/>
  <c r="G20"/>
  <c r="F20"/>
  <c r="E20"/>
  <c r="W19"/>
  <c r="V19"/>
  <c r="V16" s="1"/>
  <c r="U19"/>
  <c r="U16" s="1"/>
  <c r="T19"/>
  <c r="S19"/>
  <c r="S16" s="1"/>
  <c r="R19"/>
  <c r="R16" s="1"/>
  <c r="Q19"/>
  <c r="Q16" s="1"/>
  <c r="P19"/>
  <c r="O19"/>
  <c r="N19"/>
  <c r="N16" s="1"/>
  <c r="M19"/>
  <c r="M16" s="1"/>
  <c r="L19"/>
  <c r="K19"/>
  <c r="K16" s="1"/>
  <c r="J19"/>
  <c r="J16" s="1"/>
  <c r="I19"/>
  <c r="I16" s="1"/>
  <c r="H19"/>
  <c r="G19"/>
  <c r="F19"/>
  <c r="F16" s="1"/>
  <c r="E19"/>
  <c r="E16" s="1"/>
  <c r="X18"/>
  <c r="X17"/>
  <c r="W16"/>
  <c r="T16"/>
  <c r="P16"/>
  <c r="O16"/>
  <c r="L16"/>
  <c r="H16"/>
  <c r="G16"/>
  <c r="W15"/>
  <c r="V15"/>
  <c r="U15"/>
  <c r="T15"/>
  <c r="S15"/>
  <c r="R15"/>
  <c r="Q15"/>
  <c r="P15"/>
  <c r="O15"/>
  <c r="N15"/>
  <c r="M15"/>
  <c r="L15"/>
  <c r="K15"/>
  <c r="J15"/>
  <c r="I15"/>
  <c r="H15"/>
  <c r="G15"/>
  <c r="F15"/>
  <c r="E15"/>
  <c r="W14"/>
  <c r="V14"/>
  <c r="U14"/>
  <c r="T14"/>
  <c r="S14"/>
  <c r="S13" s="1"/>
  <c r="R14"/>
  <c r="Q14"/>
  <c r="P14"/>
  <c r="P13" s="1"/>
  <c r="O14"/>
  <c r="O13" s="1"/>
  <c r="N14"/>
  <c r="M14"/>
  <c r="L14"/>
  <c r="L13" s="1"/>
  <c r="K14"/>
  <c r="K13" s="1"/>
  <c r="J14"/>
  <c r="I14"/>
  <c r="H14"/>
  <c r="H13" s="1"/>
  <c r="G14"/>
  <c r="X14" s="1"/>
  <c r="F14"/>
  <c r="E14"/>
  <c r="W13"/>
  <c r="V13"/>
  <c r="U13"/>
  <c r="T13"/>
  <c r="R13"/>
  <c r="Q13"/>
  <c r="N13"/>
  <c r="M13"/>
  <c r="J13"/>
  <c r="I13"/>
  <c r="F13"/>
  <c r="E13"/>
  <c r="W12"/>
  <c r="V12"/>
  <c r="V11" s="1"/>
  <c r="V9" s="1"/>
  <c r="V5" s="1"/>
  <c r="U12"/>
  <c r="U11" s="1"/>
  <c r="T12"/>
  <c r="S12"/>
  <c r="R12"/>
  <c r="R11" s="1"/>
  <c r="R9" s="1"/>
  <c r="R5" s="1"/>
  <c r="Q12"/>
  <c r="Q11" s="1"/>
  <c r="Q9" s="1"/>
  <c r="P12"/>
  <c r="O12"/>
  <c r="N12"/>
  <c r="N11" s="1"/>
  <c r="N9" s="1"/>
  <c r="M12"/>
  <c r="M11" s="1"/>
  <c r="M9" s="1"/>
  <c r="M5" s="1"/>
  <c r="L12"/>
  <c r="K12"/>
  <c r="J12"/>
  <c r="J11" s="1"/>
  <c r="J9" s="1"/>
  <c r="I12"/>
  <c r="I11" s="1"/>
  <c r="I9" s="1"/>
  <c r="H12"/>
  <c r="G12"/>
  <c r="F12"/>
  <c r="F11" s="1"/>
  <c r="E12"/>
  <c r="E11" s="1"/>
  <c r="E9" s="1"/>
  <c r="W11"/>
  <c r="W9" s="1"/>
  <c r="T11"/>
  <c r="T9" s="1"/>
  <c r="S11"/>
  <c r="P11"/>
  <c r="P9" s="1"/>
  <c r="O11"/>
  <c r="O9" s="1"/>
  <c r="L11"/>
  <c r="L9" s="1"/>
  <c r="K11"/>
  <c r="K9" s="1"/>
  <c r="H11"/>
  <c r="H9" s="1"/>
  <c r="G11"/>
  <c r="U10"/>
  <c r="S10"/>
  <c r="N10"/>
  <c r="K10"/>
  <c r="F10"/>
  <c r="X10" s="1"/>
  <c r="E10"/>
  <c r="U8"/>
  <c r="S8"/>
  <c r="R8"/>
  <c r="Q8"/>
  <c r="N8"/>
  <c r="K8"/>
  <c r="F8"/>
  <c r="E8"/>
  <c r="X8" s="1"/>
  <c r="U7"/>
  <c r="U6" s="1"/>
  <c r="S7"/>
  <c r="R7"/>
  <c r="Q7"/>
  <c r="Q6" s="1"/>
  <c r="N7"/>
  <c r="N6" s="1"/>
  <c r="K7"/>
  <c r="F7"/>
  <c r="F6" s="1"/>
  <c r="E7"/>
  <c r="X7" s="1"/>
  <c r="W6"/>
  <c r="V6"/>
  <c r="T6"/>
  <c r="R6"/>
  <c r="P6"/>
  <c r="O6"/>
  <c r="M6"/>
  <c r="L6"/>
  <c r="J6"/>
  <c r="I6"/>
  <c r="H6"/>
  <c r="G6"/>
  <c r="P37" l="1"/>
  <c r="Q5"/>
  <c r="Q4" s="1"/>
  <c r="X23"/>
  <c r="F21"/>
  <c r="X21" s="1"/>
  <c r="E6"/>
  <c r="F9"/>
  <c r="F5" s="1"/>
  <c r="F73" s="1"/>
  <c r="G13"/>
  <c r="X13" s="1"/>
  <c r="X25"/>
  <c r="X40"/>
  <c r="I37"/>
  <c r="I4" s="1"/>
  <c r="X44"/>
  <c r="X47"/>
  <c r="G46"/>
  <c r="G37" s="1"/>
  <c r="K46"/>
  <c r="X46" s="1"/>
  <c r="O46"/>
  <c r="O37" s="1"/>
  <c r="S46"/>
  <c r="S37" s="1"/>
  <c r="W46"/>
  <c r="W37" s="1"/>
  <c r="X6"/>
  <c r="U9"/>
  <c r="L5"/>
  <c r="P5"/>
  <c r="T5"/>
  <c r="T73" s="1"/>
  <c r="X26"/>
  <c r="X35"/>
  <c r="L32"/>
  <c r="P32"/>
  <c r="P4" s="1"/>
  <c r="X53"/>
  <c r="X55"/>
  <c r="X60"/>
  <c r="X11"/>
  <c r="O5"/>
  <c r="S9"/>
  <c r="W5"/>
  <c r="X15"/>
  <c r="I5"/>
  <c r="X27"/>
  <c r="E33"/>
  <c r="E32" s="1"/>
  <c r="T32"/>
  <c r="X36"/>
  <c r="X42"/>
  <c r="K6"/>
  <c r="K5" s="1"/>
  <c r="K4" s="1"/>
  <c r="S6"/>
  <c r="X12"/>
  <c r="X20"/>
  <c r="X24"/>
  <c r="Q33"/>
  <c r="Q32" s="1"/>
  <c r="S32"/>
  <c r="X43"/>
  <c r="X51"/>
  <c r="X57"/>
  <c r="O73"/>
  <c r="O4"/>
  <c r="W73"/>
  <c r="W4"/>
  <c r="X16"/>
  <c r="E5"/>
  <c r="I73"/>
  <c r="N5"/>
  <c r="U5"/>
  <c r="J5"/>
  <c r="K73"/>
  <c r="V73"/>
  <c r="V4"/>
  <c r="X39"/>
  <c r="F4"/>
  <c r="R73"/>
  <c r="R4"/>
  <c r="M73"/>
  <c r="Q73"/>
  <c r="X50"/>
  <c r="E49"/>
  <c r="X49" s="1"/>
  <c r="K37"/>
  <c r="L4"/>
  <c r="L73"/>
  <c r="P73"/>
  <c r="X19"/>
  <c r="H33"/>
  <c r="H32" s="1"/>
  <c r="M37"/>
  <c r="M4" s="1"/>
  <c r="H29"/>
  <c r="H28" s="1"/>
  <c r="H5" s="1"/>
  <c r="X30"/>
  <c r="H37"/>
  <c r="X38"/>
  <c r="G9"/>
  <c r="G5" s="1"/>
  <c r="X34"/>
  <c r="X32" l="1"/>
  <c r="T4"/>
  <c r="X74"/>
  <c r="X29"/>
  <c r="S5"/>
  <c r="H4"/>
  <c r="H73"/>
  <c r="E73"/>
  <c r="G73"/>
  <c r="G4"/>
  <c r="J73"/>
  <c r="J4"/>
  <c r="N73"/>
  <c r="N4"/>
  <c r="X9"/>
  <c r="X28"/>
  <c r="X33"/>
  <c r="E37"/>
  <c r="X37" s="1"/>
  <c r="U73"/>
  <c r="U4"/>
  <c r="S4" l="1"/>
  <c r="S73"/>
  <c r="X5"/>
  <c r="E4"/>
  <c r="X4" s="1"/>
  <c r="X73" l="1"/>
  <c r="B4" i="43"/>
  <c r="C3"/>
  <c r="C4" l="1"/>
</calcChain>
</file>

<file path=xl/comments1.xml><?xml version="1.0" encoding="utf-8"?>
<comments xmlns="http://schemas.openxmlformats.org/spreadsheetml/2006/main">
  <authors>
    <author>tc={005B002E-0085-478B-A163-008A006D0075}</author>
  </authors>
  <commentList>
    <comment ref="H3" authorId="0">
      <text>
        <r>
          <rPr>
            <b/>
            <sz val="9"/>
            <rFont val="Tahoma"/>
            <family val="2"/>
          </rPr>
          <t>作者:</t>
        </r>
        <r>
          <rPr>
            <sz val="9"/>
            <rFont val="Tahoma"/>
            <family val="2"/>
          </rPr>
          <t>user:根据现有口径，2008.7-2012.8也应在补记范围内。</t>
        </r>
      </text>
    </comment>
  </commentList>
</comments>
</file>

<file path=xl/sharedStrings.xml><?xml version="1.0" encoding="utf-8"?>
<sst xmlns="http://schemas.openxmlformats.org/spreadsheetml/2006/main" count="749" uniqueCount="406">
  <si>
    <t>工资福利支出</t>
  </si>
  <si>
    <t>商品服务支出</t>
  </si>
  <si>
    <t>浦江</t>
  </si>
  <si>
    <t>序号</t>
  </si>
  <si>
    <t>项目名称</t>
  </si>
  <si>
    <t>功能分类</t>
  </si>
  <si>
    <t>口径</t>
  </si>
  <si>
    <t>社区学校</t>
    <phoneticPr fontId="2" type="noConversion"/>
  </si>
  <si>
    <t>合计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</si>
  <si>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</si>
  <si>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</si>
  <si>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</si>
  <si>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</si>
  <si>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</si>
  <si>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</si>
  <si>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</si>
  <si>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</si>
  <si>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</si>
  <si>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</si>
  <si>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</si>
  <si>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</si>
  <si>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</si>
  <si>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</si>
  <si>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</si>
  <si>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</si>
  <si>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</si>
  <si>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</si>
  <si>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</si>
  <si>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</si>
  <si>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</si>
  <si>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</si>
  <si>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</si>
  <si>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</si>
  <si>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</si>
  <si>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</si>
  <si>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　　绩效工资</t>
  </si>
  <si>
    <t>14</t>
  </si>
  <si>
    <t>　　　　1、绩效工资</t>
  </si>
  <si>
    <t>15</t>
  </si>
  <si>
    <t>　　　　2、校长职级制</t>
  </si>
  <si>
    <t>根据校长职级制按实编制</t>
  </si>
  <si>
    <t>16</t>
  </si>
  <si>
    <t>17</t>
  </si>
  <si>
    <t>18</t>
  </si>
  <si>
    <t xml:space="preserve">   城镇职工基本医疗保险缴费</t>
  </si>
  <si>
    <t>19</t>
  </si>
  <si>
    <t>事业单位医疗</t>
  </si>
  <si>
    <t>20</t>
  </si>
  <si>
    <t>21</t>
  </si>
  <si>
    <t>22</t>
  </si>
  <si>
    <t>23</t>
  </si>
  <si>
    <t>　　事业单位基本养老保险缴费</t>
  </si>
  <si>
    <t>24</t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</si>
  <si>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</si>
  <si>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</si>
  <si>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</si>
  <si>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</si>
  <si>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</si>
  <si>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</si>
  <si>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</si>
  <si>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t>公积金</t>
  </si>
  <si>
    <t>28</t>
  </si>
  <si>
    <t>29</t>
  </si>
  <si>
    <t>对个人和家庭补助</t>
  </si>
  <si>
    <t>30</t>
  </si>
  <si>
    <t>离退休</t>
  </si>
  <si>
    <t>31</t>
  </si>
  <si>
    <t>32</t>
  </si>
  <si>
    <t>　　奖励金</t>
  </si>
  <si>
    <t>33</t>
  </si>
  <si>
    <t>　　　　1、独生子女奖励费▲</t>
  </si>
  <si>
    <t>34</t>
  </si>
  <si>
    <t>35</t>
  </si>
  <si>
    <t>36</t>
  </si>
  <si>
    <t>商品和服务支出和其他资本性支出</t>
  </si>
  <si>
    <t>37</t>
  </si>
  <si>
    <t>　　(一)公用定额</t>
  </si>
  <si>
    <t>学生人数*定额</t>
  </si>
  <si>
    <t>38</t>
  </si>
  <si>
    <t>39</t>
  </si>
  <si>
    <t>　　(二)培训费</t>
  </si>
  <si>
    <t>40</t>
  </si>
  <si>
    <t>　　　　1、进修、培训 400元/年教师</t>
  </si>
  <si>
    <t>教职工人数*400元（公式计算）</t>
  </si>
  <si>
    <t>41</t>
  </si>
  <si>
    <t>　　(三)维修(护)费</t>
  </si>
  <si>
    <t>42</t>
  </si>
  <si>
    <t>　　　　1、房屋维修费 15元/年平方米</t>
  </si>
  <si>
    <t>房屋面积*15元（公式计算）</t>
  </si>
  <si>
    <t>43</t>
  </si>
  <si>
    <t>　　(四)物业管理费</t>
  </si>
  <si>
    <t>44</t>
  </si>
  <si>
    <t>　　　　1、绿化维护费 8元/年平方米</t>
  </si>
  <si>
    <t>绿化面积*8元（公式计算）</t>
  </si>
  <si>
    <t>45</t>
  </si>
  <si>
    <t>46</t>
  </si>
  <si>
    <t>教职工人数*4320元（公式计算）</t>
  </si>
  <si>
    <t>47</t>
  </si>
  <si>
    <t>48</t>
  </si>
  <si>
    <t>49</t>
  </si>
  <si>
    <t>　　　　1、工会经费2%</t>
  </si>
  <si>
    <t>50</t>
  </si>
  <si>
    <t>51</t>
  </si>
  <si>
    <t>　　　　1、教育系统，校/辆</t>
  </si>
  <si>
    <t>机关局有编制的车辆数*32000元/年（分园及分校预算在其他交通费中编制）</t>
  </si>
  <si>
    <t>52</t>
  </si>
  <si>
    <t>53</t>
  </si>
  <si>
    <t>54</t>
  </si>
  <si>
    <t>　　　　　　(1)活动费(活动费+活动费(托管))</t>
  </si>
  <si>
    <t>55</t>
  </si>
  <si>
    <t>没有，填0</t>
  </si>
  <si>
    <t>56</t>
  </si>
  <si>
    <t>57</t>
  </si>
  <si>
    <t>58</t>
  </si>
  <si>
    <t>学校基本情况：</t>
  </si>
  <si>
    <t>59</t>
  </si>
  <si>
    <t>1、教职工(人数)</t>
  </si>
  <si>
    <t>60</t>
  </si>
  <si>
    <t xml:space="preserve">       初中</t>
  </si>
  <si>
    <t>61</t>
  </si>
  <si>
    <t xml:space="preserve">       小学</t>
  </si>
  <si>
    <t>62</t>
  </si>
  <si>
    <t xml:space="preserve">       幼儿园</t>
  </si>
  <si>
    <t>63</t>
  </si>
  <si>
    <t xml:space="preserve">       其他</t>
  </si>
  <si>
    <t>64</t>
  </si>
  <si>
    <t>2、学生(人数)</t>
  </si>
  <si>
    <t>65</t>
  </si>
  <si>
    <t>66</t>
  </si>
  <si>
    <t>67</t>
  </si>
  <si>
    <t>68</t>
  </si>
  <si>
    <t>69</t>
  </si>
  <si>
    <t>世外浦江</t>
  </si>
  <si>
    <t>浦航实中</t>
  </si>
  <si>
    <t>上戏附校</t>
  </si>
  <si>
    <t>浦江二幼</t>
  </si>
  <si>
    <t>浦航幼儿园</t>
  </si>
  <si>
    <t>浦莲幼儿园</t>
  </si>
  <si>
    <t>上海市闵行区浦江第二中学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</si>
  <si>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</si>
  <si>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</si>
  <si>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</si>
  <si>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</si>
  <si>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</si>
  <si>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</si>
  <si>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</si>
  <si>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上海师范大学附属中学闵行实验学校</t>
  </si>
  <si>
    <t>镇属</t>
    <phoneticPr fontId="1" type="noConversion"/>
  </si>
  <si>
    <t>浦江 汇总</t>
  </si>
  <si>
    <t>浦江三中</t>
    <phoneticPr fontId="2" type="noConversion"/>
  </si>
  <si>
    <t>浦江二中</t>
  </si>
  <si>
    <t>合计</t>
    <phoneticPr fontId="1" type="noConversion"/>
  </si>
  <si>
    <t>人数</t>
    <phoneticPr fontId="1" type="noConversion"/>
  </si>
  <si>
    <t>金额（3元/人）</t>
    <phoneticPr fontId="1" type="noConversion"/>
  </si>
  <si>
    <t>上师附中实验</t>
  </si>
  <si>
    <t>浦江二小</t>
    <phoneticPr fontId="2" type="noConversion"/>
  </si>
  <si>
    <t>浦江三小</t>
    <phoneticPr fontId="2" type="noConversion"/>
  </si>
  <si>
    <t>浦汇小学</t>
    <phoneticPr fontId="2" type="noConversion"/>
  </si>
  <si>
    <t>福山实验</t>
    <phoneticPr fontId="2" type="noConversion"/>
  </si>
  <si>
    <t>浦江三幼</t>
    <phoneticPr fontId="2" type="noConversion"/>
  </si>
  <si>
    <t>宝邸幼儿园</t>
    <phoneticPr fontId="2" type="noConversion"/>
  </si>
  <si>
    <t>闸航路幼儿园</t>
    <phoneticPr fontId="2" type="noConversion"/>
  </si>
  <si>
    <t>瑞和城幼儿园</t>
    <phoneticPr fontId="2" type="noConversion"/>
  </si>
  <si>
    <t>浦瑞幼儿园</t>
    <phoneticPr fontId="2" type="noConversion"/>
  </si>
  <si>
    <t>幼儿园</t>
    <phoneticPr fontId="1" type="noConversion"/>
  </si>
  <si>
    <t>其他</t>
    <phoneticPr fontId="1" type="noConversion"/>
  </si>
  <si>
    <t>九年制</t>
    <phoneticPr fontId="1" type="noConversion"/>
  </si>
  <si>
    <t>小学</t>
    <phoneticPr fontId="1" type="noConversion"/>
  </si>
  <si>
    <t>初中</t>
    <phoneticPr fontId="1" type="noConversion"/>
  </si>
  <si>
    <t>浦瑞幼儿园</t>
  </si>
  <si>
    <t>学校名称</t>
    <phoneticPr fontId="2" type="noConversion"/>
  </si>
  <si>
    <t>办学类型</t>
    <phoneticPr fontId="2" type="noConversion"/>
  </si>
  <si>
    <t>所属街镇</t>
    <phoneticPr fontId="2" type="noConversion"/>
  </si>
  <si>
    <t>校区门数</t>
    <phoneticPr fontId="2" type="noConversion"/>
  </si>
  <si>
    <t>在岗人数</t>
    <phoneticPr fontId="2" type="noConversion"/>
  </si>
  <si>
    <t>值班单价</t>
    <phoneticPr fontId="2" type="noConversion"/>
  </si>
  <si>
    <t>值班金额</t>
    <phoneticPr fontId="2" type="noConversion"/>
  </si>
  <si>
    <t>所属大队</t>
    <phoneticPr fontId="2" type="noConversion"/>
  </si>
  <si>
    <t>备注</t>
    <phoneticPr fontId="2" type="noConversion"/>
  </si>
  <si>
    <t>幼儿园</t>
    <phoneticPr fontId="2" type="noConversion"/>
  </si>
  <si>
    <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</si>
  <si>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</si>
  <si>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r>
      <rPr>
        <sz val="10"/>
        <rFont val="宋体"/>
        <family val="3"/>
        <charset val="134"/>
      </rPr>
      <t>浦江二幼</t>
    </r>
  </si>
  <si>
    <r>
      <rPr>
        <sz val="10"/>
        <rFont val="宋体"/>
        <family val="3"/>
        <charset val="134"/>
      </rPr>
      <t>浦江镇</t>
    </r>
    <phoneticPr fontId="2" type="noConversion"/>
  </si>
  <si>
    <t>十</t>
    <phoneticPr fontId="2" type="noConversion"/>
  </si>
  <si>
    <t>浦江二幼（金硕）</t>
    <phoneticPr fontId="2" type="noConversion"/>
  </si>
  <si>
    <r>
      <rPr>
        <sz val="10"/>
        <rFont val="宋体"/>
        <family val="3"/>
        <charset val="134"/>
      </rPr>
      <t>浦江三幼</t>
    </r>
  </si>
  <si>
    <t>浦江三幼（浦润）</t>
    <phoneticPr fontId="2" type="noConversion"/>
  </si>
  <si>
    <t>上海市闵行区浦瑞幼儿园</t>
    <phoneticPr fontId="2" type="noConversion"/>
  </si>
  <si>
    <t>上海市闵行区浦瑞幼儿园（万芳）</t>
    <phoneticPr fontId="2" type="noConversion"/>
  </si>
  <si>
    <t>上海市闵行区浦江宝邸幼儿园</t>
    <phoneticPr fontId="2" type="noConversion"/>
  </si>
  <si>
    <t>上海市闵行区浦江宝邸幼儿园（水语）</t>
    <phoneticPr fontId="2" type="noConversion"/>
  </si>
  <si>
    <r>
      <rPr>
        <sz val="10"/>
        <rFont val="宋体"/>
        <family val="3"/>
        <charset val="134"/>
      </rPr>
      <t>浦莲幼儿园</t>
    </r>
  </si>
  <si>
    <t>浦莲幼儿园（佳兴）</t>
    <phoneticPr fontId="2" type="noConversion"/>
  </si>
  <si>
    <r>
      <t>2018</t>
    </r>
    <r>
      <rPr>
        <sz val="10"/>
        <rFont val="宋体"/>
        <family val="3"/>
        <charset val="134"/>
      </rPr>
      <t>年</t>
    </r>
    <r>
      <rPr>
        <sz val="10"/>
        <rFont val="Arial"/>
        <family val="2"/>
      </rPr>
      <t>8</t>
    </r>
    <r>
      <rPr>
        <sz val="10"/>
        <rFont val="宋体"/>
        <family val="3"/>
        <charset val="134"/>
      </rPr>
      <t>月</t>
    </r>
    <r>
      <rPr>
        <sz val="10"/>
        <rFont val="Arial"/>
        <family val="2"/>
      </rPr>
      <t>1</t>
    </r>
    <r>
      <rPr>
        <sz val="10"/>
        <rFont val="宋体"/>
        <family val="3"/>
        <charset val="134"/>
      </rPr>
      <t>日派驻</t>
    </r>
    <phoneticPr fontId="2" type="noConversion"/>
  </si>
  <si>
    <t>上海市闵行区浦江瑞和城幼儿园</t>
  </si>
  <si>
    <t>上海市闵行区浦江瑞和城幼儿园鲁康分园</t>
    <phoneticPr fontId="2" type="noConversion"/>
  </si>
  <si>
    <t>浦江镇</t>
    <phoneticPr fontId="2" type="noConversion"/>
  </si>
  <si>
    <r>
      <rPr>
        <sz val="10"/>
        <rFont val="宋体"/>
        <family val="3"/>
        <charset val="134"/>
      </rPr>
      <t>浦航幼儿园</t>
    </r>
  </si>
  <si>
    <t>浦航幼儿园（中城）</t>
    <phoneticPr fontId="2" type="noConversion"/>
  </si>
  <si>
    <t>上海市闵行浦江闸航路幼儿园</t>
    <phoneticPr fontId="2" type="noConversion"/>
  </si>
  <si>
    <t>浦江社校</t>
    <phoneticPr fontId="42" type="noConversion"/>
  </si>
  <si>
    <t>其他</t>
    <phoneticPr fontId="2" type="noConversion"/>
  </si>
  <si>
    <t>不叠加护校</t>
    <phoneticPr fontId="2" type="noConversion"/>
  </si>
  <si>
    <t>九年一贯制</t>
    <phoneticPr fontId="2" type="noConversion"/>
  </si>
  <si>
    <t>小学</t>
    <phoneticPr fontId="2" type="noConversion"/>
  </si>
  <si>
    <t>初中</t>
    <phoneticPr fontId="2" type="noConversion"/>
  </si>
  <si>
    <r>
      <rPr>
        <sz val="10"/>
        <rFont val="宋体"/>
        <family val="3"/>
        <charset val="134"/>
      </rPr>
      <t>浦江二中</t>
    </r>
  </si>
  <si>
    <r>
      <rPr>
        <sz val="10"/>
        <rFont val="宋体"/>
        <family val="3"/>
        <charset val="134"/>
      </rPr>
      <t>浦江三中</t>
    </r>
  </si>
  <si>
    <r>
      <rPr>
        <sz val="10"/>
        <rFont val="宋体"/>
        <family val="3"/>
        <charset val="134"/>
      </rPr>
      <t>浦江二小</t>
    </r>
  </si>
  <si>
    <r>
      <t>2020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日起新增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人人车分离</t>
    </r>
    <phoneticPr fontId="2" type="noConversion"/>
  </si>
  <si>
    <r>
      <rPr>
        <sz val="10"/>
        <rFont val="宋体"/>
        <family val="3"/>
        <charset val="134"/>
      </rPr>
      <t>浦江三小</t>
    </r>
  </si>
  <si>
    <t>上海市闵行区浦航实验中学</t>
    <phoneticPr fontId="2" type="noConversion"/>
  </si>
  <si>
    <t>上海市闵行区浦航实验中学新增校区</t>
    <phoneticPr fontId="2" type="noConversion"/>
  </si>
  <si>
    <r>
      <rPr>
        <sz val="10"/>
        <rFont val="宋体"/>
        <family val="3"/>
        <charset val="134"/>
      </rPr>
      <t>浦汇小学</t>
    </r>
  </si>
  <si>
    <t>上海市闵行区福山实验学校</t>
    <phoneticPr fontId="2" type="noConversion"/>
  </si>
  <si>
    <t>上海世外教育附属浦江外国语学校</t>
    <phoneticPr fontId="2" type="noConversion"/>
  </si>
  <si>
    <r>
      <rPr>
        <sz val="10"/>
        <rFont val="宋体"/>
        <family val="3"/>
        <charset val="134"/>
      </rPr>
      <t>文馨小学</t>
    </r>
  </si>
  <si>
    <r>
      <rPr>
        <sz val="10"/>
        <rFont val="宋体"/>
        <family val="3"/>
        <charset val="134"/>
      </rPr>
      <t>文汇小学</t>
    </r>
  </si>
  <si>
    <t>镇属</t>
  </si>
  <si>
    <t>学校</t>
  </si>
  <si>
    <t>园部</t>
    <phoneticPr fontId="1" type="noConversion"/>
  </si>
  <si>
    <t>教育教辅后勤应配用工人数(2024人保提供）</t>
    <phoneticPr fontId="1" type="noConversion"/>
  </si>
  <si>
    <t>教育教辅后勤应配用工人数(正常额度+临时额度）</t>
  </si>
  <si>
    <t>现有辅助用工人数（2024年人保科提供）</t>
    <phoneticPr fontId="1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</si>
  <si>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</si>
  <si>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</si>
  <si>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</si>
  <si>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</si>
  <si>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</si>
  <si>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</si>
  <si>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</si>
  <si>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</si>
  <si>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</si>
  <si>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</si>
  <si>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社保公积金</t>
    <phoneticPr fontId="1" type="noConversion"/>
  </si>
  <si>
    <t>学前</t>
    <phoneticPr fontId="1" type="noConversion"/>
  </si>
  <si>
    <t>闵行区浦江宝邸幼儿园</t>
  </si>
  <si>
    <t>闵行区浦莲幼儿园</t>
  </si>
  <si>
    <t>闵行区浦江镇第三幼儿园</t>
  </si>
  <si>
    <t>闵行区浦江镇第二幼儿园</t>
  </si>
  <si>
    <t>上戏附校</t>
    <phoneticPr fontId="1" type="noConversion"/>
  </si>
  <si>
    <t>闵行区浦汇小学</t>
  </si>
  <si>
    <t>闵行区浦江第三小学</t>
  </si>
  <si>
    <t>闵行区浦江第二小学</t>
  </si>
  <si>
    <t>闵行区浦江二中</t>
  </si>
  <si>
    <t>闵行区浦江三中</t>
  </si>
  <si>
    <t>闵行区浦航实验中学</t>
    <phoneticPr fontId="1" type="noConversion"/>
  </si>
  <si>
    <t>闵行区浦航幼儿园</t>
  </si>
  <si>
    <t>闵行区浦江瑞和城幼儿园</t>
  </si>
  <si>
    <t>闵行区浦江闸航路幼儿园</t>
  </si>
  <si>
    <t>世外浦江学校</t>
  </si>
  <si>
    <t>浦江合计</t>
  </si>
  <si>
    <t>管理费
（2025年全年）</t>
    <phoneticPr fontId="1" type="noConversion"/>
  </si>
  <si>
    <t>2024年残疾人就业保障预算调整表</t>
    <phoneticPr fontId="1" type="noConversion"/>
  </si>
  <si>
    <t>镇属</t>
    <phoneticPr fontId="1" type="noConversion"/>
  </si>
  <si>
    <t>单位</t>
    <phoneticPr fontId="1" type="noConversion"/>
  </si>
  <si>
    <t>全年需求</t>
    <phoneticPr fontId="1" type="noConversion"/>
  </si>
  <si>
    <t>一次分配</t>
    <phoneticPr fontId="1" type="noConversion"/>
  </si>
  <si>
    <t>浦江</t>
    <phoneticPr fontId="1" type="noConversion"/>
  </si>
  <si>
    <t>上海市福山实验学校</t>
  </si>
  <si>
    <t>上海市闵行区浦江镇第二幼儿园</t>
    <phoneticPr fontId="2" type="noConversion"/>
  </si>
  <si>
    <t>上海市闵行区浦江镇第三幼儿园</t>
    <phoneticPr fontId="2" type="noConversion"/>
  </si>
  <si>
    <t>上海市闵行区浦江宝邸幼儿园</t>
    <phoneticPr fontId="2" type="noConversion"/>
  </si>
  <si>
    <t>上海市闵行区浦江闸航路幼儿园</t>
    <phoneticPr fontId="2" type="noConversion"/>
  </si>
  <si>
    <t>上海市闵行区浦江瑞和城幼儿园</t>
    <phoneticPr fontId="2" type="noConversion"/>
  </si>
  <si>
    <t>上海市闵行区浦瑞幼儿园</t>
    <phoneticPr fontId="2" type="noConversion"/>
  </si>
  <si>
    <t>上海市闵行区浦航幼儿园</t>
    <phoneticPr fontId="2" type="noConversion"/>
  </si>
  <si>
    <t>上海市闵行区浦莲幼儿园</t>
    <phoneticPr fontId="2" type="noConversion"/>
  </si>
  <si>
    <t>上海市闵行区浦江镇社区学校</t>
  </si>
  <si>
    <t>　　　　　　(1)上下班交通费补贴</t>
    <phoneticPr fontId="2" type="noConversion"/>
  </si>
  <si>
    <t>　　　　1、工伤保险费0.5%(0.16%-1.52%)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</si>
  <si>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</si>
  <si>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</si>
  <si>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</si>
  <si>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</si>
  <si>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t xml:space="preserve">        1、医疗保险费9%</t>
    <phoneticPr fontId="2" type="noConversion"/>
  </si>
  <si>
    <t xml:space="preserve">        2、其他医疗保险费4%</t>
    <phoneticPr fontId="2" type="noConversion"/>
  </si>
  <si>
    <t xml:space="preserve">     (1)其他保险2%(统筹)：住院及大病补助</t>
    <phoneticPr fontId="2" type="noConversion"/>
  </si>
  <si>
    <t xml:space="preserve">     (2)其他保险2%(单位)：购买保险</t>
    <phoneticPr fontId="2" type="noConversion"/>
  </si>
  <si>
    <t>　　　　1、基本养老保险16%</t>
    <phoneticPr fontId="2" type="noConversion"/>
  </si>
  <si>
    <t xml:space="preserve">    公积金7%</t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</si>
  <si>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</si>
  <si>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</si>
  <si>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</si>
  <si>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</si>
  <si>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</si>
  <si>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</si>
  <si>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</si>
  <si>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</si>
  <si>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</si>
  <si>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　　(五)福利费</t>
    <phoneticPr fontId="2" type="noConversion"/>
  </si>
  <si>
    <t>　　　　1、在职福利费</t>
    <phoneticPr fontId="2" type="noConversion"/>
  </si>
  <si>
    <t>　　　　2、离退休福利费</t>
    <phoneticPr fontId="2" type="noConversion"/>
  </si>
  <si>
    <t>离退休人数*4320元（公式计算）</t>
    <phoneticPr fontId="2" type="noConversion"/>
  </si>
  <si>
    <t>　　(六)工会经费</t>
    <phoneticPr fontId="2" type="noConversion"/>
  </si>
  <si>
    <t>　　(七)公务用车运行维护费★</t>
    <phoneticPr fontId="2" type="noConversion"/>
  </si>
  <si>
    <t>　　(八)离退休公用支出</t>
    <phoneticPr fontId="2" type="noConversion"/>
  </si>
  <si>
    <t>离退休人数*400元/年（公式计算）</t>
    <phoneticPr fontId="2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</si>
  <si>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</si>
  <si>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</si>
  <si>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</si>
  <si>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>　　　　1、教育系统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</si>
  <si>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</si>
  <si>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填写2024年秋季在编教职工人数</t>
    <phoneticPr fontId="2" type="noConversion"/>
  </si>
  <si>
    <t>填写2024年秋季学期学生人数，以招办人数为准</t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</si>
  <si>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</si>
  <si>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</si>
  <si>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</si>
  <si>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2025年基本支出预算表(浦江）</t>
    <phoneticPr fontId="2" type="noConversion"/>
  </si>
  <si>
    <t>2025年社区教育年初预算</t>
    <phoneticPr fontId="1" type="noConversion"/>
  </si>
  <si>
    <t>浦江二小（浦涛路）</t>
    <phoneticPr fontId="2" type="noConversion"/>
  </si>
  <si>
    <t>原浦航小学</t>
    <phoneticPr fontId="2" type="noConversion"/>
  </si>
  <si>
    <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10</t>
    </r>
    <r>
      <rPr>
        <sz val="10"/>
        <color indexed="8"/>
        <rFont val="宋体"/>
        <family val="3"/>
        <charset val="134"/>
      </rPr>
      <t>月新增人车分离一人</t>
    </r>
    <phoneticPr fontId="2" type="noConversion"/>
  </si>
  <si>
    <r>
      <t>2020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Arial"/>
        <family val="2"/>
      </rPr>
      <t>7</t>
    </r>
    <r>
      <rPr>
        <sz val="9"/>
        <color indexed="8"/>
        <rFont val="宋体"/>
        <family val="3"/>
        <charset val="134"/>
      </rPr>
      <t>月新增</t>
    </r>
    <r>
      <rPr>
        <sz val="9"/>
        <color indexed="8"/>
        <rFont val="Arial"/>
        <family val="2"/>
      </rPr>
      <t>6</t>
    </r>
    <r>
      <rPr>
        <sz val="9"/>
        <color indexed="8"/>
        <rFont val="宋体"/>
        <family val="3"/>
        <charset val="134"/>
      </rPr>
      <t>人，</t>
    </r>
    <r>
      <rPr>
        <sz val="9"/>
        <color indexed="8"/>
        <rFont val="Arial"/>
        <family val="2"/>
      </rPr>
      <t>2023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Arial"/>
        <family val="2"/>
      </rPr>
      <t>5</t>
    </r>
    <r>
      <rPr>
        <sz val="9"/>
        <color indexed="8"/>
        <rFont val="宋体"/>
        <family val="3"/>
        <charset val="134"/>
      </rPr>
      <t>月起车行门再增加</t>
    </r>
    <r>
      <rPr>
        <sz val="9"/>
        <color indexed="8"/>
        <rFont val="Arial"/>
        <family val="2"/>
      </rPr>
      <t>1</t>
    </r>
    <r>
      <rPr>
        <sz val="9"/>
        <color indexed="8"/>
        <rFont val="宋体"/>
        <family val="3"/>
        <charset val="134"/>
      </rPr>
      <t>人，</t>
    </r>
    <r>
      <rPr>
        <sz val="9"/>
        <color indexed="8"/>
        <rFont val="Arial"/>
        <family val="2"/>
      </rPr>
      <t>2023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Arial"/>
        <family val="2"/>
      </rPr>
      <t>9</t>
    </r>
    <r>
      <rPr>
        <sz val="9"/>
        <color indexed="8"/>
        <rFont val="宋体"/>
        <family val="3"/>
        <charset val="134"/>
      </rPr>
      <t>月起再增开人行门</t>
    </r>
    <r>
      <rPr>
        <sz val="9"/>
        <color indexed="8"/>
        <rFont val="Arial"/>
        <family val="2"/>
      </rPr>
      <t>5</t>
    </r>
    <r>
      <rPr>
        <sz val="9"/>
        <color indexed="8"/>
        <rFont val="宋体"/>
        <family val="3"/>
        <charset val="134"/>
      </rPr>
      <t>人</t>
    </r>
    <phoneticPr fontId="2" type="noConversion"/>
  </si>
  <si>
    <r>
      <t>2022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</si>
  <si>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农民工小学</t>
    <phoneticPr fontId="1" type="noConversion"/>
  </si>
  <si>
    <r>
      <rPr>
        <sz val="10"/>
        <rFont val="宋体"/>
        <family val="3"/>
        <charset val="134"/>
      </rPr>
      <t>浦江镇</t>
    </r>
    <phoneticPr fontId="2" type="noConversion"/>
  </si>
  <si>
    <t>浦江镇 汇总</t>
  </si>
  <si>
    <t>2025年镇级保安经费预算表</t>
    <phoneticPr fontId="1" type="noConversion"/>
  </si>
  <si>
    <t>学段</t>
    <phoneticPr fontId="1" type="noConversion"/>
  </si>
  <si>
    <t>一贯制</t>
    <phoneticPr fontId="1" type="noConversion"/>
  </si>
  <si>
    <t>小学</t>
    <phoneticPr fontId="1" type="noConversion"/>
  </si>
  <si>
    <t>幼儿园</t>
    <phoneticPr fontId="1" type="noConversion"/>
  </si>
  <si>
    <t>初中</t>
    <phoneticPr fontId="1" type="noConversion"/>
  </si>
  <si>
    <t>成人</t>
    <phoneticPr fontId="1" type="noConversion"/>
  </si>
  <si>
    <t>2025年镇管单位补充公用经费预算表(年初预算）</t>
    <phoneticPr fontId="1" type="noConversion"/>
  </si>
  <si>
    <t>因故额外增加临时额度（2024人保提供）</t>
    <phoneticPr fontId="1" type="noConversion"/>
  </si>
  <si>
    <t>2025年金额（年初预算：按中位数测算，学校实际执行按人事部门规定标准执行，严禁超标准发放）</t>
    <phoneticPr fontId="1" type="noConversion"/>
  </si>
  <si>
    <t>课后延时</t>
    <phoneticPr fontId="1" type="noConversion"/>
  </si>
  <si>
    <t>奖金</t>
    <phoneticPr fontId="1" type="noConversion"/>
  </si>
  <si>
    <t>掌勺津贴</t>
    <phoneticPr fontId="1" type="noConversion"/>
  </si>
  <si>
    <t>小计</t>
    <phoneticPr fontId="1" type="noConversion"/>
  </si>
  <si>
    <t>一贯制</t>
    <phoneticPr fontId="1" type="noConversion"/>
  </si>
  <si>
    <t>福山实验学校</t>
    <phoneticPr fontId="1" type="noConversion"/>
  </si>
  <si>
    <t>上师大附中</t>
    <phoneticPr fontId="1" type="noConversion"/>
  </si>
  <si>
    <r>
      <t>2024年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1" type="noConversion"/>
  </si>
  <si>
    <t>单 位</t>
  </si>
  <si>
    <t>属性2</t>
  </si>
  <si>
    <t>学段</t>
  </si>
  <si>
    <t>2024年核定金额</t>
    <phoneticPr fontId="1" type="noConversion"/>
  </si>
  <si>
    <t>2024年分配金额</t>
    <phoneticPr fontId="1" type="noConversion"/>
  </si>
  <si>
    <t>2025年清算金额</t>
    <phoneticPr fontId="1" type="noConversion"/>
  </si>
  <si>
    <t>合计（常规）</t>
    <phoneticPr fontId="1" type="noConversion"/>
  </si>
  <si>
    <t>其中：校长绩效工资项目</t>
    <phoneticPr fontId="1" type="noConversion"/>
  </si>
  <si>
    <t>总绩效</t>
  </si>
  <si>
    <t>课后延时</t>
  </si>
  <si>
    <t>义务</t>
  </si>
  <si>
    <t>九年一贯</t>
  </si>
  <si>
    <t>非义务</t>
  </si>
  <si>
    <t>社校</t>
  </si>
  <si>
    <t>幼儿园</t>
  </si>
  <si>
    <t>小学</t>
  </si>
  <si>
    <t>初中</t>
  </si>
  <si>
    <t>上海市闵行区福山实验学校</t>
  </si>
  <si>
    <t>上海市闵行区浦江镇第二幼儿园</t>
  </si>
  <si>
    <t>上海市闵行区浦江宝邸幼儿园</t>
  </si>
  <si>
    <t>上海市闵行区浦莲幼儿园</t>
  </si>
  <si>
    <t>上海市闵行区浦航幼儿园</t>
  </si>
  <si>
    <t>上海市闵行区浦江闸航路幼儿园</t>
  </si>
  <si>
    <t>上海市闵行区浦瑞幼儿园</t>
  </si>
  <si>
    <t>浦江小计</t>
    <phoneticPr fontId="1" type="noConversion"/>
  </si>
  <si>
    <t>课后延时（1-12月）</t>
    <phoneticPr fontId="1" type="noConversion"/>
  </si>
  <si>
    <t>2024年镇管学校制度外用工清算核定表（补充公用经费清算不含储备老师）</t>
    <phoneticPr fontId="42" type="noConversion"/>
  </si>
  <si>
    <t>镇属</t>
    <phoneticPr fontId="42" type="noConversion"/>
  </si>
  <si>
    <t>学校名称</t>
  </si>
  <si>
    <t>课后延时</t>
    <phoneticPr fontId="1" type="noConversion"/>
  </si>
  <si>
    <t>2024年已下达课后延时金额</t>
    <phoneticPr fontId="1" type="noConversion"/>
  </si>
  <si>
    <t>清算课后延时金额</t>
    <phoneticPr fontId="1" type="noConversion"/>
  </si>
  <si>
    <t>浦江</t>
    <phoneticPr fontId="42" type="noConversion"/>
  </si>
  <si>
    <t>闵行区职业年金补记人员汇总表（事业单位人员）</t>
    <phoneticPr fontId="2" type="noConversion"/>
  </si>
  <si>
    <t>事业单位名称</t>
  </si>
  <si>
    <t>镇属</t>
    <phoneticPr fontId="2" type="noConversion"/>
  </si>
  <si>
    <t>姓名</t>
  </si>
  <si>
    <t>身份证号码</t>
  </si>
  <si>
    <t>社保转出年月</t>
  </si>
  <si>
    <t>是否已完成年金补记缴费</t>
  </si>
  <si>
    <t>补记期限</t>
  </si>
  <si>
    <t>补记总月数
（*年*个月）</t>
  </si>
  <si>
    <t>补记金额</t>
  </si>
  <si>
    <t>否</t>
  </si>
  <si>
    <t>浦江</t>
    <phoneticPr fontId="2" type="noConversion"/>
  </si>
  <si>
    <t>陆玉婷</t>
  </si>
  <si>
    <t>310112198611294926</t>
  </si>
  <si>
    <t>2012年9月-2014年9月</t>
  </si>
  <si>
    <t>2年1个月</t>
  </si>
  <si>
    <t>杜彩芸</t>
  </si>
  <si>
    <t>310112198612134625</t>
  </si>
  <si>
    <t>2008年7月-2014年9月</t>
  </si>
  <si>
    <t>6年3个月</t>
  </si>
  <si>
    <t>浦江小计</t>
    <phoneticPr fontId="1" type="noConversion"/>
  </si>
  <si>
    <t>2025年教育统筹经费第一次分配明细表</t>
  </si>
  <si>
    <t>单位：元</t>
  </si>
  <si>
    <t>项目</t>
  </si>
  <si>
    <t>核定金额</t>
  </si>
  <si>
    <t>减：2024年预排教育事业专项资金</t>
  </si>
  <si>
    <t>一次分配</t>
  </si>
  <si>
    <t>其中：教育局</t>
  </si>
  <si>
    <t>其中：乡镇/工业区</t>
  </si>
  <si>
    <t>对个人和家庭的补助支出</t>
  </si>
  <si>
    <t>残疾就业保障</t>
  </si>
  <si>
    <t>社区教育经费</t>
  </si>
  <si>
    <t>保安经费</t>
  </si>
  <si>
    <t>社区教育志愿者联盟</t>
  </si>
  <si>
    <t>补充公用经费</t>
  </si>
  <si>
    <t>浦江镇：</t>
    <phoneticPr fontId="1" type="noConversion"/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</si>
</sst>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176" formatCode="0.00_ "/>
    <numFmt numFmtId="177" formatCode="0.00_);[Red]\(0.00\)"/>
    <numFmt numFmtId="178" formatCode="0_ "/>
    <numFmt numFmtId="179" formatCode="[$-F800]dddd\,\ mmmm\ dd\,\ yyyy"/>
    <numFmt numFmtId="180" formatCode="_ \¥* #,##0.00_ ;_ \¥* \-#,##0.00_ ;_ \¥* &quot;-&quot;??_ ;_ @_ "/>
    <numFmt numFmtId="181" formatCode="yyyy&quot;年&quot;m&quot;月&quot;;@"/>
  </numFmts>
  <fonts count="8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20"/>
      <name val="宋体"/>
      <family val="3"/>
      <charset val="134"/>
    </font>
    <font>
      <sz val="9"/>
      <color indexed="8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Arial"/>
      <family val="2"/>
    </font>
    <font>
      <sz val="11"/>
      <color theme="1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4"/>
      <color indexed="8"/>
      <name val="微软雅黑"/>
      <family val="2"/>
      <charset val="134"/>
    </font>
    <font>
      <b/>
      <sz val="10"/>
      <color indexed="8"/>
      <name val="微软雅黑"/>
      <family val="2"/>
      <charset val="134"/>
    </font>
    <font>
      <b/>
      <sz val="10"/>
      <name val="微软雅黑"/>
      <family val="2"/>
      <charset val="134"/>
    </font>
    <font>
      <sz val="10"/>
      <color indexed="8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14"/>
      <name val="宋体"/>
      <family val="2"/>
      <charset val="134"/>
    </font>
    <font>
      <sz val="9"/>
      <color rgb="FFFF0000"/>
      <name val="宋体"/>
      <family val="2"/>
      <charset val="134"/>
    </font>
    <font>
      <sz val="9"/>
      <color rgb="FFFF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11"/>
      <name val="宋体"/>
      <family val="3"/>
      <charset val="134"/>
      <scheme val="minor"/>
    </font>
    <font>
      <sz val="9"/>
      <color rgb="FFFF0000"/>
      <name val="宋体"/>
      <family val="3"/>
      <charset val="134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b/>
      <sz val="9"/>
      <color theme="1"/>
      <name val="宋体"/>
      <family val="2"/>
      <charset val="134"/>
      <scheme val="minor"/>
    </font>
    <font>
      <sz val="9"/>
      <color theme="1"/>
      <name val="SimSun"/>
      <charset val="134"/>
    </font>
    <font>
      <b/>
      <sz val="14"/>
      <color theme="1"/>
      <name val="宋体"/>
      <family val="3"/>
      <charset val="134"/>
    </font>
    <font>
      <b/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1"/>
      <name val="仿宋"/>
      <family val="3"/>
      <charset val="134"/>
    </font>
    <font>
      <sz val="12"/>
      <color rgb="FF7030A0"/>
      <name val="仿宋"/>
      <family val="3"/>
      <charset val="134"/>
    </font>
    <font>
      <sz val="11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宋体"/>
      <family val="3"/>
      <charset val="134"/>
    </font>
    <font>
      <b/>
      <sz val="9"/>
      <name val="Tahoma"/>
      <family val="2"/>
    </font>
    <font>
      <sz val="9"/>
      <name val="Tahoma"/>
      <family val="2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</fonts>
  <fills count="3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09">
    <xf numFmtId="0" fontId="0" fillId="0" borderId="0">
      <alignment vertical="center"/>
    </xf>
    <xf numFmtId="0" fontId="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0" borderId="0"/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10" fillId="0" borderId="0"/>
    <xf numFmtId="0" fontId="10" fillId="0" borderId="0"/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3" fillId="0" borderId="0" applyNumberFormat="0" applyFill="0" applyBorder="0" applyAlignment="0" applyProtection="0">
      <alignment vertical="top"/>
      <protection locked="0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1" fillId="0" borderId="0"/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176" fontId="3" fillId="0" borderId="0">
      <alignment vertical="center"/>
    </xf>
    <xf numFmtId="0" fontId="44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44" fillId="0" borderId="0">
      <alignment vertical="center"/>
    </xf>
    <xf numFmtId="0" fontId="4" fillId="0" borderId="0"/>
    <xf numFmtId="177" fontId="7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159">
    <xf numFmtId="0" fontId="0" fillId="0" borderId="0" xfId="0">
      <alignment vertical="center"/>
    </xf>
    <xf numFmtId="0" fontId="2" fillId="2" borderId="0" xfId="0" applyFont="1" applyFill="1" applyAlignment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43" fillId="28" borderId="0" xfId="0" applyFont="1" applyFill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47" fillId="0" borderId="14" xfId="0" applyFont="1" applyBorder="1" applyAlignment="1">
      <alignment horizontal="center" vertical="center"/>
    </xf>
    <xf numFmtId="0" fontId="4" fillId="0" borderId="14" xfId="2006" applyBorder="1" applyAlignment="1">
      <alignment horizontal="center" vertical="center"/>
    </xf>
    <xf numFmtId="0" fontId="7" fillId="0" borderId="14" xfId="0" applyNumberFormat="1" applyFont="1" applyBorder="1" applyAlignment="1">
      <alignment horizontal="center" vertical="center"/>
    </xf>
    <xf numFmtId="0" fontId="4" fillId="0" borderId="14" xfId="2006" applyFont="1" applyFill="1" applyBorder="1" applyAlignment="1">
      <alignment horizontal="center" vertical="center"/>
    </xf>
    <xf numFmtId="178" fontId="0" fillId="0" borderId="14" xfId="0" applyNumberFormat="1" applyBorder="1" applyAlignment="1">
      <alignment horizontal="center" vertical="center"/>
    </xf>
    <xf numFmtId="49" fontId="2" fillId="2" borderId="14" xfId="0" applyNumberFormat="1" applyFont="1" applyFill="1" applyBorder="1" applyAlignment="1" applyProtection="1">
      <protection locked="0"/>
    </xf>
    <xf numFmtId="49" fontId="2" fillId="2" borderId="14" xfId="0" applyNumberFormat="1" applyFont="1" applyFill="1" applyBorder="1" applyAlignment="1" applyProtection="1">
      <alignment wrapText="1"/>
      <protection locked="0"/>
    </xf>
    <xf numFmtId="0" fontId="2" fillId="2" borderId="14" xfId="0" applyNumberFormat="1" applyFont="1" applyFill="1" applyBorder="1" applyAlignment="1" applyProtection="1">
      <alignment horizontal="center"/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0" fontId="2" fillId="2" borderId="0" xfId="0" applyNumberFormat="1" applyFont="1" applyFill="1" applyAlignment="1" applyProtection="1">
      <protection locked="0"/>
    </xf>
    <xf numFmtId="0" fontId="40" fillId="0" borderId="14" xfId="0" applyNumberFormat="1" applyFont="1" applyBorder="1" applyAlignment="1">
      <alignment horizontal="center" vertical="center"/>
    </xf>
    <xf numFmtId="0" fontId="51" fillId="28" borderId="0" xfId="0" applyFont="1" applyFill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51" fillId="2" borderId="14" xfId="0" applyFont="1" applyFill="1" applyBorder="1" applyAlignment="1">
      <alignment horizontal="left" vertical="center" wrapText="1"/>
    </xf>
    <xf numFmtId="179" fontId="40" fillId="2" borderId="0" xfId="0" applyNumberFormat="1" applyFont="1" applyFill="1">
      <alignment vertical="center"/>
    </xf>
    <xf numFmtId="179" fontId="2" fillId="29" borderId="14" xfId="0" applyNumberFormat="1" applyFont="1" applyFill="1" applyBorder="1" applyAlignment="1">
      <alignment horizontal="center" vertical="center" wrapText="1"/>
    </xf>
    <xf numFmtId="179" fontId="42" fillId="2" borderId="14" xfId="0" applyNumberFormat="1" applyFont="1" applyFill="1" applyBorder="1" applyAlignment="1">
      <alignment horizontal="center" vertical="center"/>
    </xf>
    <xf numFmtId="179" fontId="2" fillId="2" borderId="14" xfId="0" applyNumberFormat="1" applyFont="1" applyFill="1" applyBorder="1" applyAlignment="1">
      <alignment horizontal="center" vertical="center"/>
    </xf>
    <xf numFmtId="176" fontId="2" fillId="2" borderId="14" xfId="0" applyNumberFormat="1" applyFont="1" applyFill="1" applyBorder="1" applyAlignment="1">
      <alignment horizontal="center" vertical="center"/>
    </xf>
    <xf numFmtId="176" fontId="42" fillId="2" borderId="14" xfId="0" applyNumberFormat="1" applyFont="1" applyFill="1" applyBorder="1" applyAlignment="1">
      <alignment horizontal="center" vertical="center"/>
    </xf>
    <xf numFmtId="179" fontId="42" fillId="2" borderId="0" xfId="0" applyNumberFormat="1" applyFont="1" applyFill="1">
      <alignment vertical="center"/>
    </xf>
    <xf numFmtId="176" fontId="42" fillId="29" borderId="14" xfId="0" applyNumberFormat="1" applyFont="1" applyFill="1" applyBorder="1" applyAlignment="1">
      <alignment horizontal="center" vertical="center"/>
    </xf>
    <xf numFmtId="179" fontId="40" fillId="29" borderId="0" xfId="0" applyNumberFormat="1" applyFont="1" applyFill="1">
      <alignment vertical="center"/>
    </xf>
    <xf numFmtId="176" fontId="2" fillId="2" borderId="14" xfId="0" applyNumberFormat="1" applyFont="1" applyFill="1" applyBorder="1" applyAlignment="1">
      <alignment horizontal="center" vertical="center" wrapText="1"/>
    </xf>
    <xf numFmtId="176" fontId="40" fillId="2" borderId="0" xfId="0" applyNumberFormat="1" applyFont="1" applyFill="1">
      <alignment vertical="center"/>
    </xf>
    <xf numFmtId="0" fontId="2" fillId="2" borderId="14" xfId="0" applyFont="1" applyFill="1" applyBorder="1" applyAlignment="1">
      <alignment horizontal="center" vertical="center" wrapText="1"/>
    </xf>
    <xf numFmtId="179" fontId="55" fillId="29" borderId="14" xfId="0" applyNumberFormat="1" applyFont="1" applyFill="1" applyBorder="1" applyAlignment="1">
      <alignment horizontal="center" vertical="center" wrapText="1"/>
    </xf>
    <xf numFmtId="176" fontId="56" fillId="2" borderId="14" xfId="0" applyNumberFormat="1" applyFont="1" applyFill="1" applyBorder="1" applyAlignment="1">
      <alignment horizontal="center" vertical="center"/>
    </xf>
    <xf numFmtId="179" fontId="56" fillId="2" borderId="0" xfId="0" applyNumberFormat="1" applyFont="1" applyFill="1">
      <alignment vertical="center"/>
    </xf>
    <xf numFmtId="0" fontId="39" fillId="0" borderId="0" xfId="0" applyNumberFormat="1" applyFont="1">
      <alignment vertical="center"/>
    </xf>
    <xf numFmtId="0" fontId="40" fillId="30" borderId="14" xfId="0" applyNumberFormat="1" applyFont="1" applyFill="1" applyBorder="1" applyAlignment="1">
      <alignment horizontal="center" vertical="center"/>
    </xf>
    <xf numFmtId="0" fontId="40" fillId="0" borderId="0" xfId="0" applyNumberFormat="1" applyFont="1">
      <alignment vertical="center"/>
    </xf>
    <xf numFmtId="0" fontId="57" fillId="2" borderId="14" xfId="1225" applyNumberFormat="1" applyFont="1" applyFill="1" applyBorder="1" applyAlignment="1">
      <alignment horizontal="left" vertical="center"/>
    </xf>
    <xf numFmtId="176" fontId="40" fillId="0" borderId="14" xfId="0" applyNumberFormat="1" applyFont="1" applyBorder="1" applyAlignment="1">
      <alignment horizontal="center" vertical="center"/>
    </xf>
    <xf numFmtId="0" fontId="4" fillId="2" borderId="14" xfId="0" applyNumberFormat="1" applyFont="1" applyFill="1" applyBorder="1" applyAlignment="1">
      <alignment horizontal="left" vertical="center"/>
    </xf>
    <xf numFmtId="0" fontId="41" fillId="30" borderId="14" xfId="0" applyNumberFormat="1" applyFont="1" applyFill="1" applyBorder="1" applyAlignment="1">
      <alignment horizontal="center" vertical="center"/>
    </xf>
    <xf numFmtId="0" fontId="38" fillId="30" borderId="14" xfId="0" applyNumberFormat="1" applyFont="1" applyFill="1" applyBorder="1" applyAlignment="1" applyProtection="1">
      <alignment horizontal="center" vertical="center" wrapText="1"/>
      <protection locked="0"/>
    </xf>
    <xf numFmtId="176" fontId="40" fillId="30" borderId="14" xfId="0" applyNumberFormat="1" applyFont="1" applyFill="1" applyBorder="1" applyAlignment="1">
      <alignment horizontal="center" vertical="center"/>
    </xf>
    <xf numFmtId="0" fontId="38" fillId="2" borderId="14" xfId="0" applyNumberFormat="1" applyFont="1" applyFill="1" applyBorder="1" applyAlignment="1" applyProtection="1">
      <alignment horizontal="left" vertical="center" wrapText="1"/>
      <protection locked="0"/>
    </xf>
    <xf numFmtId="0" fontId="3" fillId="0" borderId="0" xfId="0" applyNumberFormat="1" applyFont="1">
      <alignment vertical="center"/>
    </xf>
    <xf numFmtId="0" fontId="4" fillId="2" borderId="0" xfId="0" applyFont="1" applyFill="1" applyAlignment="1"/>
    <xf numFmtId="0" fontId="58" fillId="2" borderId="14" xfId="0" applyNumberFormat="1" applyFont="1" applyFill="1" applyBorder="1" applyAlignment="1" applyProtection="1">
      <alignment horizontal="center" vertical="center" wrapText="1"/>
      <protection locked="0"/>
    </xf>
    <xf numFmtId="0" fontId="59" fillId="2" borderId="0" xfId="0" applyFont="1" applyFill="1" applyAlignment="1"/>
    <xf numFmtId="49" fontId="2" fillId="2" borderId="12" xfId="0" applyNumberFormat="1" applyFont="1" applyFill="1" applyBorder="1" applyAlignment="1" applyProtection="1">
      <alignment vertical="center"/>
      <protection locked="0"/>
    </xf>
    <xf numFmtId="49" fontId="2" fillId="2" borderId="1" xfId="0" applyNumberFormat="1" applyFont="1" applyFill="1" applyBorder="1" applyAlignment="1" applyProtection="1">
      <alignment vertical="center"/>
      <protection locked="0"/>
    </xf>
    <xf numFmtId="49" fontId="2" fillId="2" borderId="14" xfId="0" applyNumberFormat="1" applyFont="1" applyFill="1" applyBorder="1" applyAlignment="1" applyProtection="1">
      <alignment horizontal="left"/>
      <protection locked="0"/>
    </xf>
    <xf numFmtId="0" fontId="2" fillId="2" borderId="14" xfId="0" applyNumberFormat="1" applyFont="1" applyFill="1" applyBorder="1" applyAlignment="1" applyProtection="1"/>
    <xf numFmtId="0" fontId="2" fillId="2" borderId="14" xfId="0" applyNumberFormat="1" applyFont="1" applyFill="1" applyBorder="1" applyAlignment="1" applyProtection="1">
      <protection locked="0"/>
    </xf>
    <xf numFmtId="0" fontId="2" fillId="2" borderId="12" xfId="0" applyNumberFormat="1" applyFont="1" applyFill="1" applyBorder="1" applyAlignment="1" applyProtection="1">
      <protection locked="0"/>
    </xf>
    <xf numFmtId="0" fontId="2" fillId="2" borderId="1" xfId="0" applyNumberFormat="1" applyFont="1" applyFill="1" applyBorder="1" applyAlignment="1" applyProtection="1">
      <protection locked="0"/>
    </xf>
    <xf numFmtId="0" fontId="59" fillId="2" borderId="0" xfId="0" applyNumberFormat="1" applyFont="1" applyFill="1" applyAlignment="1"/>
    <xf numFmtId="0" fontId="42" fillId="2" borderId="14" xfId="0" applyNumberFormat="1" applyFont="1" applyFill="1" applyBorder="1" applyAlignment="1"/>
    <xf numFmtId="0" fontId="2" fillId="2" borderId="14" xfId="0" applyNumberFormat="1" applyFont="1" applyFill="1" applyBorder="1" applyAlignment="1"/>
    <xf numFmtId="0" fontId="40" fillId="2" borderId="14" xfId="0" applyNumberFormat="1" applyFont="1" applyFill="1" applyBorder="1" applyAlignment="1">
      <alignment horizontal="center" vertical="center"/>
    </xf>
    <xf numFmtId="0" fontId="42" fillId="2" borderId="14" xfId="0" applyNumberFormat="1" applyFont="1" applyFill="1" applyBorder="1" applyAlignment="1">
      <alignment horizontal="center" vertical="center"/>
    </xf>
    <xf numFmtId="176" fontId="40" fillId="2" borderId="14" xfId="0" applyNumberFormat="1" applyFont="1" applyFill="1" applyBorder="1" applyAlignment="1">
      <alignment horizontal="center" vertical="center"/>
    </xf>
    <xf numFmtId="0" fontId="40" fillId="2" borderId="0" xfId="0" applyNumberFormat="1" applyFont="1" applyFill="1" applyAlignment="1">
      <alignment horizontal="center" vertical="center"/>
    </xf>
    <xf numFmtId="179" fontId="40" fillId="2" borderId="0" xfId="0" applyNumberFormat="1" applyFont="1" applyFill="1" applyAlignment="1">
      <alignment horizontal="center" vertical="center"/>
    </xf>
    <xf numFmtId="0" fontId="43" fillId="28" borderId="0" xfId="0" applyFont="1" applyFill="1" applyAlignment="1">
      <alignment vertical="center" wrapText="1"/>
    </xf>
    <xf numFmtId="0" fontId="43" fillId="28" borderId="0" xfId="0" applyFont="1" applyFill="1" applyAlignment="1">
      <alignment horizontal="center" vertical="center" wrapText="1"/>
    </xf>
    <xf numFmtId="43" fontId="43" fillId="28" borderId="0" xfId="1720" applyNumberFormat="1" applyFont="1" applyFill="1" applyAlignment="1">
      <alignment horizontal="center" vertical="center"/>
    </xf>
    <xf numFmtId="43" fontId="43" fillId="28" borderId="0" xfId="0" applyNumberFormat="1" applyFont="1" applyFill="1" applyAlignment="1">
      <alignment horizontal="center" vertical="center"/>
    </xf>
    <xf numFmtId="0" fontId="43" fillId="28" borderId="0" xfId="0" applyFont="1" applyFill="1" applyAlignment="1">
      <alignment horizontal="left" vertical="center" wrapText="1"/>
    </xf>
    <xf numFmtId="177" fontId="43" fillId="28" borderId="0" xfId="1720" applyNumberFormat="1" applyFont="1" applyFill="1" applyAlignment="1">
      <alignment horizontal="center" vertical="center"/>
    </xf>
    <xf numFmtId="177" fontId="43" fillId="28" borderId="0" xfId="0" applyNumberFormat="1" applyFont="1" applyFill="1" applyAlignment="1">
      <alignment horizontal="center" vertical="center"/>
    </xf>
    <xf numFmtId="0" fontId="50" fillId="2" borderId="14" xfId="0" applyFont="1" applyFill="1" applyBorder="1" applyAlignment="1">
      <alignment horizontal="center" vertical="center" wrapText="1"/>
    </xf>
    <xf numFmtId="0" fontId="49" fillId="2" borderId="14" xfId="0" applyFont="1" applyFill="1" applyBorder="1" applyAlignment="1">
      <alignment horizontal="center" vertical="center" wrapText="1"/>
    </xf>
    <xf numFmtId="177" fontId="50" fillId="2" borderId="14" xfId="1720" applyNumberFormat="1" applyFont="1" applyFill="1" applyBorder="1" applyAlignment="1">
      <alignment horizontal="center" vertical="center" wrapText="1"/>
    </xf>
    <xf numFmtId="177" fontId="50" fillId="2" borderId="14" xfId="0" applyNumberFormat="1" applyFont="1" applyFill="1" applyBorder="1" applyAlignment="1">
      <alignment horizontal="center" vertical="center" wrapText="1"/>
    </xf>
    <xf numFmtId="0" fontId="49" fillId="2" borderId="14" xfId="0" applyFont="1" applyFill="1" applyBorder="1" applyAlignment="1">
      <alignment horizontal="center" vertical="center"/>
    </xf>
    <xf numFmtId="0" fontId="31" fillId="2" borderId="14" xfId="0" applyFont="1" applyFill="1" applyBorder="1" applyAlignment="1">
      <alignment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31" fillId="2" borderId="14" xfId="0" applyFont="1" applyFill="1" applyBorder="1" applyAlignment="1">
      <alignment horizontal="center" vertical="center"/>
    </xf>
    <xf numFmtId="43" fontId="31" fillId="2" borderId="14" xfId="1720" applyNumberFormat="1" applyFont="1" applyFill="1" applyBorder="1" applyAlignment="1">
      <alignment horizontal="center" vertical="center"/>
    </xf>
    <xf numFmtId="43" fontId="31" fillId="2" borderId="14" xfId="0" applyNumberFormat="1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vertical="center" wrapText="1"/>
    </xf>
    <xf numFmtId="0" fontId="31" fillId="2" borderId="14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left" vertical="center" wrapText="1"/>
    </xf>
    <xf numFmtId="0" fontId="31" fillId="2" borderId="14" xfId="0" applyFont="1" applyFill="1" applyBorder="1" applyAlignment="1">
      <alignment horizontal="left" vertical="center" wrapText="1"/>
    </xf>
    <xf numFmtId="0" fontId="52" fillId="2" borderId="14" xfId="0" applyFont="1" applyFill="1" applyBorder="1" applyAlignment="1">
      <alignment horizontal="center" vertical="center" wrapText="1"/>
    </xf>
    <xf numFmtId="0" fontId="53" fillId="2" borderId="14" xfId="0" applyFont="1" applyFill="1" applyBorder="1" applyAlignment="1">
      <alignment horizontal="left" vertical="center" wrapText="1"/>
    </xf>
    <xf numFmtId="0" fontId="8" fillId="2" borderId="14" xfId="0" applyFont="1" applyFill="1" applyBorder="1" applyAlignment="1">
      <alignment horizontal="center" vertical="center" wrapText="1"/>
    </xf>
    <xf numFmtId="179" fontId="2" fillId="29" borderId="14" xfId="0" applyNumberFormat="1" applyFont="1" applyFill="1" applyBorder="1" applyAlignment="1">
      <alignment horizontal="center" vertical="center"/>
    </xf>
    <xf numFmtId="179" fontId="42" fillId="29" borderId="14" xfId="0" applyNumberFormat="1" applyFont="1" applyFill="1" applyBorder="1" applyAlignment="1">
      <alignment horizontal="center" vertical="center"/>
    </xf>
    <xf numFmtId="0" fontId="60" fillId="2" borderId="14" xfId="0" applyNumberFormat="1" applyFont="1" applyFill="1" applyBorder="1" applyAlignment="1" applyProtection="1">
      <protection locked="0"/>
    </xf>
    <xf numFmtId="0" fontId="0" fillId="2" borderId="0" xfId="0" applyFill="1">
      <alignment vertical="center"/>
    </xf>
    <xf numFmtId="0" fontId="2" fillId="2" borderId="14" xfId="0" applyFont="1" applyFill="1" applyBorder="1" applyAlignment="1">
      <alignment horizontal="center" vertical="center"/>
    </xf>
    <xf numFmtId="0" fontId="63" fillId="2" borderId="14" xfId="0" applyFont="1" applyFill="1" applyBorder="1" applyAlignment="1">
      <alignment horizontal="center" vertical="center" wrapText="1"/>
    </xf>
    <xf numFmtId="0" fontId="45" fillId="2" borderId="14" xfId="0" applyFont="1" applyFill="1" applyBorder="1" applyAlignment="1">
      <alignment horizontal="center" vertical="center"/>
    </xf>
    <xf numFmtId="176" fontId="40" fillId="2" borderId="14" xfId="0" applyNumberFormat="1" applyFont="1" applyFill="1" applyBorder="1">
      <alignment vertical="center"/>
    </xf>
    <xf numFmtId="0" fontId="40" fillId="2" borderId="0" xfId="0" applyFont="1" applyFill="1">
      <alignment vertical="center"/>
    </xf>
    <xf numFmtId="0" fontId="40" fillId="2" borderId="14" xfId="0" applyFont="1" applyFill="1" applyBorder="1" applyAlignment="1">
      <alignment horizontal="center" vertical="center"/>
    </xf>
    <xf numFmtId="0" fontId="0" fillId="0" borderId="0" xfId="0" applyFont="1">
      <alignment vertical="center"/>
    </xf>
    <xf numFmtId="0" fontId="2" fillId="2" borderId="14" xfId="0" applyNumberFormat="1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0" fontId="45" fillId="0" borderId="14" xfId="0" applyFont="1" applyBorder="1">
      <alignment vertical="center"/>
    </xf>
    <xf numFmtId="0" fontId="66" fillId="0" borderId="14" xfId="0" applyNumberFormat="1" applyFont="1" applyFill="1" applyBorder="1">
      <alignment vertical="center"/>
    </xf>
    <xf numFmtId="176" fontId="66" fillId="0" borderId="14" xfId="0" applyNumberFormat="1" applyFont="1" applyFill="1" applyBorder="1">
      <alignment vertical="center"/>
    </xf>
    <xf numFmtId="176" fontId="45" fillId="0" borderId="14" xfId="0" applyNumberFormat="1" applyFont="1" applyBorder="1">
      <alignment vertical="center"/>
    </xf>
    <xf numFmtId="0" fontId="67" fillId="0" borderId="14" xfId="0" applyFont="1" applyBorder="1">
      <alignment vertical="center"/>
    </xf>
    <xf numFmtId="0" fontId="68" fillId="0" borderId="14" xfId="0" applyNumberFormat="1" applyFont="1" applyFill="1" applyBorder="1">
      <alignment vertical="center"/>
    </xf>
    <xf numFmtId="0" fontId="0" fillId="0" borderId="0" xfId="0" applyAlignment="1">
      <alignment vertical="center"/>
    </xf>
    <xf numFmtId="180" fontId="70" fillId="0" borderId="14" xfId="0" applyNumberFormat="1" applyFont="1" applyFill="1" applyBorder="1" applyAlignment="1">
      <alignment horizontal="center" vertical="center" wrapText="1"/>
    </xf>
    <xf numFmtId="49" fontId="70" fillId="0" borderId="14" xfId="0" applyNumberFormat="1" applyFont="1" applyFill="1" applyBorder="1" applyAlignment="1">
      <alignment horizontal="center" vertical="center" wrapText="1"/>
    </xf>
    <xf numFmtId="181" fontId="70" fillId="0" borderId="14" xfId="0" applyNumberFormat="1" applyFont="1" applyFill="1" applyBorder="1" applyAlignment="1">
      <alignment horizontal="center" vertical="center" wrapText="1"/>
    </xf>
    <xf numFmtId="0" fontId="71" fillId="0" borderId="0" xfId="0" applyFont="1" applyAlignment="1">
      <alignment vertical="center"/>
    </xf>
    <xf numFmtId="0" fontId="72" fillId="0" borderId="14" xfId="0" applyFont="1" applyFill="1" applyBorder="1" applyAlignment="1" applyProtection="1">
      <alignment horizontal="center" vertical="center"/>
    </xf>
    <xf numFmtId="0" fontId="72" fillId="0" borderId="14" xfId="0" applyFont="1" applyFill="1" applyBorder="1" applyAlignment="1" applyProtection="1">
      <alignment horizontal="center" vertical="center" wrapText="1"/>
    </xf>
    <xf numFmtId="49" fontId="72" fillId="0" borderId="14" xfId="0" applyNumberFormat="1" applyFont="1" applyFill="1" applyBorder="1" applyAlignment="1" applyProtection="1">
      <alignment horizontal="center" vertical="center" wrapText="1"/>
    </xf>
    <xf numFmtId="181" fontId="72" fillId="0" borderId="14" xfId="0" applyNumberFormat="1" applyFont="1" applyFill="1" applyBorder="1" applyAlignment="1" applyProtection="1">
      <alignment horizontal="center" vertical="center"/>
    </xf>
    <xf numFmtId="176" fontId="73" fillId="0" borderId="14" xfId="0" applyNumberFormat="1" applyFont="1" applyFill="1" applyBorder="1" applyAlignment="1">
      <alignment horizontal="center" vertical="center"/>
    </xf>
    <xf numFmtId="0" fontId="74" fillId="0" borderId="14" xfId="0" applyFont="1" applyFill="1" applyBorder="1" applyAlignment="1">
      <alignment horizontal="center" vertical="center"/>
    </xf>
    <xf numFmtId="0" fontId="76" fillId="0" borderId="0" xfId="0" applyFont="1" applyAlignment="1">
      <alignment horizontal="center" vertical="center"/>
    </xf>
    <xf numFmtId="0" fontId="0" fillId="0" borderId="0" xfId="0" applyNumberFormat="1">
      <alignment vertical="center"/>
    </xf>
    <xf numFmtId="0" fontId="75" fillId="0" borderId="14" xfId="0" applyNumberFormat="1" applyFont="1" applyBorder="1" applyAlignment="1">
      <alignment horizontal="center" vertical="center"/>
    </xf>
    <xf numFmtId="0" fontId="75" fillId="0" borderId="14" xfId="0" applyNumberFormat="1" applyFont="1" applyBorder="1" applyAlignment="1">
      <alignment horizontal="center" vertical="center" wrapText="1"/>
    </xf>
    <xf numFmtId="0" fontId="75" fillId="0" borderId="0" xfId="0" applyNumberFormat="1" applyFont="1" applyBorder="1" applyAlignment="1">
      <alignment horizontal="center" vertical="center"/>
    </xf>
    <xf numFmtId="0" fontId="75" fillId="0" borderId="1" xfId="0" applyNumberFormat="1" applyFont="1" applyBorder="1" applyAlignment="1">
      <alignment horizontal="center" vertical="center"/>
    </xf>
    <xf numFmtId="43" fontId="75" fillId="0" borderId="1" xfId="0" applyNumberFormat="1" applyFont="1" applyBorder="1" applyAlignment="1">
      <alignment horizontal="center" vertical="center"/>
    </xf>
    <xf numFmtId="43" fontId="75" fillId="0" borderId="14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79" fillId="0" borderId="0" xfId="0" applyNumberFormat="1" applyFont="1" applyBorder="1" applyAlignment="1">
      <alignment horizontal="center" vertical="center"/>
    </xf>
    <xf numFmtId="179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80" fillId="0" borderId="0" xfId="0" applyNumberFormat="1" applyFont="1" applyBorder="1" applyAlignment="1">
      <alignment vertical="center"/>
    </xf>
    <xf numFmtId="179" fontId="0" fillId="0" borderId="0" xfId="0" applyNumberFormat="1" applyBorder="1" applyAlignment="1">
      <alignment vertical="center"/>
    </xf>
    <xf numFmtId="0" fontId="81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37" fillId="2" borderId="0" xfId="0" applyNumberFormat="1" applyFont="1" applyFill="1" applyBorder="1" applyAlignment="1" applyProtection="1">
      <alignment horizontal="center" vertical="center"/>
      <protection locked="0"/>
    </xf>
    <xf numFmtId="0" fontId="58" fillId="2" borderId="11" xfId="0" applyNumberFormat="1" applyFont="1" applyFill="1" applyBorder="1" applyAlignment="1" applyProtection="1">
      <alignment horizontal="center" vertical="center"/>
      <protection locked="0"/>
    </xf>
    <xf numFmtId="0" fontId="58" fillId="2" borderId="1" xfId="0" applyNumberFormat="1" applyFont="1" applyFill="1" applyBorder="1" applyAlignment="1" applyProtection="1">
      <alignment horizontal="center" vertical="center"/>
      <protection locked="0"/>
    </xf>
    <xf numFmtId="0" fontId="61" fillId="2" borderId="13" xfId="0" applyFont="1" applyFill="1" applyBorder="1" applyAlignment="1">
      <alignment horizontal="center" vertical="center"/>
    </xf>
    <xf numFmtId="0" fontId="62" fillId="2" borderId="13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63" fillId="2" borderId="11" xfId="0" applyFont="1" applyFill="1" applyBorder="1" applyAlignment="1">
      <alignment horizontal="center" vertical="center" wrapText="1"/>
    </xf>
    <xf numFmtId="0" fontId="63" fillId="2" borderId="11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69" fillId="0" borderId="13" xfId="0" applyFont="1" applyBorder="1" applyAlignment="1" applyProtection="1">
      <alignment horizontal="center" vertical="center"/>
    </xf>
    <xf numFmtId="0" fontId="39" fillId="0" borderId="13" xfId="0" applyNumberFormat="1" applyFont="1" applyBorder="1" applyAlignment="1">
      <alignment horizontal="center" vertical="center"/>
    </xf>
    <xf numFmtId="0" fontId="39" fillId="0" borderId="13" xfId="0" applyNumberFormat="1" applyFont="1" applyBorder="1">
      <alignment vertical="center"/>
    </xf>
    <xf numFmtId="0" fontId="46" fillId="0" borderId="0" xfId="0" applyFont="1" applyAlignment="1">
      <alignment horizontal="center" vertical="center"/>
    </xf>
    <xf numFmtId="0" fontId="48" fillId="28" borderId="13" xfId="0" applyFont="1" applyFill="1" applyBorder="1" applyAlignment="1">
      <alignment horizontal="center" vertical="center"/>
    </xf>
    <xf numFmtId="0" fontId="40" fillId="29" borderId="11" xfId="0" applyNumberFormat="1" applyFont="1" applyFill="1" applyBorder="1" applyAlignment="1">
      <alignment horizontal="center" vertical="center"/>
    </xf>
    <xf numFmtId="0" fontId="40" fillId="29" borderId="1" xfId="0" applyNumberFormat="1" applyFont="1" applyFill="1" applyBorder="1" applyAlignment="1">
      <alignment horizontal="center" vertical="center"/>
    </xf>
    <xf numFmtId="179" fontId="54" fillId="2" borderId="13" xfId="0" applyNumberFormat="1" applyFont="1" applyFill="1" applyBorder="1" applyAlignment="1">
      <alignment horizontal="center" vertical="center"/>
    </xf>
    <xf numFmtId="179" fontId="0" fillId="0" borderId="13" xfId="0" applyNumberFormat="1" applyBorder="1" applyAlignment="1">
      <alignment horizontal="center" vertical="center"/>
    </xf>
    <xf numFmtId="0" fontId="0" fillId="0" borderId="13" xfId="0" applyBorder="1" applyAlignment="1">
      <alignment vertical="center"/>
    </xf>
    <xf numFmtId="179" fontId="2" fillId="29" borderId="14" xfId="0" applyNumberFormat="1" applyFont="1" applyFill="1" applyBorder="1" applyAlignment="1">
      <alignment horizontal="center" vertical="center"/>
    </xf>
    <xf numFmtId="179" fontId="42" fillId="29" borderId="14" xfId="0" applyNumberFormat="1" applyFont="1" applyFill="1" applyBorder="1" applyAlignment="1">
      <alignment horizontal="center" vertical="center"/>
    </xf>
    <xf numFmtId="0" fontId="64" fillId="0" borderId="13" xfId="0" applyFont="1" applyBorder="1" applyAlignment="1">
      <alignment horizontal="center" vertical="center"/>
    </xf>
    <xf numFmtId="0" fontId="65" fillId="0" borderId="13" xfId="0" applyFont="1" applyBorder="1" applyAlignment="1">
      <alignment vertical="center"/>
    </xf>
  </cellXfs>
  <cellStyles count="2009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6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0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 2" xfId="2007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VD14"/>
  <sheetViews>
    <sheetView tabSelected="1" workbookViewId="0">
      <selection activeCell="F12" sqref="F12"/>
    </sheetView>
  </sheetViews>
  <sheetFormatPr defaultColWidth="9" defaultRowHeight="13.5"/>
  <cols>
    <col min="1" max="1" width="6.25" style="119" customWidth="1"/>
    <col min="2" max="2" width="25.5" style="126" customWidth="1"/>
    <col min="3" max="5" width="21.25" style="119" customWidth="1"/>
    <col min="6" max="6" width="17.375" style="119" customWidth="1"/>
    <col min="7" max="7" width="21.75" style="119" customWidth="1"/>
    <col min="8" max="240" width="9" style="119"/>
    <col min="241" max="241" width="6.625" style="119" customWidth="1"/>
    <col min="242" max="243" width="21.625" style="119" customWidth="1"/>
    <col min="244" max="244" width="16.125" style="119" customWidth="1"/>
    <col min="245" max="245" width="13.875" style="119" customWidth="1"/>
    <col min="246" max="246" width="17.25" style="119" customWidth="1"/>
    <col min="247" max="248" width="20.5" style="119" customWidth="1"/>
    <col min="249" max="249" width="9" style="119" hidden="1" customWidth="1"/>
    <col min="250" max="250" width="18.375" style="119" customWidth="1"/>
    <col min="251" max="252" width="9" style="119" hidden="1" customWidth="1"/>
    <col min="253" max="496" width="9" style="119"/>
    <col min="497" max="497" width="6.625" style="119" customWidth="1"/>
    <col min="498" max="499" width="21.625" style="119" customWidth="1"/>
    <col min="500" max="500" width="16.125" style="119" customWidth="1"/>
    <col min="501" max="501" width="13.875" style="119" customWidth="1"/>
    <col min="502" max="502" width="17.25" style="119" customWidth="1"/>
    <col min="503" max="504" width="20.5" style="119" customWidth="1"/>
    <col min="505" max="505" width="9" style="119" hidden="1" customWidth="1"/>
    <col min="506" max="506" width="18.375" style="119" customWidth="1"/>
    <col min="507" max="508" width="9" style="119" hidden="1" customWidth="1"/>
    <col min="509" max="752" width="9" style="119"/>
    <col min="753" max="753" width="6.625" style="119" customWidth="1"/>
    <col min="754" max="755" width="21.625" style="119" customWidth="1"/>
    <col min="756" max="756" width="16.125" style="119" customWidth="1"/>
    <col min="757" max="757" width="13.875" style="119" customWidth="1"/>
    <col min="758" max="758" width="17.25" style="119" customWidth="1"/>
    <col min="759" max="760" width="20.5" style="119" customWidth="1"/>
    <col min="761" max="761" width="9" style="119" hidden="1" customWidth="1"/>
    <col min="762" max="762" width="18.375" style="119" customWidth="1"/>
    <col min="763" max="764" width="9" style="119" hidden="1" customWidth="1"/>
    <col min="765" max="1008" width="9" style="119"/>
    <col min="1009" max="1009" width="6.625" style="119" customWidth="1"/>
    <col min="1010" max="1011" width="21.625" style="119" customWidth="1"/>
    <col min="1012" max="1012" width="16.125" style="119" customWidth="1"/>
    <col min="1013" max="1013" width="13.875" style="119" customWidth="1"/>
    <col min="1014" max="1014" width="17.25" style="119" customWidth="1"/>
    <col min="1015" max="1016" width="20.5" style="119" customWidth="1"/>
    <col min="1017" max="1017" width="9" style="119" hidden="1" customWidth="1"/>
    <col min="1018" max="1018" width="18.375" style="119" customWidth="1"/>
    <col min="1019" max="1020" width="9" style="119" hidden="1" customWidth="1"/>
    <col min="1021" max="1264" width="9" style="119"/>
    <col min="1265" max="1265" width="6.625" style="119" customWidth="1"/>
    <col min="1266" max="1267" width="21.625" style="119" customWidth="1"/>
    <col min="1268" max="1268" width="16.125" style="119" customWidth="1"/>
    <col min="1269" max="1269" width="13.875" style="119" customWidth="1"/>
    <col min="1270" max="1270" width="17.25" style="119" customWidth="1"/>
    <col min="1271" max="1272" width="20.5" style="119" customWidth="1"/>
    <col min="1273" max="1273" width="9" style="119" hidden="1" customWidth="1"/>
    <col min="1274" max="1274" width="18.375" style="119" customWidth="1"/>
    <col min="1275" max="1276" width="9" style="119" hidden="1" customWidth="1"/>
    <col min="1277" max="1520" width="9" style="119"/>
    <col min="1521" max="1521" width="6.625" style="119" customWidth="1"/>
    <col min="1522" max="1523" width="21.625" style="119" customWidth="1"/>
    <col min="1524" max="1524" width="16.125" style="119" customWidth="1"/>
    <col min="1525" max="1525" width="13.875" style="119" customWidth="1"/>
    <col min="1526" max="1526" width="17.25" style="119" customWidth="1"/>
    <col min="1527" max="1528" width="20.5" style="119" customWidth="1"/>
    <col min="1529" max="1529" width="9" style="119" hidden="1" customWidth="1"/>
    <col min="1530" max="1530" width="18.375" style="119" customWidth="1"/>
    <col min="1531" max="1532" width="9" style="119" hidden="1" customWidth="1"/>
    <col min="1533" max="1776" width="9" style="119"/>
    <col min="1777" max="1777" width="6.625" style="119" customWidth="1"/>
    <col min="1778" max="1779" width="21.625" style="119" customWidth="1"/>
    <col min="1780" max="1780" width="16.125" style="119" customWidth="1"/>
    <col min="1781" max="1781" width="13.875" style="119" customWidth="1"/>
    <col min="1782" max="1782" width="17.25" style="119" customWidth="1"/>
    <col min="1783" max="1784" width="20.5" style="119" customWidth="1"/>
    <col min="1785" max="1785" width="9" style="119" hidden="1" customWidth="1"/>
    <col min="1786" max="1786" width="18.375" style="119" customWidth="1"/>
    <col min="1787" max="1788" width="9" style="119" hidden="1" customWidth="1"/>
    <col min="1789" max="2032" width="9" style="119"/>
    <col min="2033" max="2033" width="6.625" style="119" customWidth="1"/>
    <col min="2034" max="2035" width="21.625" style="119" customWidth="1"/>
    <col min="2036" max="2036" width="16.125" style="119" customWidth="1"/>
    <col min="2037" max="2037" width="13.875" style="119" customWidth="1"/>
    <col min="2038" max="2038" width="17.25" style="119" customWidth="1"/>
    <col min="2039" max="2040" width="20.5" style="119" customWidth="1"/>
    <col min="2041" max="2041" width="9" style="119" hidden="1" customWidth="1"/>
    <col min="2042" max="2042" width="18.375" style="119" customWidth="1"/>
    <col min="2043" max="2044" width="9" style="119" hidden="1" customWidth="1"/>
    <col min="2045" max="2288" width="9" style="119"/>
    <col min="2289" max="2289" width="6.625" style="119" customWidth="1"/>
    <col min="2290" max="2291" width="21.625" style="119" customWidth="1"/>
    <col min="2292" max="2292" width="16.125" style="119" customWidth="1"/>
    <col min="2293" max="2293" width="13.875" style="119" customWidth="1"/>
    <col min="2294" max="2294" width="17.25" style="119" customWidth="1"/>
    <col min="2295" max="2296" width="20.5" style="119" customWidth="1"/>
    <col min="2297" max="2297" width="9" style="119" hidden="1" customWidth="1"/>
    <col min="2298" max="2298" width="18.375" style="119" customWidth="1"/>
    <col min="2299" max="2300" width="9" style="119" hidden="1" customWidth="1"/>
    <col min="2301" max="2544" width="9" style="119"/>
    <col min="2545" max="2545" width="6.625" style="119" customWidth="1"/>
    <col min="2546" max="2547" width="21.625" style="119" customWidth="1"/>
    <col min="2548" max="2548" width="16.125" style="119" customWidth="1"/>
    <col min="2549" max="2549" width="13.875" style="119" customWidth="1"/>
    <col min="2550" max="2550" width="17.25" style="119" customWidth="1"/>
    <col min="2551" max="2552" width="20.5" style="119" customWidth="1"/>
    <col min="2553" max="2553" width="9" style="119" hidden="1" customWidth="1"/>
    <col min="2554" max="2554" width="18.375" style="119" customWidth="1"/>
    <col min="2555" max="2556" width="9" style="119" hidden="1" customWidth="1"/>
    <col min="2557" max="2800" width="9" style="119"/>
    <col min="2801" max="2801" width="6.625" style="119" customWidth="1"/>
    <col min="2802" max="2803" width="21.625" style="119" customWidth="1"/>
    <col min="2804" max="2804" width="16.125" style="119" customWidth="1"/>
    <col min="2805" max="2805" width="13.875" style="119" customWidth="1"/>
    <col min="2806" max="2806" width="17.25" style="119" customWidth="1"/>
    <col min="2807" max="2808" width="20.5" style="119" customWidth="1"/>
    <col min="2809" max="2809" width="9" style="119" hidden="1" customWidth="1"/>
    <col min="2810" max="2810" width="18.375" style="119" customWidth="1"/>
    <col min="2811" max="2812" width="9" style="119" hidden="1" customWidth="1"/>
    <col min="2813" max="3056" width="9" style="119"/>
    <col min="3057" max="3057" width="6.625" style="119" customWidth="1"/>
    <col min="3058" max="3059" width="21.625" style="119" customWidth="1"/>
    <col min="3060" max="3060" width="16.125" style="119" customWidth="1"/>
    <col min="3061" max="3061" width="13.875" style="119" customWidth="1"/>
    <col min="3062" max="3062" width="17.25" style="119" customWidth="1"/>
    <col min="3063" max="3064" width="20.5" style="119" customWidth="1"/>
    <col min="3065" max="3065" width="9" style="119" hidden="1" customWidth="1"/>
    <col min="3066" max="3066" width="18.375" style="119" customWidth="1"/>
    <col min="3067" max="3068" width="9" style="119" hidden="1" customWidth="1"/>
    <col min="3069" max="3312" width="9" style="119"/>
    <col min="3313" max="3313" width="6.625" style="119" customWidth="1"/>
    <col min="3314" max="3315" width="21.625" style="119" customWidth="1"/>
    <col min="3316" max="3316" width="16.125" style="119" customWidth="1"/>
    <col min="3317" max="3317" width="13.875" style="119" customWidth="1"/>
    <col min="3318" max="3318" width="17.25" style="119" customWidth="1"/>
    <col min="3319" max="3320" width="20.5" style="119" customWidth="1"/>
    <col min="3321" max="3321" width="9" style="119" hidden="1" customWidth="1"/>
    <col min="3322" max="3322" width="18.375" style="119" customWidth="1"/>
    <col min="3323" max="3324" width="9" style="119" hidden="1" customWidth="1"/>
    <col min="3325" max="3568" width="9" style="119"/>
    <col min="3569" max="3569" width="6.625" style="119" customWidth="1"/>
    <col min="3570" max="3571" width="21.625" style="119" customWidth="1"/>
    <col min="3572" max="3572" width="16.125" style="119" customWidth="1"/>
    <col min="3573" max="3573" width="13.875" style="119" customWidth="1"/>
    <col min="3574" max="3574" width="17.25" style="119" customWidth="1"/>
    <col min="3575" max="3576" width="20.5" style="119" customWidth="1"/>
    <col min="3577" max="3577" width="9" style="119" hidden="1" customWidth="1"/>
    <col min="3578" max="3578" width="18.375" style="119" customWidth="1"/>
    <col min="3579" max="3580" width="9" style="119" hidden="1" customWidth="1"/>
    <col min="3581" max="3824" width="9" style="119"/>
    <col min="3825" max="3825" width="6.625" style="119" customWidth="1"/>
    <col min="3826" max="3827" width="21.625" style="119" customWidth="1"/>
    <col min="3828" max="3828" width="16.125" style="119" customWidth="1"/>
    <col min="3829" max="3829" width="13.875" style="119" customWidth="1"/>
    <col min="3830" max="3830" width="17.25" style="119" customWidth="1"/>
    <col min="3831" max="3832" width="20.5" style="119" customWidth="1"/>
    <col min="3833" max="3833" width="9" style="119" hidden="1" customWidth="1"/>
    <col min="3834" max="3834" width="18.375" style="119" customWidth="1"/>
    <col min="3835" max="3836" width="9" style="119" hidden="1" customWidth="1"/>
    <col min="3837" max="4080" width="9" style="119"/>
    <col min="4081" max="4081" width="6.625" style="119" customWidth="1"/>
    <col min="4082" max="4083" width="21.625" style="119" customWidth="1"/>
    <col min="4084" max="4084" width="16.125" style="119" customWidth="1"/>
    <col min="4085" max="4085" width="13.875" style="119" customWidth="1"/>
    <col min="4086" max="4086" width="17.25" style="119" customWidth="1"/>
    <col min="4087" max="4088" width="20.5" style="119" customWidth="1"/>
    <col min="4089" max="4089" width="9" style="119" hidden="1" customWidth="1"/>
    <col min="4090" max="4090" width="18.375" style="119" customWidth="1"/>
    <col min="4091" max="4092" width="9" style="119" hidden="1" customWidth="1"/>
    <col min="4093" max="4336" width="9" style="119"/>
    <col min="4337" max="4337" width="6.625" style="119" customWidth="1"/>
    <col min="4338" max="4339" width="21.625" style="119" customWidth="1"/>
    <col min="4340" max="4340" width="16.125" style="119" customWidth="1"/>
    <col min="4341" max="4341" width="13.875" style="119" customWidth="1"/>
    <col min="4342" max="4342" width="17.25" style="119" customWidth="1"/>
    <col min="4343" max="4344" width="20.5" style="119" customWidth="1"/>
    <col min="4345" max="4345" width="9" style="119" hidden="1" customWidth="1"/>
    <col min="4346" max="4346" width="18.375" style="119" customWidth="1"/>
    <col min="4347" max="4348" width="9" style="119" hidden="1" customWidth="1"/>
    <col min="4349" max="4592" width="9" style="119"/>
    <col min="4593" max="4593" width="6.625" style="119" customWidth="1"/>
    <col min="4594" max="4595" width="21.625" style="119" customWidth="1"/>
    <col min="4596" max="4596" width="16.125" style="119" customWidth="1"/>
    <col min="4597" max="4597" width="13.875" style="119" customWidth="1"/>
    <col min="4598" max="4598" width="17.25" style="119" customWidth="1"/>
    <col min="4599" max="4600" width="20.5" style="119" customWidth="1"/>
    <col min="4601" max="4601" width="9" style="119" hidden="1" customWidth="1"/>
    <col min="4602" max="4602" width="18.375" style="119" customWidth="1"/>
    <col min="4603" max="4604" width="9" style="119" hidden="1" customWidth="1"/>
    <col min="4605" max="4848" width="9" style="119"/>
    <col min="4849" max="4849" width="6.625" style="119" customWidth="1"/>
    <col min="4850" max="4851" width="21.625" style="119" customWidth="1"/>
    <col min="4852" max="4852" width="16.125" style="119" customWidth="1"/>
    <col min="4853" max="4853" width="13.875" style="119" customWidth="1"/>
    <col min="4854" max="4854" width="17.25" style="119" customWidth="1"/>
    <col min="4855" max="4856" width="20.5" style="119" customWidth="1"/>
    <col min="4857" max="4857" width="9" style="119" hidden="1" customWidth="1"/>
    <col min="4858" max="4858" width="18.375" style="119" customWidth="1"/>
    <col min="4859" max="4860" width="9" style="119" hidden="1" customWidth="1"/>
    <col min="4861" max="5104" width="9" style="119"/>
    <col min="5105" max="5105" width="6.625" style="119" customWidth="1"/>
    <col min="5106" max="5107" width="21.625" style="119" customWidth="1"/>
    <col min="5108" max="5108" width="16.125" style="119" customWidth="1"/>
    <col min="5109" max="5109" width="13.875" style="119" customWidth="1"/>
    <col min="5110" max="5110" width="17.25" style="119" customWidth="1"/>
    <col min="5111" max="5112" width="20.5" style="119" customWidth="1"/>
    <col min="5113" max="5113" width="9" style="119" hidden="1" customWidth="1"/>
    <col min="5114" max="5114" width="18.375" style="119" customWidth="1"/>
    <col min="5115" max="5116" width="9" style="119" hidden="1" customWidth="1"/>
    <col min="5117" max="5360" width="9" style="119"/>
    <col min="5361" max="5361" width="6.625" style="119" customWidth="1"/>
    <col min="5362" max="5363" width="21.625" style="119" customWidth="1"/>
    <col min="5364" max="5364" width="16.125" style="119" customWidth="1"/>
    <col min="5365" max="5365" width="13.875" style="119" customWidth="1"/>
    <col min="5366" max="5366" width="17.25" style="119" customWidth="1"/>
    <col min="5367" max="5368" width="20.5" style="119" customWidth="1"/>
    <col min="5369" max="5369" width="9" style="119" hidden="1" customWidth="1"/>
    <col min="5370" max="5370" width="18.375" style="119" customWidth="1"/>
    <col min="5371" max="5372" width="9" style="119" hidden="1" customWidth="1"/>
    <col min="5373" max="5616" width="9" style="119"/>
    <col min="5617" max="5617" width="6.625" style="119" customWidth="1"/>
    <col min="5618" max="5619" width="21.625" style="119" customWidth="1"/>
    <col min="5620" max="5620" width="16.125" style="119" customWidth="1"/>
    <col min="5621" max="5621" width="13.875" style="119" customWidth="1"/>
    <col min="5622" max="5622" width="17.25" style="119" customWidth="1"/>
    <col min="5623" max="5624" width="20.5" style="119" customWidth="1"/>
    <col min="5625" max="5625" width="9" style="119" hidden="1" customWidth="1"/>
    <col min="5626" max="5626" width="18.375" style="119" customWidth="1"/>
    <col min="5627" max="5628" width="9" style="119" hidden="1" customWidth="1"/>
    <col min="5629" max="5872" width="9" style="119"/>
    <col min="5873" max="5873" width="6.625" style="119" customWidth="1"/>
    <col min="5874" max="5875" width="21.625" style="119" customWidth="1"/>
    <col min="5876" max="5876" width="16.125" style="119" customWidth="1"/>
    <col min="5877" max="5877" width="13.875" style="119" customWidth="1"/>
    <col min="5878" max="5878" width="17.25" style="119" customWidth="1"/>
    <col min="5879" max="5880" width="20.5" style="119" customWidth="1"/>
    <col min="5881" max="5881" width="9" style="119" hidden="1" customWidth="1"/>
    <col min="5882" max="5882" width="18.375" style="119" customWidth="1"/>
    <col min="5883" max="5884" width="9" style="119" hidden="1" customWidth="1"/>
    <col min="5885" max="6128" width="9" style="119"/>
    <col min="6129" max="6129" width="6.625" style="119" customWidth="1"/>
    <col min="6130" max="6131" width="21.625" style="119" customWidth="1"/>
    <col min="6132" max="6132" width="16.125" style="119" customWidth="1"/>
    <col min="6133" max="6133" width="13.875" style="119" customWidth="1"/>
    <col min="6134" max="6134" width="17.25" style="119" customWidth="1"/>
    <col min="6135" max="6136" width="20.5" style="119" customWidth="1"/>
    <col min="6137" max="6137" width="9" style="119" hidden="1" customWidth="1"/>
    <col min="6138" max="6138" width="18.375" style="119" customWidth="1"/>
    <col min="6139" max="6140" width="9" style="119" hidden="1" customWidth="1"/>
    <col min="6141" max="6384" width="9" style="119"/>
    <col min="6385" max="6385" width="6.625" style="119" customWidth="1"/>
    <col min="6386" max="6387" width="21.625" style="119" customWidth="1"/>
    <col min="6388" max="6388" width="16.125" style="119" customWidth="1"/>
    <col min="6389" max="6389" width="13.875" style="119" customWidth="1"/>
    <col min="6390" max="6390" width="17.25" style="119" customWidth="1"/>
    <col min="6391" max="6392" width="20.5" style="119" customWidth="1"/>
    <col min="6393" max="6393" width="9" style="119" hidden="1" customWidth="1"/>
    <col min="6394" max="6394" width="18.375" style="119" customWidth="1"/>
    <col min="6395" max="6396" width="9" style="119" hidden="1" customWidth="1"/>
    <col min="6397" max="6640" width="9" style="119"/>
    <col min="6641" max="6641" width="6.625" style="119" customWidth="1"/>
    <col min="6642" max="6643" width="21.625" style="119" customWidth="1"/>
    <col min="6644" max="6644" width="16.125" style="119" customWidth="1"/>
    <col min="6645" max="6645" width="13.875" style="119" customWidth="1"/>
    <col min="6646" max="6646" width="17.25" style="119" customWidth="1"/>
    <col min="6647" max="6648" width="20.5" style="119" customWidth="1"/>
    <col min="6649" max="6649" width="9" style="119" hidden="1" customWidth="1"/>
    <col min="6650" max="6650" width="18.375" style="119" customWidth="1"/>
    <col min="6651" max="6652" width="9" style="119" hidden="1" customWidth="1"/>
    <col min="6653" max="6896" width="9" style="119"/>
    <col min="6897" max="6897" width="6.625" style="119" customWidth="1"/>
    <col min="6898" max="6899" width="21.625" style="119" customWidth="1"/>
    <col min="6900" max="6900" width="16.125" style="119" customWidth="1"/>
    <col min="6901" max="6901" width="13.875" style="119" customWidth="1"/>
    <col min="6902" max="6902" width="17.25" style="119" customWidth="1"/>
    <col min="6903" max="6904" width="20.5" style="119" customWidth="1"/>
    <col min="6905" max="6905" width="9" style="119" hidden="1" customWidth="1"/>
    <col min="6906" max="6906" width="18.375" style="119" customWidth="1"/>
    <col min="6907" max="6908" width="9" style="119" hidden="1" customWidth="1"/>
    <col min="6909" max="7152" width="9" style="119"/>
    <col min="7153" max="7153" width="6.625" style="119" customWidth="1"/>
    <col min="7154" max="7155" width="21.625" style="119" customWidth="1"/>
    <col min="7156" max="7156" width="16.125" style="119" customWidth="1"/>
    <col min="7157" max="7157" width="13.875" style="119" customWidth="1"/>
    <col min="7158" max="7158" width="17.25" style="119" customWidth="1"/>
    <col min="7159" max="7160" width="20.5" style="119" customWidth="1"/>
    <col min="7161" max="7161" width="9" style="119" hidden="1" customWidth="1"/>
    <col min="7162" max="7162" width="18.375" style="119" customWidth="1"/>
    <col min="7163" max="7164" width="9" style="119" hidden="1" customWidth="1"/>
    <col min="7165" max="7408" width="9" style="119"/>
    <col min="7409" max="7409" width="6.625" style="119" customWidth="1"/>
    <col min="7410" max="7411" width="21.625" style="119" customWidth="1"/>
    <col min="7412" max="7412" width="16.125" style="119" customWidth="1"/>
    <col min="7413" max="7413" width="13.875" style="119" customWidth="1"/>
    <col min="7414" max="7414" width="17.25" style="119" customWidth="1"/>
    <col min="7415" max="7416" width="20.5" style="119" customWidth="1"/>
    <col min="7417" max="7417" width="9" style="119" hidden="1" customWidth="1"/>
    <col min="7418" max="7418" width="18.375" style="119" customWidth="1"/>
    <col min="7419" max="7420" width="9" style="119" hidden="1" customWidth="1"/>
    <col min="7421" max="7664" width="9" style="119"/>
    <col min="7665" max="7665" width="6.625" style="119" customWidth="1"/>
    <col min="7666" max="7667" width="21.625" style="119" customWidth="1"/>
    <col min="7668" max="7668" width="16.125" style="119" customWidth="1"/>
    <col min="7669" max="7669" width="13.875" style="119" customWidth="1"/>
    <col min="7670" max="7670" width="17.25" style="119" customWidth="1"/>
    <col min="7671" max="7672" width="20.5" style="119" customWidth="1"/>
    <col min="7673" max="7673" width="9" style="119" hidden="1" customWidth="1"/>
    <col min="7674" max="7674" width="18.375" style="119" customWidth="1"/>
    <col min="7675" max="7676" width="9" style="119" hidden="1" customWidth="1"/>
    <col min="7677" max="7920" width="9" style="119"/>
    <col min="7921" max="7921" width="6.625" style="119" customWidth="1"/>
    <col min="7922" max="7923" width="21.625" style="119" customWidth="1"/>
    <col min="7924" max="7924" width="16.125" style="119" customWidth="1"/>
    <col min="7925" max="7925" width="13.875" style="119" customWidth="1"/>
    <col min="7926" max="7926" width="17.25" style="119" customWidth="1"/>
    <col min="7927" max="7928" width="20.5" style="119" customWidth="1"/>
    <col min="7929" max="7929" width="9" style="119" hidden="1" customWidth="1"/>
    <col min="7930" max="7930" width="18.375" style="119" customWidth="1"/>
    <col min="7931" max="7932" width="9" style="119" hidden="1" customWidth="1"/>
    <col min="7933" max="8176" width="9" style="119"/>
    <col min="8177" max="8177" width="6.625" style="119" customWidth="1"/>
    <col min="8178" max="8179" width="21.625" style="119" customWidth="1"/>
    <col min="8180" max="8180" width="16.125" style="119" customWidth="1"/>
    <col min="8181" max="8181" width="13.875" style="119" customWidth="1"/>
    <col min="8182" max="8182" width="17.25" style="119" customWidth="1"/>
    <col min="8183" max="8184" width="20.5" style="119" customWidth="1"/>
    <col min="8185" max="8185" width="9" style="119" hidden="1" customWidth="1"/>
    <col min="8186" max="8186" width="18.375" style="119" customWidth="1"/>
    <col min="8187" max="8188" width="9" style="119" hidden="1" customWidth="1"/>
    <col min="8189" max="8432" width="9" style="119"/>
    <col min="8433" max="8433" width="6.625" style="119" customWidth="1"/>
    <col min="8434" max="8435" width="21.625" style="119" customWidth="1"/>
    <col min="8436" max="8436" width="16.125" style="119" customWidth="1"/>
    <col min="8437" max="8437" width="13.875" style="119" customWidth="1"/>
    <col min="8438" max="8438" width="17.25" style="119" customWidth="1"/>
    <col min="8439" max="8440" width="20.5" style="119" customWidth="1"/>
    <col min="8441" max="8441" width="9" style="119" hidden="1" customWidth="1"/>
    <col min="8442" max="8442" width="18.375" style="119" customWidth="1"/>
    <col min="8443" max="8444" width="9" style="119" hidden="1" customWidth="1"/>
    <col min="8445" max="8688" width="9" style="119"/>
    <col min="8689" max="8689" width="6.625" style="119" customWidth="1"/>
    <col min="8690" max="8691" width="21.625" style="119" customWidth="1"/>
    <col min="8692" max="8692" width="16.125" style="119" customWidth="1"/>
    <col min="8693" max="8693" width="13.875" style="119" customWidth="1"/>
    <col min="8694" max="8694" width="17.25" style="119" customWidth="1"/>
    <col min="8695" max="8696" width="20.5" style="119" customWidth="1"/>
    <col min="8697" max="8697" width="9" style="119" hidden="1" customWidth="1"/>
    <col min="8698" max="8698" width="18.375" style="119" customWidth="1"/>
    <col min="8699" max="8700" width="9" style="119" hidden="1" customWidth="1"/>
    <col min="8701" max="8944" width="9" style="119"/>
    <col min="8945" max="8945" width="6.625" style="119" customWidth="1"/>
    <col min="8946" max="8947" width="21.625" style="119" customWidth="1"/>
    <col min="8948" max="8948" width="16.125" style="119" customWidth="1"/>
    <col min="8949" max="8949" width="13.875" style="119" customWidth="1"/>
    <col min="8950" max="8950" width="17.25" style="119" customWidth="1"/>
    <col min="8951" max="8952" width="20.5" style="119" customWidth="1"/>
    <col min="8953" max="8953" width="9" style="119" hidden="1" customWidth="1"/>
    <col min="8954" max="8954" width="18.375" style="119" customWidth="1"/>
    <col min="8955" max="8956" width="9" style="119" hidden="1" customWidth="1"/>
    <col min="8957" max="9200" width="9" style="119"/>
    <col min="9201" max="9201" width="6.625" style="119" customWidth="1"/>
    <col min="9202" max="9203" width="21.625" style="119" customWidth="1"/>
    <col min="9204" max="9204" width="16.125" style="119" customWidth="1"/>
    <col min="9205" max="9205" width="13.875" style="119" customWidth="1"/>
    <col min="9206" max="9206" width="17.25" style="119" customWidth="1"/>
    <col min="9207" max="9208" width="20.5" style="119" customWidth="1"/>
    <col min="9209" max="9209" width="9" style="119" hidden="1" customWidth="1"/>
    <col min="9210" max="9210" width="18.375" style="119" customWidth="1"/>
    <col min="9211" max="9212" width="9" style="119" hidden="1" customWidth="1"/>
    <col min="9213" max="9456" width="9" style="119"/>
    <col min="9457" max="9457" width="6.625" style="119" customWidth="1"/>
    <col min="9458" max="9459" width="21.625" style="119" customWidth="1"/>
    <col min="9460" max="9460" width="16.125" style="119" customWidth="1"/>
    <col min="9461" max="9461" width="13.875" style="119" customWidth="1"/>
    <col min="9462" max="9462" width="17.25" style="119" customWidth="1"/>
    <col min="9463" max="9464" width="20.5" style="119" customWidth="1"/>
    <col min="9465" max="9465" width="9" style="119" hidden="1" customWidth="1"/>
    <col min="9466" max="9466" width="18.375" style="119" customWidth="1"/>
    <col min="9467" max="9468" width="9" style="119" hidden="1" customWidth="1"/>
    <col min="9469" max="9712" width="9" style="119"/>
    <col min="9713" max="9713" width="6.625" style="119" customWidth="1"/>
    <col min="9714" max="9715" width="21.625" style="119" customWidth="1"/>
    <col min="9716" max="9716" width="16.125" style="119" customWidth="1"/>
    <col min="9717" max="9717" width="13.875" style="119" customWidth="1"/>
    <col min="9718" max="9718" width="17.25" style="119" customWidth="1"/>
    <col min="9719" max="9720" width="20.5" style="119" customWidth="1"/>
    <col min="9721" max="9721" width="9" style="119" hidden="1" customWidth="1"/>
    <col min="9722" max="9722" width="18.375" style="119" customWidth="1"/>
    <col min="9723" max="9724" width="9" style="119" hidden="1" customWidth="1"/>
    <col min="9725" max="9968" width="9" style="119"/>
    <col min="9969" max="9969" width="6.625" style="119" customWidth="1"/>
    <col min="9970" max="9971" width="21.625" style="119" customWidth="1"/>
    <col min="9972" max="9972" width="16.125" style="119" customWidth="1"/>
    <col min="9973" max="9973" width="13.875" style="119" customWidth="1"/>
    <col min="9974" max="9974" width="17.25" style="119" customWidth="1"/>
    <col min="9975" max="9976" width="20.5" style="119" customWidth="1"/>
    <col min="9977" max="9977" width="9" style="119" hidden="1" customWidth="1"/>
    <col min="9978" max="9978" width="18.375" style="119" customWidth="1"/>
    <col min="9979" max="9980" width="9" style="119" hidden="1" customWidth="1"/>
    <col min="9981" max="10224" width="9" style="119"/>
    <col min="10225" max="10225" width="6.625" style="119" customWidth="1"/>
    <col min="10226" max="10227" width="21.625" style="119" customWidth="1"/>
    <col min="10228" max="10228" width="16.125" style="119" customWidth="1"/>
    <col min="10229" max="10229" width="13.875" style="119" customWidth="1"/>
    <col min="10230" max="10230" width="17.25" style="119" customWidth="1"/>
    <col min="10231" max="10232" width="20.5" style="119" customWidth="1"/>
    <col min="10233" max="10233" width="9" style="119" hidden="1" customWidth="1"/>
    <col min="10234" max="10234" width="18.375" style="119" customWidth="1"/>
    <col min="10235" max="10236" width="9" style="119" hidden="1" customWidth="1"/>
    <col min="10237" max="10480" width="9" style="119"/>
    <col min="10481" max="10481" width="6.625" style="119" customWidth="1"/>
    <col min="10482" max="10483" width="21.625" style="119" customWidth="1"/>
    <col min="10484" max="10484" width="16.125" style="119" customWidth="1"/>
    <col min="10485" max="10485" width="13.875" style="119" customWidth="1"/>
    <col min="10486" max="10486" width="17.25" style="119" customWidth="1"/>
    <col min="10487" max="10488" width="20.5" style="119" customWidth="1"/>
    <col min="10489" max="10489" width="9" style="119" hidden="1" customWidth="1"/>
    <col min="10490" max="10490" width="18.375" style="119" customWidth="1"/>
    <col min="10491" max="10492" width="9" style="119" hidden="1" customWidth="1"/>
    <col min="10493" max="10736" width="9" style="119"/>
    <col min="10737" max="10737" width="6.625" style="119" customWidth="1"/>
    <col min="10738" max="10739" width="21.625" style="119" customWidth="1"/>
    <col min="10740" max="10740" width="16.125" style="119" customWidth="1"/>
    <col min="10741" max="10741" width="13.875" style="119" customWidth="1"/>
    <col min="10742" max="10742" width="17.25" style="119" customWidth="1"/>
    <col min="10743" max="10744" width="20.5" style="119" customWidth="1"/>
    <col min="10745" max="10745" width="9" style="119" hidden="1" customWidth="1"/>
    <col min="10746" max="10746" width="18.375" style="119" customWidth="1"/>
    <col min="10747" max="10748" width="9" style="119" hidden="1" customWidth="1"/>
    <col min="10749" max="10992" width="9" style="119"/>
    <col min="10993" max="10993" width="6.625" style="119" customWidth="1"/>
    <col min="10994" max="10995" width="21.625" style="119" customWidth="1"/>
    <col min="10996" max="10996" width="16.125" style="119" customWidth="1"/>
    <col min="10997" max="10997" width="13.875" style="119" customWidth="1"/>
    <col min="10998" max="10998" width="17.25" style="119" customWidth="1"/>
    <col min="10999" max="11000" width="20.5" style="119" customWidth="1"/>
    <col min="11001" max="11001" width="9" style="119" hidden="1" customWidth="1"/>
    <col min="11002" max="11002" width="18.375" style="119" customWidth="1"/>
    <col min="11003" max="11004" width="9" style="119" hidden="1" customWidth="1"/>
    <col min="11005" max="11248" width="9" style="119"/>
    <col min="11249" max="11249" width="6.625" style="119" customWidth="1"/>
    <col min="11250" max="11251" width="21.625" style="119" customWidth="1"/>
    <col min="11252" max="11252" width="16.125" style="119" customWidth="1"/>
    <col min="11253" max="11253" width="13.875" style="119" customWidth="1"/>
    <col min="11254" max="11254" width="17.25" style="119" customWidth="1"/>
    <col min="11255" max="11256" width="20.5" style="119" customWidth="1"/>
    <col min="11257" max="11257" width="9" style="119" hidden="1" customWidth="1"/>
    <col min="11258" max="11258" width="18.375" style="119" customWidth="1"/>
    <col min="11259" max="11260" width="9" style="119" hidden="1" customWidth="1"/>
    <col min="11261" max="11504" width="9" style="119"/>
    <col min="11505" max="11505" width="6.625" style="119" customWidth="1"/>
    <col min="11506" max="11507" width="21.625" style="119" customWidth="1"/>
    <col min="11508" max="11508" width="16.125" style="119" customWidth="1"/>
    <col min="11509" max="11509" width="13.875" style="119" customWidth="1"/>
    <col min="11510" max="11510" width="17.25" style="119" customWidth="1"/>
    <col min="11511" max="11512" width="20.5" style="119" customWidth="1"/>
    <col min="11513" max="11513" width="9" style="119" hidden="1" customWidth="1"/>
    <col min="11514" max="11514" width="18.375" style="119" customWidth="1"/>
    <col min="11515" max="11516" width="9" style="119" hidden="1" customWidth="1"/>
    <col min="11517" max="11760" width="9" style="119"/>
    <col min="11761" max="11761" width="6.625" style="119" customWidth="1"/>
    <col min="11762" max="11763" width="21.625" style="119" customWidth="1"/>
    <col min="11764" max="11764" width="16.125" style="119" customWidth="1"/>
    <col min="11765" max="11765" width="13.875" style="119" customWidth="1"/>
    <col min="11766" max="11766" width="17.25" style="119" customWidth="1"/>
    <col min="11767" max="11768" width="20.5" style="119" customWidth="1"/>
    <col min="11769" max="11769" width="9" style="119" hidden="1" customWidth="1"/>
    <col min="11770" max="11770" width="18.375" style="119" customWidth="1"/>
    <col min="11771" max="11772" width="9" style="119" hidden="1" customWidth="1"/>
    <col min="11773" max="12016" width="9" style="119"/>
    <col min="12017" max="12017" width="6.625" style="119" customWidth="1"/>
    <col min="12018" max="12019" width="21.625" style="119" customWidth="1"/>
    <col min="12020" max="12020" width="16.125" style="119" customWidth="1"/>
    <col min="12021" max="12021" width="13.875" style="119" customWidth="1"/>
    <col min="12022" max="12022" width="17.25" style="119" customWidth="1"/>
    <col min="12023" max="12024" width="20.5" style="119" customWidth="1"/>
    <col min="12025" max="12025" width="9" style="119" hidden="1" customWidth="1"/>
    <col min="12026" max="12026" width="18.375" style="119" customWidth="1"/>
    <col min="12027" max="12028" width="9" style="119" hidden="1" customWidth="1"/>
    <col min="12029" max="12272" width="9" style="119"/>
    <col min="12273" max="12273" width="6.625" style="119" customWidth="1"/>
    <col min="12274" max="12275" width="21.625" style="119" customWidth="1"/>
    <col min="12276" max="12276" width="16.125" style="119" customWidth="1"/>
    <col min="12277" max="12277" width="13.875" style="119" customWidth="1"/>
    <col min="12278" max="12278" width="17.25" style="119" customWidth="1"/>
    <col min="12279" max="12280" width="20.5" style="119" customWidth="1"/>
    <col min="12281" max="12281" width="9" style="119" hidden="1" customWidth="1"/>
    <col min="12282" max="12282" width="18.375" style="119" customWidth="1"/>
    <col min="12283" max="12284" width="9" style="119" hidden="1" customWidth="1"/>
    <col min="12285" max="12528" width="9" style="119"/>
    <col min="12529" max="12529" width="6.625" style="119" customWidth="1"/>
    <col min="12530" max="12531" width="21.625" style="119" customWidth="1"/>
    <col min="12532" max="12532" width="16.125" style="119" customWidth="1"/>
    <col min="12533" max="12533" width="13.875" style="119" customWidth="1"/>
    <col min="12534" max="12534" width="17.25" style="119" customWidth="1"/>
    <col min="12535" max="12536" width="20.5" style="119" customWidth="1"/>
    <col min="12537" max="12537" width="9" style="119" hidden="1" customWidth="1"/>
    <col min="12538" max="12538" width="18.375" style="119" customWidth="1"/>
    <col min="12539" max="12540" width="9" style="119" hidden="1" customWidth="1"/>
    <col min="12541" max="12784" width="9" style="119"/>
    <col min="12785" max="12785" width="6.625" style="119" customWidth="1"/>
    <col min="12786" max="12787" width="21.625" style="119" customWidth="1"/>
    <col min="12788" max="12788" width="16.125" style="119" customWidth="1"/>
    <col min="12789" max="12789" width="13.875" style="119" customWidth="1"/>
    <col min="12790" max="12790" width="17.25" style="119" customWidth="1"/>
    <col min="12791" max="12792" width="20.5" style="119" customWidth="1"/>
    <col min="12793" max="12793" width="9" style="119" hidden="1" customWidth="1"/>
    <col min="12794" max="12794" width="18.375" style="119" customWidth="1"/>
    <col min="12795" max="12796" width="9" style="119" hidden="1" customWidth="1"/>
    <col min="12797" max="13040" width="9" style="119"/>
    <col min="13041" max="13041" width="6.625" style="119" customWidth="1"/>
    <col min="13042" max="13043" width="21.625" style="119" customWidth="1"/>
    <col min="13044" max="13044" width="16.125" style="119" customWidth="1"/>
    <col min="13045" max="13045" width="13.875" style="119" customWidth="1"/>
    <col min="13046" max="13046" width="17.25" style="119" customWidth="1"/>
    <col min="13047" max="13048" width="20.5" style="119" customWidth="1"/>
    <col min="13049" max="13049" width="9" style="119" hidden="1" customWidth="1"/>
    <col min="13050" max="13050" width="18.375" style="119" customWidth="1"/>
    <col min="13051" max="13052" width="9" style="119" hidden="1" customWidth="1"/>
    <col min="13053" max="13296" width="9" style="119"/>
    <col min="13297" max="13297" width="6.625" style="119" customWidth="1"/>
    <col min="13298" max="13299" width="21.625" style="119" customWidth="1"/>
    <col min="13300" max="13300" width="16.125" style="119" customWidth="1"/>
    <col min="13301" max="13301" width="13.875" style="119" customWidth="1"/>
    <col min="13302" max="13302" width="17.25" style="119" customWidth="1"/>
    <col min="13303" max="13304" width="20.5" style="119" customWidth="1"/>
    <col min="13305" max="13305" width="9" style="119" hidden="1" customWidth="1"/>
    <col min="13306" max="13306" width="18.375" style="119" customWidth="1"/>
    <col min="13307" max="13308" width="9" style="119" hidden="1" customWidth="1"/>
    <col min="13309" max="13552" width="9" style="119"/>
    <col min="13553" max="13553" width="6.625" style="119" customWidth="1"/>
    <col min="13554" max="13555" width="21.625" style="119" customWidth="1"/>
    <col min="13556" max="13556" width="16.125" style="119" customWidth="1"/>
    <col min="13557" max="13557" width="13.875" style="119" customWidth="1"/>
    <col min="13558" max="13558" width="17.25" style="119" customWidth="1"/>
    <col min="13559" max="13560" width="20.5" style="119" customWidth="1"/>
    <col min="13561" max="13561" width="9" style="119" hidden="1" customWidth="1"/>
    <col min="13562" max="13562" width="18.375" style="119" customWidth="1"/>
    <col min="13563" max="13564" width="9" style="119" hidden="1" customWidth="1"/>
    <col min="13565" max="13808" width="9" style="119"/>
    <col min="13809" max="13809" width="6.625" style="119" customWidth="1"/>
    <col min="13810" max="13811" width="21.625" style="119" customWidth="1"/>
    <col min="13812" max="13812" width="16.125" style="119" customWidth="1"/>
    <col min="13813" max="13813" width="13.875" style="119" customWidth="1"/>
    <col min="13814" max="13814" width="17.25" style="119" customWidth="1"/>
    <col min="13815" max="13816" width="20.5" style="119" customWidth="1"/>
    <col min="13817" max="13817" width="9" style="119" hidden="1" customWidth="1"/>
    <col min="13818" max="13818" width="18.375" style="119" customWidth="1"/>
    <col min="13819" max="13820" width="9" style="119" hidden="1" customWidth="1"/>
    <col min="13821" max="14064" width="9" style="119"/>
    <col min="14065" max="14065" width="6.625" style="119" customWidth="1"/>
    <col min="14066" max="14067" width="21.625" style="119" customWidth="1"/>
    <col min="14068" max="14068" width="16.125" style="119" customWidth="1"/>
    <col min="14069" max="14069" width="13.875" style="119" customWidth="1"/>
    <col min="14070" max="14070" width="17.25" style="119" customWidth="1"/>
    <col min="14071" max="14072" width="20.5" style="119" customWidth="1"/>
    <col min="14073" max="14073" width="9" style="119" hidden="1" customWidth="1"/>
    <col min="14074" max="14074" width="18.375" style="119" customWidth="1"/>
    <col min="14075" max="14076" width="9" style="119" hidden="1" customWidth="1"/>
    <col min="14077" max="14320" width="9" style="119"/>
    <col min="14321" max="14321" width="6.625" style="119" customWidth="1"/>
    <col min="14322" max="14323" width="21.625" style="119" customWidth="1"/>
    <col min="14324" max="14324" width="16.125" style="119" customWidth="1"/>
    <col min="14325" max="14325" width="13.875" style="119" customWidth="1"/>
    <col min="14326" max="14326" width="17.25" style="119" customWidth="1"/>
    <col min="14327" max="14328" width="20.5" style="119" customWidth="1"/>
    <col min="14329" max="14329" width="9" style="119" hidden="1" customWidth="1"/>
    <col min="14330" max="14330" width="18.375" style="119" customWidth="1"/>
    <col min="14331" max="14332" width="9" style="119" hidden="1" customWidth="1"/>
    <col min="14333" max="14576" width="9" style="119"/>
    <col min="14577" max="14577" width="6.625" style="119" customWidth="1"/>
    <col min="14578" max="14579" width="21.625" style="119" customWidth="1"/>
    <col min="14580" max="14580" width="16.125" style="119" customWidth="1"/>
    <col min="14581" max="14581" width="13.875" style="119" customWidth="1"/>
    <col min="14582" max="14582" width="17.25" style="119" customWidth="1"/>
    <col min="14583" max="14584" width="20.5" style="119" customWidth="1"/>
    <col min="14585" max="14585" width="9" style="119" hidden="1" customWidth="1"/>
    <col min="14586" max="14586" width="18.375" style="119" customWidth="1"/>
    <col min="14587" max="14588" width="9" style="119" hidden="1" customWidth="1"/>
    <col min="14589" max="14832" width="9" style="119"/>
    <col min="14833" max="14833" width="6.625" style="119" customWidth="1"/>
    <col min="14834" max="14835" width="21.625" style="119" customWidth="1"/>
    <col min="14836" max="14836" width="16.125" style="119" customWidth="1"/>
    <col min="14837" max="14837" width="13.875" style="119" customWidth="1"/>
    <col min="14838" max="14838" width="17.25" style="119" customWidth="1"/>
    <col min="14839" max="14840" width="20.5" style="119" customWidth="1"/>
    <col min="14841" max="14841" width="9" style="119" hidden="1" customWidth="1"/>
    <col min="14842" max="14842" width="18.375" style="119" customWidth="1"/>
    <col min="14843" max="14844" width="9" style="119" hidden="1" customWidth="1"/>
    <col min="14845" max="15088" width="9" style="119"/>
    <col min="15089" max="15089" width="6.625" style="119" customWidth="1"/>
    <col min="15090" max="15091" width="21.625" style="119" customWidth="1"/>
    <col min="15092" max="15092" width="16.125" style="119" customWidth="1"/>
    <col min="15093" max="15093" width="13.875" style="119" customWidth="1"/>
    <col min="15094" max="15094" width="17.25" style="119" customWidth="1"/>
    <col min="15095" max="15096" width="20.5" style="119" customWidth="1"/>
    <col min="15097" max="15097" width="9" style="119" hidden="1" customWidth="1"/>
    <col min="15098" max="15098" width="18.375" style="119" customWidth="1"/>
    <col min="15099" max="15100" width="9" style="119" hidden="1" customWidth="1"/>
    <col min="15101" max="15344" width="9" style="119"/>
    <col min="15345" max="15345" width="6.625" style="119" customWidth="1"/>
    <col min="15346" max="15347" width="21.625" style="119" customWidth="1"/>
    <col min="15348" max="15348" width="16.125" style="119" customWidth="1"/>
    <col min="15349" max="15349" width="13.875" style="119" customWidth="1"/>
    <col min="15350" max="15350" width="17.25" style="119" customWidth="1"/>
    <col min="15351" max="15352" width="20.5" style="119" customWidth="1"/>
    <col min="15353" max="15353" width="9" style="119" hidden="1" customWidth="1"/>
    <col min="15354" max="15354" width="18.375" style="119" customWidth="1"/>
    <col min="15355" max="15356" width="9" style="119" hidden="1" customWidth="1"/>
    <col min="15357" max="15600" width="9" style="119"/>
    <col min="15601" max="15601" width="6.625" style="119" customWidth="1"/>
    <col min="15602" max="15603" width="21.625" style="119" customWidth="1"/>
    <col min="15604" max="15604" width="16.125" style="119" customWidth="1"/>
    <col min="15605" max="15605" width="13.875" style="119" customWidth="1"/>
    <col min="15606" max="15606" width="17.25" style="119" customWidth="1"/>
    <col min="15607" max="15608" width="20.5" style="119" customWidth="1"/>
    <col min="15609" max="15609" width="9" style="119" hidden="1" customWidth="1"/>
    <col min="15610" max="15610" width="18.375" style="119" customWidth="1"/>
    <col min="15611" max="15612" width="9" style="119" hidden="1" customWidth="1"/>
    <col min="15613" max="15856" width="9" style="119"/>
    <col min="15857" max="15857" width="6.625" style="119" customWidth="1"/>
    <col min="15858" max="15859" width="21.625" style="119" customWidth="1"/>
    <col min="15860" max="15860" width="16.125" style="119" customWidth="1"/>
    <col min="15861" max="15861" width="13.875" style="119" customWidth="1"/>
    <col min="15862" max="15862" width="17.25" style="119" customWidth="1"/>
    <col min="15863" max="15864" width="20.5" style="119" customWidth="1"/>
    <col min="15865" max="15865" width="9" style="119" hidden="1" customWidth="1"/>
    <col min="15866" max="15866" width="18.375" style="119" customWidth="1"/>
    <col min="15867" max="15868" width="9" style="119" hidden="1" customWidth="1"/>
    <col min="15869" max="16112" width="9" style="119"/>
    <col min="16113" max="16113" width="6.625" style="119" customWidth="1"/>
    <col min="16114" max="16115" width="21.625" style="119" customWidth="1"/>
    <col min="16116" max="16116" width="16.125" style="119" customWidth="1"/>
    <col min="16117" max="16117" width="13.875" style="119" customWidth="1"/>
    <col min="16118" max="16118" width="17.25" style="119" customWidth="1"/>
    <col min="16119" max="16120" width="20.5" style="119" customWidth="1"/>
    <col min="16121" max="16121" width="9" style="119" hidden="1" customWidth="1"/>
    <col min="16122" max="16122" width="18.375" style="119" customWidth="1"/>
    <col min="16123" max="16124" width="9" style="119" hidden="1" customWidth="1"/>
    <col min="16125" max="16384" width="9" style="119"/>
  </cols>
  <sheetData>
    <row r="1" spans="1:7" ht="30" customHeight="1">
      <c r="A1" s="127" t="s">
        <v>391</v>
      </c>
      <c r="B1" s="128"/>
      <c r="C1" s="128"/>
      <c r="D1" s="128"/>
      <c r="E1" s="128"/>
      <c r="F1" s="129"/>
      <c r="G1" s="129"/>
    </row>
    <row r="2" spans="1:7" ht="35.1" customHeight="1">
      <c r="A2" s="130" t="s">
        <v>405</v>
      </c>
      <c r="B2" s="131"/>
      <c r="C2" s="132" t="s">
        <v>392</v>
      </c>
      <c r="D2" s="132"/>
      <c r="E2" s="132"/>
      <c r="F2" s="133"/>
      <c r="G2" s="133"/>
    </row>
    <row r="3" spans="1:7" s="122" customFormat="1" ht="30" customHeight="1">
      <c r="A3" s="120" t="s">
        <v>3</v>
      </c>
      <c r="B3" s="120" t="s">
        <v>393</v>
      </c>
      <c r="C3" s="120" t="s">
        <v>394</v>
      </c>
      <c r="D3" s="121" t="s">
        <v>395</v>
      </c>
      <c r="E3" s="120" t="s">
        <v>396</v>
      </c>
      <c r="F3" s="120" t="s">
        <v>397</v>
      </c>
      <c r="G3" s="120" t="s">
        <v>398</v>
      </c>
    </row>
    <row r="4" spans="1:7" ht="30" customHeight="1">
      <c r="A4" s="123">
        <v>1</v>
      </c>
      <c r="B4" s="123" t="s">
        <v>0</v>
      </c>
      <c r="C4" s="124">
        <f>浦江!X5+清算2024年绩效!Q23+补缴年金!J5</f>
        <v>388700173.59999996</v>
      </c>
      <c r="D4" s="124">
        <f>补缴年金!J5</f>
        <v>94913.09</v>
      </c>
      <c r="E4" s="124">
        <f>C4-D4</f>
        <v>388605260.50999999</v>
      </c>
      <c r="F4" s="124"/>
      <c r="G4" s="124">
        <f>C4-F4-D4</f>
        <v>388605260.50999999</v>
      </c>
    </row>
    <row r="5" spans="1:7" ht="30" customHeight="1">
      <c r="A5" s="120">
        <v>2</v>
      </c>
      <c r="B5" s="120" t="s">
        <v>1</v>
      </c>
      <c r="C5" s="125">
        <f>浦江!X37</f>
        <v>77559609.679999977</v>
      </c>
      <c r="D5" s="125"/>
      <c r="E5" s="124">
        <f t="shared" ref="E5:E11" si="0">C5-D5</f>
        <v>77559609.679999977</v>
      </c>
      <c r="F5" s="125"/>
      <c r="G5" s="124">
        <f t="shared" ref="G5:G11" si="1">C5-F5-D5</f>
        <v>77559609.679999977</v>
      </c>
    </row>
    <row r="6" spans="1:7" ht="30" customHeight="1">
      <c r="A6" s="120">
        <v>3</v>
      </c>
      <c r="B6" s="120" t="s">
        <v>399</v>
      </c>
      <c r="C6" s="125">
        <f>浦江!X32</f>
        <v>7626180</v>
      </c>
      <c r="D6" s="125"/>
      <c r="E6" s="124">
        <f t="shared" si="0"/>
        <v>7626180</v>
      </c>
      <c r="F6" s="125"/>
      <c r="G6" s="124">
        <f t="shared" si="1"/>
        <v>7626180</v>
      </c>
    </row>
    <row r="7" spans="1:7" ht="30" customHeight="1">
      <c r="A7" s="123">
        <v>4</v>
      </c>
      <c r="B7" s="120" t="s">
        <v>400</v>
      </c>
      <c r="C7" s="125">
        <f>残疾就业保障!E22</f>
        <v>3269331.89</v>
      </c>
      <c r="D7" s="125"/>
      <c r="E7" s="124">
        <f t="shared" si="0"/>
        <v>3269331.89</v>
      </c>
      <c r="F7" s="125"/>
      <c r="G7" s="124">
        <f t="shared" si="1"/>
        <v>3269331.89</v>
      </c>
    </row>
    <row r="8" spans="1:7" ht="30" customHeight="1">
      <c r="A8" s="120">
        <v>5</v>
      </c>
      <c r="B8" s="120" t="s">
        <v>401</v>
      </c>
      <c r="C8" s="125">
        <f>社区教育!C4</f>
        <v>924006</v>
      </c>
      <c r="D8" s="125"/>
      <c r="E8" s="124">
        <f t="shared" si="0"/>
        <v>924006</v>
      </c>
      <c r="F8" s="125"/>
      <c r="G8" s="124">
        <f t="shared" si="1"/>
        <v>924006</v>
      </c>
    </row>
    <row r="9" spans="1:7" ht="30" customHeight="1">
      <c r="A9" s="120">
        <v>6</v>
      </c>
      <c r="B9" s="120" t="s">
        <v>402</v>
      </c>
      <c r="C9" s="125">
        <f>保安经费!G33</f>
        <v>17220000</v>
      </c>
      <c r="D9" s="125"/>
      <c r="E9" s="124">
        <f t="shared" si="0"/>
        <v>17220000</v>
      </c>
      <c r="F9" s="125">
        <f>C9</f>
        <v>17220000</v>
      </c>
      <c r="G9" s="124">
        <f t="shared" si="1"/>
        <v>0</v>
      </c>
    </row>
    <row r="10" spans="1:7" ht="30" customHeight="1">
      <c r="A10" s="123">
        <v>7</v>
      </c>
      <c r="B10" s="120" t="s">
        <v>403</v>
      </c>
      <c r="C10" s="125">
        <v>40000</v>
      </c>
      <c r="D10" s="125"/>
      <c r="E10" s="124">
        <f t="shared" si="0"/>
        <v>40000</v>
      </c>
      <c r="F10" s="125"/>
      <c r="G10" s="124">
        <f t="shared" si="1"/>
        <v>40000</v>
      </c>
    </row>
    <row r="11" spans="1:7" ht="30" customHeight="1">
      <c r="A11" s="120">
        <v>8</v>
      </c>
      <c r="B11" s="120" t="s">
        <v>404</v>
      </c>
      <c r="C11" s="125">
        <f>补充公用经费!AO22+清算补充公用经费!E13</f>
        <v>64417370.75</v>
      </c>
      <c r="D11" s="125"/>
      <c r="E11" s="124">
        <f t="shared" si="0"/>
        <v>64417370.75</v>
      </c>
      <c r="F11" s="125"/>
      <c r="G11" s="124">
        <f t="shared" si="1"/>
        <v>64417370.75</v>
      </c>
    </row>
    <row r="12" spans="1:7" ht="30" customHeight="1">
      <c r="A12" s="120"/>
      <c r="B12" s="120" t="s">
        <v>8</v>
      </c>
      <c r="C12" s="125">
        <f>SUM(C4:C11)</f>
        <v>559756671.91999996</v>
      </c>
      <c r="D12" s="125">
        <f>SUM(D4:D11)</f>
        <v>94913.09</v>
      </c>
      <c r="E12" s="125">
        <f>SUM(E4:E11)</f>
        <v>559661758.82999992</v>
      </c>
      <c r="F12" s="125">
        <f>SUM(F4:F11)</f>
        <v>17220000</v>
      </c>
      <c r="G12" s="125">
        <f>SUM(G4:G11)</f>
        <v>542441758.82999992</v>
      </c>
    </row>
    <row r="13" spans="1:7" ht="30" customHeight="1"/>
    <row r="14" spans="1:7" ht="30" customHeight="1"/>
  </sheetData>
  <mergeCells count="3">
    <mergeCell ref="A1:G1"/>
    <mergeCell ref="A2:B2"/>
    <mergeCell ref="C2:G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X78"/>
  <sheetViews>
    <sheetView topLeftCell="G25" workbookViewId="0">
      <selection activeCell="N3" sqref="N3"/>
    </sheetView>
  </sheetViews>
  <sheetFormatPr defaultRowHeight="13.5"/>
  <cols>
    <col min="1" max="1" width="4.625" style="48" customWidth="1"/>
    <col min="2" max="2" width="14.75" style="48" customWidth="1"/>
    <col min="3" max="4" width="0" style="48" hidden="1" customWidth="1"/>
    <col min="5" max="23" width="11.625" style="15" customWidth="1"/>
    <col min="24" max="24" width="11.625" style="56" customWidth="1"/>
    <col min="25" max="16384" width="9" style="48"/>
  </cols>
  <sheetData>
    <row r="1" spans="1:24" s="1" customFormat="1" ht="25.5">
      <c r="A1" s="134" t="s">
        <v>309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</row>
    <row r="2" spans="1:24" s="1" customFormat="1" ht="24.95" customHeight="1">
      <c r="A2" s="135" t="s">
        <v>3</v>
      </c>
      <c r="B2" s="135" t="s">
        <v>4</v>
      </c>
      <c r="C2" s="135" t="s">
        <v>5</v>
      </c>
      <c r="D2" s="135" t="s">
        <v>6</v>
      </c>
      <c r="E2" s="47" t="s">
        <v>150</v>
      </c>
      <c r="F2" s="47" t="s">
        <v>149</v>
      </c>
      <c r="G2" s="47" t="s">
        <v>132</v>
      </c>
      <c r="H2" s="47" t="s">
        <v>133</v>
      </c>
      <c r="I2" s="47" t="s">
        <v>154</v>
      </c>
      <c r="J2" s="47" t="s">
        <v>155</v>
      </c>
      <c r="K2" s="47" t="s">
        <v>156</v>
      </c>
      <c r="L2" s="47" t="s">
        <v>157</v>
      </c>
      <c r="M2" s="47" t="s">
        <v>134</v>
      </c>
      <c r="N2" s="47" t="s">
        <v>158</v>
      </c>
      <c r="O2" s="47" t="s">
        <v>135</v>
      </c>
      <c r="P2" s="47" t="s">
        <v>159</v>
      </c>
      <c r="Q2" s="47" t="s">
        <v>160</v>
      </c>
      <c r="R2" s="47" t="s">
        <v>161</v>
      </c>
      <c r="S2" s="47" t="s">
        <v>162</v>
      </c>
      <c r="T2" s="47" t="s">
        <v>163</v>
      </c>
      <c r="U2" s="47" t="s">
        <v>136</v>
      </c>
      <c r="V2" s="47" t="s">
        <v>137</v>
      </c>
      <c r="W2" s="47" t="s">
        <v>7</v>
      </c>
      <c r="X2" s="135" t="s">
        <v>8</v>
      </c>
    </row>
    <row r="3" spans="1:24" s="1" customFormat="1" ht="24.95" customHeight="1">
      <c r="A3" s="136"/>
      <c r="B3" s="136"/>
      <c r="C3" s="136"/>
      <c r="D3" s="136"/>
      <c r="E3" s="47" t="s">
        <v>168</v>
      </c>
      <c r="F3" s="47" t="s">
        <v>168</v>
      </c>
      <c r="G3" s="47" t="s">
        <v>166</v>
      </c>
      <c r="H3" s="47" t="s">
        <v>168</v>
      </c>
      <c r="I3" s="47" t="s">
        <v>166</v>
      </c>
      <c r="J3" s="47" t="s">
        <v>167</v>
      </c>
      <c r="K3" s="47" t="s">
        <v>167</v>
      </c>
      <c r="L3" s="47" t="s">
        <v>167</v>
      </c>
      <c r="M3" s="47" t="s">
        <v>167</v>
      </c>
      <c r="N3" s="47" t="s">
        <v>167</v>
      </c>
      <c r="O3" s="47" t="s">
        <v>164</v>
      </c>
      <c r="P3" s="47" t="s">
        <v>164</v>
      </c>
      <c r="Q3" s="47" t="s">
        <v>164</v>
      </c>
      <c r="R3" s="47" t="s">
        <v>164</v>
      </c>
      <c r="S3" s="47" t="s">
        <v>164</v>
      </c>
      <c r="T3" s="47" t="s">
        <v>164</v>
      </c>
      <c r="U3" s="47" t="s">
        <v>164</v>
      </c>
      <c r="V3" s="47" t="s">
        <v>164</v>
      </c>
      <c r="W3" s="47" t="s">
        <v>165</v>
      </c>
      <c r="X3" s="136"/>
    </row>
    <row r="4" spans="1:24" ht="24.95" customHeight="1">
      <c r="A4" s="13" t="s">
        <v>9</v>
      </c>
      <c r="B4" s="11" t="s">
        <v>10</v>
      </c>
      <c r="C4" s="11"/>
      <c r="D4" s="12" t="s">
        <v>11</v>
      </c>
      <c r="E4" s="52">
        <f>E5+E32+E37</f>
        <v>38433967</v>
      </c>
      <c r="F4" s="52">
        <f t="shared" ref="F4:W4" si="0">F5+F32+F37</f>
        <v>37790739.269999996</v>
      </c>
      <c r="G4" s="52">
        <f t="shared" si="0"/>
        <v>42147341.620000005</v>
      </c>
      <c r="H4" s="52">
        <f t="shared" si="0"/>
        <v>37766388.630000003</v>
      </c>
      <c r="I4" s="52">
        <f t="shared" si="0"/>
        <v>15941013.080000002</v>
      </c>
      <c r="J4" s="52">
        <f t="shared" si="0"/>
        <v>44279354.829999998</v>
      </c>
      <c r="K4" s="52">
        <f t="shared" si="0"/>
        <v>35809104</v>
      </c>
      <c r="L4" s="52">
        <f t="shared" si="0"/>
        <v>26461083.82</v>
      </c>
      <c r="M4" s="52">
        <f t="shared" si="0"/>
        <v>38279075.019999996</v>
      </c>
      <c r="N4" s="52">
        <f t="shared" si="0"/>
        <v>28970695.729999997</v>
      </c>
      <c r="O4" s="52">
        <f t="shared" si="0"/>
        <v>21683880.969999999</v>
      </c>
      <c r="P4" s="52">
        <f t="shared" si="0"/>
        <v>23826066.699999999</v>
      </c>
      <c r="Q4" s="52">
        <f t="shared" si="0"/>
        <v>20913444.400000002</v>
      </c>
      <c r="R4" s="52">
        <f t="shared" si="0"/>
        <v>8313898.2000000002</v>
      </c>
      <c r="S4" s="52">
        <f t="shared" si="0"/>
        <v>10909379.9</v>
      </c>
      <c r="T4" s="52">
        <f t="shared" si="0"/>
        <v>10561161.75</v>
      </c>
      <c r="U4" s="52">
        <f t="shared" si="0"/>
        <v>14305564.719999999</v>
      </c>
      <c r="V4" s="52">
        <f t="shared" si="0"/>
        <v>15827725.149999999</v>
      </c>
      <c r="W4" s="52">
        <f t="shared" si="0"/>
        <v>2859968.2699999996</v>
      </c>
      <c r="X4" s="57">
        <f t="shared" ref="X4:X54" si="1">SUM(E4:W4)</f>
        <v>475079853.05999994</v>
      </c>
    </row>
    <row r="5" spans="1:24" ht="24.95" customHeight="1">
      <c r="A5" s="13" t="s">
        <v>12</v>
      </c>
      <c r="B5" s="11" t="s">
        <v>0</v>
      </c>
      <c r="C5" s="11"/>
      <c r="D5" s="12" t="s">
        <v>11</v>
      </c>
      <c r="E5" s="52">
        <f t="shared" ref="E5:W5" si="2">E6+E9+E13+E16+E21+E26+E28+E30+E31</f>
        <v>31422240</v>
      </c>
      <c r="F5" s="52">
        <f t="shared" si="2"/>
        <v>30966488.559999999</v>
      </c>
      <c r="G5" s="52">
        <f t="shared" si="2"/>
        <v>35672264.560000002</v>
      </c>
      <c r="H5" s="52">
        <f t="shared" si="2"/>
        <v>31133365.550000001</v>
      </c>
      <c r="I5" s="52">
        <f t="shared" si="2"/>
        <v>12687384.150000002</v>
      </c>
      <c r="J5" s="52">
        <f t="shared" si="2"/>
        <v>34640824.149999999</v>
      </c>
      <c r="K5" s="52">
        <f t="shared" si="2"/>
        <v>28276074.289999999</v>
      </c>
      <c r="L5" s="52">
        <f t="shared" si="2"/>
        <v>20673559.559999999</v>
      </c>
      <c r="M5" s="52">
        <f t="shared" si="2"/>
        <v>32556093.449999999</v>
      </c>
      <c r="N5" s="52">
        <f t="shared" si="2"/>
        <v>24273467.149999999</v>
      </c>
      <c r="O5" s="52">
        <f t="shared" si="2"/>
        <v>18464322.849999998</v>
      </c>
      <c r="P5" s="52">
        <f t="shared" si="2"/>
        <v>19959576</v>
      </c>
      <c r="Q5" s="52">
        <f t="shared" si="2"/>
        <v>18056168.600000001</v>
      </c>
      <c r="R5" s="52">
        <f t="shared" si="2"/>
        <v>7057896.2000000002</v>
      </c>
      <c r="S5" s="52">
        <f t="shared" si="2"/>
        <v>8428669.7100000009</v>
      </c>
      <c r="T5" s="52">
        <f t="shared" si="2"/>
        <v>8348099.75</v>
      </c>
      <c r="U5" s="52">
        <f t="shared" si="2"/>
        <v>12000392</v>
      </c>
      <c r="V5" s="52">
        <f t="shared" si="2"/>
        <v>13123912.289999999</v>
      </c>
      <c r="W5" s="52">
        <f t="shared" si="2"/>
        <v>2153264.5599999996</v>
      </c>
      <c r="X5" s="57">
        <f t="shared" si="1"/>
        <v>389894063.38</v>
      </c>
    </row>
    <row r="6" spans="1:24" ht="24.95" customHeight="1">
      <c r="A6" s="13" t="s">
        <v>13</v>
      </c>
      <c r="B6" s="11" t="s">
        <v>14</v>
      </c>
      <c r="C6" s="11"/>
      <c r="D6" s="12" t="s">
        <v>11</v>
      </c>
      <c r="E6" s="52">
        <f t="shared" ref="E6:W6" si="3">E7+E8</f>
        <v>4148172</v>
      </c>
      <c r="F6" s="52">
        <f t="shared" si="3"/>
        <v>3944556</v>
      </c>
      <c r="G6" s="52">
        <f t="shared" si="3"/>
        <v>4624800</v>
      </c>
      <c r="H6" s="52">
        <f t="shared" si="3"/>
        <v>3631181.4000000004</v>
      </c>
      <c r="I6" s="52">
        <f t="shared" si="3"/>
        <v>1477423</v>
      </c>
      <c r="J6" s="52">
        <f t="shared" si="3"/>
        <v>4795000</v>
      </c>
      <c r="K6" s="52">
        <f t="shared" si="3"/>
        <v>3668100</v>
      </c>
      <c r="L6" s="52">
        <f t="shared" si="3"/>
        <v>2225547</v>
      </c>
      <c r="M6" s="52">
        <f t="shared" si="3"/>
        <v>3945266</v>
      </c>
      <c r="N6" s="52">
        <f t="shared" si="3"/>
        <v>2688468</v>
      </c>
      <c r="O6" s="52">
        <f t="shared" si="3"/>
        <v>2500332</v>
      </c>
      <c r="P6" s="52">
        <f t="shared" si="3"/>
        <v>3267264</v>
      </c>
      <c r="Q6" s="52">
        <f t="shared" si="3"/>
        <v>2230170.6</v>
      </c>
      <c r="R6" s="52">
        <f t="shared" si="3"/>
        <v>884828.20000000007</v>
      </c>
      <c r="S6" s="52">
        <f t="shared" si="3"/>
        <v>1088592</v>
      </c>
      <c r="T6" s="52">
        <f t="shared" si="3"/>
        <v>966355.75</v>
      </c>
      <c r="U6" s="52">
        <f t="shared" si="3"/>
        <v>1488384</v>
      </c>
      <c r="V6" s="52">
        <f t="shared" si="3"/>
        <v>1657416</v>
      </c>
      <c r="W6" s="52">
        <f t="shared" si="3"/>
        <v>294408</v>
      </c>
      <c r="X6" s="57">
        <f t="shared" si="1"/>
        <v>49526263.950000003</v>
      </c>
    </row>
    <row r="7" spans="1:24" ht="24.95" customHeight="1">
      <c r="A7" s="13" t="s">
        <v>15</v>
      </c>
      <c r="B7" s="11" t="s">
        <v>16</v>
      </c>
      <c r="C7" s="11" t="s">
        <v>17</v>
      </c>
      <c r="D7" s="12" t="s">
        <v>18</v>
      </c>
      <c r="E7" s="53">
        <f>189602*12</f>
        <v>2275224</v>
      </c>
      <c r="F7" s="53">
        <f>186794*12</f>
        <v>2241528</v>
      </c>
      <c r="G7" s="53">
        <v>2932800</v>
      </c>
      <c r="H7" s="53">
        <v>2314569.6</v>
      </c>
      <c r="I7" s="53">
        <v>1177423</v>
      </c>
      <c r="J7" s="53">
        <v>2500000</v>
      </c>
      <c r="K7" s="53">
        <f>175849*12</f>
        <v>2110188</v>
      </c>
      <c r="L7" s="53">
        <v>1520967</v>
      </c>
      <c r="M7" s="53">
        <v>2501473</v>
      </c>
      <c r="N7" s="53">
        <f>147251*12</f>
        <v>1767012</v>
      </c>
      <c r="O7" s="53">
        <v>1512528</v>
      </c>
      <c r="P7" s="53">
        <v>1586904</v>
      </c>
      <c r="Q7" s="53">
        <f>1429035+10000</f>
        <v>1439035</v>
      </c>
      <c r="R7" s="53">
        <f>356969.8+15136+47443*4+4000</f>
        <v>565877.80000000005</v>
      </c>
      <c r="S7" s="53">
        <f>56947*12</f>
        <v>683364</v>
      </c>
      <c r="T7" s="53">
        <v>636611.28</v>
      </c>
      <c r="U7" s="53">
        <f>78881*12</f>
        <v>946572</v>
      </c>
      <c r="V7" s="53">
        <v>1096032</v>
      </c>
      <c r="W7" s="53">
        <v>153876</v>
      </c>
      <c r="X7" s="57">
        <f t="shared" si="1"/>
        <v>29961984.680000003</v>
      </c>
    </row>
    <row r="8" spans="1:24" ht="24.95" customHeight="1">
      <c r="A8" s="13" t="s">
        <v>19</v>
      </c>
      <c r="B8" s="11" t="s">
        <v>20</v>
      </c>
      <c r="C8" s="11" t="s">
        <v>17</v>
      </c>
      <c r="D8" s="12" t="s">
        <v>18</v>
      </c>
      <c r="E8" s="53">
        <f>156079*12</f>
        <v>1872948</v>
      </c>
      <c r="F8" s="53">
        <f>12*141919</f>
        <v>1703028</v>
      </c>
      <c r="G8" s="53">
        <v>1692000</v>
      </c>
      <c r="H8" s="53">
        <v>1316611.8</v>
      </c>
      <c r="I8" s="53">
        <v>300000</v>
      </c>
      <c r="J8" s="53">
        <v>2295000</v>
      </c>
      <c r="K8" s="53">
        <f>129826*12</f>
        <v>1557912</v>
      </c>
      <c r="L8" s="53">
        <v>704580</v>
      </c>
      <c r="M8" s="53">
        <v>1443793</v>
      </c>
      <c r="N8" s="53">
        <f>76788*12</f>
        <v>921456</v>
      </c>
      <c r="O8" s="53">
        <v>987804</v>
      </c>
      <c r="P8" s="53">
        <v>1680360</v>
      </c>
      <c r="Q8" s="53">
        <f>781135.6+10000</f>
        <v>791135.6</v>
      </c>
      <c r="R8" s="53">
        <f>206470.4+5472+25752*4+4000</f>
        <v>318950.40000000002</v>
      </c>
      <c r="S8" s="53">
        <f>33769*12</f>
        <v>405228</v>
      </c>
      <c r="T8" s="53">
        <v>329744.46999999997</v>
      </c>
      <c r="U8" s="53">
        <f>45151*12</f>
        <v>541812</v>
      </c>
      <c r="V8" s="53">
        <v>561384</v>
      </c>
      <c r="W8" s="53">
        <v>140532</v>
      </c>
      <c r="X8" s="57">
        <f t="shared" si="1"/>
        <v>19564279.27</v>
      </c>
    </row>
    <row r="9" spans="1:24" ht="24.95" customHeight="1">
      <c r="A9" s="13" t="s">
        <v>21</v>
      </c>
      <c r="B9" s="11" t="s">
        <v>22</v>
      </c>
      <c r="C9" s="11"/>
      <c r="D9" s="12" t="s">
        <v>11</v>
      </c>
      <c r="E9" s="52">
        <f t="shared" ref="E9:W9" si="4">E10+E11</f>
        <v>438780</v>
      </c>
      <c r="F9" s="52">
        <f t="shared" si="4"/>
        <v>427584</v>
      </c>
      <c r="G9" s="52">
        <f t="shared" si="4"/>
        <v>502320</v>
      </c>
      <c r="H9" s="52">
        <f t="shared" si="4"/>
        <v>441705</v>
      </c>
      <c r="I9" s="52">
        <f t="shared" si="4"/>
        <v>190680</v>
      </c>
      <c r="J9" s="52">
        <f t="shared" si="4"/>
        <v>508452</v>
      </c>
      <c r="K9" s="52">
        <f t="shared" si="4"/>
        <v>405672</v>
      </c>
      <c r="L9" s="52">
        <f t="shared" si="4"/>
        <v>312060</v>
      </c>
      <c r="M9" s="52">
        <f t="shared" si="4"/>
        <v>473688.6</v>
      </c>
      <c r="N9" s="52">
        <f t="shared" si="4"/>
        <v>366420</v>
      </c>
      <c r="O9" s="52">
        <f t="shared" si="4"/>
        <v>300960</v>
      </c>
      <c r="P9" s="52">
        <f t="shared" si="4"/>
        <v>320532</v>
      </c>
      <c r="Q9" s="52">
        <f t="shared" si="4"/>
        <v>353510</v>
      </c>
      <c r="R9" s="52">
        <f t="shared" si="4"/>
        <v>117360</v>
      </c>
      <c r="S9" s="52">
        <f t="shared" si="4"/>
        <v>144084</v>
      </c>
      <c r="T9" s="52">
        <f t="shared" si="4"/>
        <v>143476</v>
      </c>
      <c r="U9" s="52">
        <f t="shared" si="4"/>
        <v>202416</v>
      </c>
      <c r="V9" s="52">
        <f t="shared" si="4"/>
        <v>219118</v>
      </c>
      <c r="W9" s="52">
        <f t="shared" si="4"/>
        <v>31992</v>
      </c>
      <c r="X9" s="57">
        <f t="shared" si="1"/>
        <v>5900809.5999999996</v>
      </c>
    </row>
    <row r="10" spans="1:24" ht="24.95" customHeight="1">
      <c r="A10" s="13" t="s">
        <v>23</v>
      </c>
      <c r="B10" s="11" t="s">
        <v>24</v>
      </c>
      <c r="C10" s="11" t="s">
        <v>17</v>
      </c>
      <c r="D10" s="12" t="s">
        <v>18</v>
      </c>
      <c r="E10" s="53">
        <f>485*12</f>
        <v>5820</v>
      </c>
      <c r="F10" s="53">
        <f>12*432</f>
        <v>5184</v>
      </c>
      <c r="G10" s="53">
        <v>6000</v>
      </c>
      <c r="H10" s="53">
        <v>3465</v>
      </c>
      <c r="I10" s="53">
        <v>600</v>
      </c>
      <c r="J10" s="53">
        <v>6852</v>
      </c>
      <c r="K10" s="53">
        <f>366*12</f>
        <v>4392</v>
      </c>
      <c r="L10" s="53">
        <v>5820</v>
      </c>
      <c r="M10" s="53">
        <v>14328.6</v>
      </c>
      <c r="N10" s="53">
        <f>175*12</f>
        <v>2100</v>
      </c>
      <c r="O10" s="53"/>
      <c r="P10" s="53">
        <v>3732</v>
      </c>
      <c r="Q10" s="53">
        <v>52550</v>
      </c>
      <c r="R10" s="53">
        <v>1200</v>
      </c>
      <c r="S10" s="53">
        <f>127*12</f>
        <v>1524</v>
      </c>
      <c r="T10" s="53">
        <v>916</v>
      </c>
      <c r="U10" s="53">
        <f>148*12</f>
        <v>1776</v>
      </c>
      <c r="V10" s="53">
        <v>2638</v>
      </c>
      <c r="W10" s="53">
        <v>312</v>
      </c>
      <c r="X10" s="57">
        <f t="shared" si="1"/>
        <v>119209.60000000001</v>
      </c>
    </row>
    <row r="11" spans="1:24" ht="24.95" customHeight="1">
      <c r="A11" s="13" t="s">
        <v>25</v>
      </c>
      <c r="B11" s="11" t="s">
        <v>26</v>
      </c>
      <c r="C11" s="11"/>
      <c r="D11" s="12" t="s">
        <v>11</v>
      </c>
      <c r="E11" s="52">
        <f t="shared" ref="E11:W11" si="5">E12</f>
        <v>432960</v>
      </c>
      <c r="F11" s="52">
        <f t="shared" si="5"/>
        <v>422400</v>
      </c>
      <c r="G11" s="52">
        <f t="shared" si="5"/>
        <v>496320</v>
      </c>
      <c r="H11" s="52">
        <f t="shared" si="5"/>
        <v>438240</v>
      </c>
      <c r="I11" s="52">
        <f t="shared" si="5"/>
        <v>190080</v>
      </c>
      <c r="J11" s="52">
        <f t="shared" si="5"/>
        <v>501600</v>
      </c>
      <c r="K11" s="52">
        <f t="shared" si="5"/>
        <v>401280</v>
      </c>
      <c r="L11" s="52">
        <f t="shared" si="5"/>
        <v>306240</v>
      </c>
      <c r="M11" s="52">
        <f t="shared" si="5"/>
        <v>459360</v>
      </c>
      <c r="N11" s="52">
        <f t="shared" si="5"/>
        <v>364320</v>
      </c>
      <c r="O11" s="52">
        <f t="shared" si="5"/>
        <v>300960</v>
      </c>
      <c r="P11" s="52">
        <f t="shared" si="5"/>
        <v>316800</v>
      </c>
      <c r="Q11" s="52">
        <f t="shared" si="5"/>
        <v>300960</v>
      </c>
      <c r="R11" s="52">
        <f t="shared" si="5"/>
        <v>116160</v>
      </c>
      <c r="S11" s="52">
        <f t="shared" si="5"/>
        <v>142560</v>
      </c>
      <c r="T11" s="52">
        <f t="shared" si="5"/>
        <v>142560</v>
      </c>
      <c r="U11" s="52">
        <f t="shared" si="5"/>
        <v>200640</v>
      </c>
      <c r="V11" s="52">
        <f t="shared" si="5"/>
        <v>216480</v>
      </c>
      <c r="W11" s="52">
        <f t="shared" si="5"/>
        <v>31680</v>
      </c>
      <c r="X11" s="57">
        <f t="shared" si="1"/>
        <v>5781600</v>
      </c>
    </row>
    <row r="12" spans="1:24" ht="24.95" customHeight="1">
      <c r="A12" s="13" t="s">
        <v>27</v>
      </c>
      <c r="B12" s="11" t="s">
        <v>270</v>
      </c>
      <c r="C12" s="11" t="s">
        <v>17</v>
      </c>
      <c r="D12" s="12" t="s">
        <v>11</v>
      </c>
      <c r="E12" s="52">
        <f t="shared" ref="E12:W12" si="6">440*12*E60</f>
        <v>432960</v>
      </c>
      <c r="F12" s="52">
        <f t="shared" si="6"/>
        <v>422400</v>
      </c>
      <c r="G12" s="52">
        <f t="shared" si="6"/>
        <v>496320</v>
      </c>
      <c r="H12" s="52">
        <f t="shared" si="6"/>
        <v>438240</v>
      </c>
      <c r="I12" s="52">
        <f t="shared" si="6"/>
        <v>190080</v>
      </c>
      <c r="J12" s="52">
        <f t="shared" si="6"/>
        <v>501600</v>
      </c>
      <c r="K12" s="52">
        <f t="shared" si="6"/>
        <v>401280</v>
      </c>
      <c r="L12" s="52">
        <f t="shared" si="6"/>
        <v>306240</v>
      </c>
      <c r="M12" s="52">
        <f t="shared" si="6"/>
        <v>459360</v>
      </c>
      <c r="N12" s="52">
        <f t="shared" si="6"/>
        <v>364320</v>
      </c>
      <c r="O12" s="52">
        <f t="shared" si="6"/>
        <v>300960</v>
      </c>
      <c r="P12" s="52">
        <f t="shared" si="6"/>
        <v>316800</v>
      </c>
      <c r="Q12" s="52">
        <f t="shared" si="6"/>
        <v>300960</v>
      </c>
      <c r="R12" s="52">
        <f t="shared" si="6"/>
        <v>116160</v>
      </c>
      <c r="S12" s="52">
        <f t="shared" si="6"/>
        <v>142560</v>
      </c>
      <c r="T12" s="52">
        <f t="shared" si="6"/>
        <v>142560</v>
      </c>
      <c r="U12" s="52">
        <f t="shared" si="6"/>
        <v>200640</v>
      </c>
      <c r="V12" s="52">
        <f t="shared" si="6"/>
        <v>216480</v>
      </c>
      <c r="W12" s="52">
        <f t="shared" si="6"/>
        <v>31680</v>
      </c>
      <c r="X12" s="57">
        <f t="shared" si="1"/>
        <v>5781600</v>
      </c>
    </row>
    <row r="13" spans="1:24" ht="24.95" customHeight="1">
      <c r="A13" s="13" t="s">
        <v>28</v>
      </c>
      <c r="B13" s="11" t="s">
        <v>29</v>
      </c>
      <c r="C13" s="11"/>
      <c r="D13" s="12" t="s">
        <v>30</v>
      </c>
      <c r="E13" s="52">
        <f t="shared" ref="E13:W13" si="7">E14+E15</f>
        <v>207780</v>
      </c>
      <c r="F13" s="52">
        <f t="shared" si="7"/>
        <v>211902.86</v>
      </c>
      <c r="G13" s="52">
        <f t="shared" si="7"/>
        <v>233358.86</v>
      </c>
      <c r="H13" s="52">
        <f t="shared" si="7"/>
        <v>208045.72</v>
      </c>
      <c r="I13" s="52">
        <f t="shared" si="7"/>
        <v>74285.72</v>
      </c>
      <c r="J13" s="52">
        <f t="shared" si="7"/>
        <v>224234.72</v>
      </c>
      <c r="K13" s="52">
        <f t="shared" si="7"/>
        <v>195663.42</v>
      </c>
      <c r="L13" s="52">
        <f t="shared" si="7"/>
        <v>141894.85999999999</v>
      </c>
      <c r="M13" s="52">
        <f t="shared" si="7"/>
        <v>233580.28</v>
      </c>
      <c r="N13" s="52">
        <f t="shared" si="7"/>
        <v>160873.72</v>
      </c>
      <c r="O13" s="52">
        <f t="shared" si="7"/>
        <v>127282.28</v>
      </c>
      <c r="P13" s="52">
        <f t="shared" si="7"/>
        <v>131412</v>
      </c>
      <c r="Q13" s="52">
        <f t="shared" si="7"/>
        <v>123048</v>
      </c>
      <c r="R13" s="52">
        <f t="shared" si="7"/>
        <v>49356</v>
      </c>
      <c r="S13" s="52">
        <f t="shared" si="7"/>
        <v>55328.58</v>
      </c>
      <c r="T13" s="52">
        <f t="shared" si="7"/>
        <v>56268</v>
      </c>
      <c r="U13" s="52">
        <f t="shared" si="7"/>
        <v>81912</v>
      </c>
      <c r="V13" s="52">
        <f t="shared" si="7"/>
        <v>91131.42</v>
      </c>
      <c r="W13" s="52">
        <f t="shared" si="7"/>
        <v>13326.86</v>
      </c>
      <c r="X13" s="57">
        <f t="shared" si="1"/>
        <v>2620685.2999999993</v>
      </c>
    </row>
    <row r="14" spans="1:24" ht="24.95" customHeight="1">
      <c r="A14" s="13" t="s">
        <v>31</v>
      </c>
      <c r="B14" s="11" t="s">
        <v>271</v>
      </c>
      <c r="C14" s="11" t="s">
        <v>17</v>
      </c>
      <c r="D14" s="12" t="s">
        <v>32</v>
      </c>
      <c r="E14" s="52">
        <f t="shared" ref="E14:W14" si="8">ROUND(E30/0.07*0.005,2)</f>
        <v>103890</v>
      </c>
      <c r="F14" s="52">
        <f t="shared" si="8"/>
        <v>105951.43</v>
      </c>
      <c r="G14" s="52">
        <f t="shared" si="8"/>
        <v>116679.43</v>
      </c>
      <c r="H14" s="52">
        <f t="shared" si="8"/>
        <v>104022.86</v>
      </c>
      <c r="I14" s="52">
        <f t="shared" si="8"/>
        <v>37142.86</v>
      </c>
      <c r="J14" s="52">
        <f t="shared" si="8"/>
        <v>112117.36</v>
      </c>
      <c r="K14" s="52">
        <f t="shared" si="8"/>
        <v>97831.71</v>
      </c>
      <c r="L14" s="52">
        <f t="shared" si="8"/>
        <v>70947.429999999993</v>
      </c>
      <c r="M14" s="52">
        <f t="shared" si="8"/>
        <v>116790.14</v>
      </c>
      <c r="N14" s="52">
        <f t="shared" si="8"/>
        <v>80436.86</v>
      </c>
      <c r="O14" s="52">
        <f t="shared" si="8"/>
        <v>63641.14</v>
      </c>
      <c r="P14" s="52">
        <f t="shared" si="8"/>
        <v>65706</v>
      </c>
      <c r="Q14" s="52">
        <f t="shared" si="8"/>
        <v>61524</v>
      </c>
      <c r="R14" s="52">
        <f t="shared" si="8"/>
        <v>24678</v>
      </c>
      <c r="S14" s="52">
        <f t="shared" si="8"/>
        <v>27664.29</v>
      </c>
      <c r="T14" s="52">
        <f t="shared" si="8"/>
        <v>28134</v>
      </c>
      <c r="U14" s="52">
        <f t="shared" si="8"/>
        <v>40956</v>
      </c>
      <c r="V14" s="52">
        <f t="shared" si="8"/>
        <v>45565.71</v>
      </c>
      <c r="W14" s="52">
        <f t="shared" si="8"/>
        <v>6663.43</v>
      </c>
      <c r="X14" s="57">
        <f t="shared" si="1"/>
        <v>1310342.6499999997</v>
      </c>
    </row>
    <row r="15" spans="1:24" ht="24.95" customHeight="1">
      <c r="A15" s="13" t="s">
        <v>33</v>
      </c>
      <c r="B15" s="11" t="s">
        <v>272</v>
      </c>
      <c r="C15" s="11" t="s">
        <v>17</v>
      </c>
      <c r="D15" s="12" t="s">
        <v>32</v>
      </c>
      <c r="E15" s="52">
        <f>ROUND(E30/0.07*0.005,2)</f>
        <v>103890</v>
      </c>
      <c r="F15" s="52">
        <f t="shared" ref="F15:W15" si="9">ROUND(F30/0.07*0.005,2)</f>
        <v>105951.43</v>
      </c>
      <c r="G15" s="52">
        <f t="shared" si="9"/>
        <v>116679.43</v>
      </c>
      <c r="H15" s="52">
        <f t="shared" si="9"/>
        <v>104022.86</v>
      </c>
      <c r="I15" s="52">
        <f t="shared" si="9"/>
        <v>37142.86</v>
      </c>
      <c r="J15" s="52">
        <f t="shared" si="9"/>
        <v>112117.36</v>
      </c>
      <c r="K15" s="52">
        <f t="shared" si="9"/>
        <v>97831.71</v>
      </c>
      <c r="L15" s="52">
        <f t="shared" si="9"/>
        <v>70947.429999999993</v>
      </c>
      <c r="M15" s="52">
        <f t="shared" si="9"/>
        <v>116790.14</v>
      </c>
      <c r="N15" s="52">
        <f t="shared" si="9"/>
        <v>80436.86</v>
      </c>
      <c r="O15" s="52">
        <f t="shared" si="9"/>
        <v>63641.14</v>
      </c>
      <c r="P15" s="52">
        <f t="shared" si="9"/>
        <v>65706</v>
      </c>
      <c r="Q15" s="52">
        <f t="shared" si="9"/>
        <v>61524</v>
      </c>
      <c r="R15" s="52">
        <f t="shared" si="9"/>
        <v>24678</v>
      </c>
      <c r="S15" s="52">
        <f t="shared" si="9"/>
        <v>27664.29</v>
      </c>
      <c r="T15" s="52">
        <f t="shared" si="9"/>
        <v>28134</v>
      </c>
      <c r="U15" s="52">
        <f t="shared" si="9"/>
        <v>40956</v>
      </c>
      <c r="V15" s="52">
        <f t="shared" si="9"/>
        <v>45565.71</v>
      </c>
      <c r="W15" s="52">
        <f t="shared" si="9"/>
        <v>6663.43</v>
      </c>
      <c r="X15" s="57">
        <f t="shared" si="1"/>
        <v>1310342.6499999997</v>
      </c>
    </row>
    <row r="16" spans="1:24" ht="24.95" customHeight="1">
      <c r="A16" s="13" t="s">
        <v>34</v>
      </c>
      <c r="B16" s="11" t="s">
        <v>35</v>
      </c>
      <c r="C16" s="11"/>
      <c r="D16" s="12" t="s">
        <v>11</v>
      </c>
      <c r="E16" s="52">
        <f t="shared" ref="E16:W16" si="10">E17+E18+E19+E20</f>
        <v>17485188</v>
      </c>
      <c r="F16" s="52">
        <f t="shared" si="10"/>
        <v>17058720</v>
      </c>
      <c r="G16" s="52">
        <f t="shared" si="10"/>
        <v>20043996</v>
      </c>
      <c r="H16" s="52">
        <f t="shared" si="10"/>
        <v>17698422</v>
      </c>
      <c r="I16" s="52">
        <f t="shared" si="10"/>
        <v>7676424</v>
      </c>
      <c r="J16" s="52">
        <f t="shared" si="10"/>
        <v>19246810</v>
      </c>
      <c r="K16" s="52">
        <f t="shared" si="10"/>
        <v>15397448</v>
      </c>
      <c r="L16" s="52">
        <f t="shared" si="10"/>
        <v>11750684</v>
      </c>
      <c r="M16" s="52">
        <f t="shared" si="10"/>
        <v>17626026</v>
      </c>
      <c r="N16" s="52">
        <f t="shared" si="10"/>
        <v>13979262</v>
      </c>
      <c r="O16" s="52">
        <f t="shared" si="10"/>
        <v>9935328</v>
      </c>
      <c r="P16" s="52">
        <f t="shared" si="10"/>
        <v>10458240</v>
      </c>
      <c r="Q16" s="52">
        <f t="shared" si="10"/>
        <v>9935328</v>
      </c>
      <c r="R16" s="52">
        <f t="shared" si="10"/>
        <v>3834688</v>
      </c>
      <c r="S16" s="52">
        <f t="shared" si="10"/>
        <v>4706208</v>
      </c>
      <c r="T16" s="52">
        <f t="shared" si="10"/>
        <v>4706208</v>
      </c>
      <c r="U16" s="52">
        <f t="shared" si="10"/>
        <v>6623552</v>
      </c>
      <c r="V16" s="52">
        <f t="shared" si="10"/>
        <v>7146464</v>
      </c>
      <c r="W16" s="52">
        <f t="shared" si="10"/>
        <v>1227156</v>
      </c>
      <c r="X16" s="57">
        <f t="shared" si="1"/>
        <v>216536152</v>
      </c>
    </row>
    <row r="17" spans="1:24" ht="24.95" customHeight="1">
      <c r="A17" s="13" t="s">
        <v>36</v>
      </c>
      <c r="B17" s="11" t="s">
        <v>37</v>
      </c>
      <c r="C17" s="11" t="s">
        <v>17</v>
      </c>
      <c r="D17" s="12" t="s">
        <v>273</v>
      </c>
      <c r="E17" s="53">
        <v>15916346</v>
      </c>
      <c r="F17" s="53">
        <v>15519724</v>
      </c>
      <c r="G17" s="53">
        <v>18273988</v>
      </c>
      <c r="H17" s="53">
        <v>16118930</v>
      </c>
      <c r="I17" s="53">
        <v>7100424</v>
      </c>
      <c r="J17" s="53">
        <v>17176750</v>
      </c>
      <c r="K17" s="53">
        <v>13917612</v>
      </c>
      <c r="L17" s="53">
        <v>10461772</v>
      </c>
      <c r="M17" s="53">
        <v>15934822</v>
      </c>
      <c r="N17" s="53">
        <v>12621082</v>
      </c>
      <c r="O17" s="53">
        <v>9267856</v>
      </c>
      <c r="P17" s="53">
        <v>9853108</v>
      </c>
      <c r="Q17" s="53">
        <v>9332800</v>
      </c>
      <c r="R17" s="53">
        <v>3483132</v>
      </c>
      <c r="S17" s="53">
        <v>4312504</v>
      </c>
      <c r="T17" s="53">
        <v>4323292</v>
      </c>
      <c r="U17" s="53">
        <v>6167488</v>
      </c>
      <c r="V17" s="53">
        <v>6656884</v>
      </c>
      <c r="W17" s="53">
        <v>1191156</v>
      </c>
      <c r="X17" s="57">
        <f t="shared" si="1"/>
        <v>197629670</v>
      </c>
    </row>
    <row r="18" spans="1:24" ht="24.95" customHeight="1">
      <c r="A18" s="13" t="s">
        <v>38</v>
      </c>
      <c r="B18" s="11" t="s">
        <v>39</v>
      </c>
      <c r="C18" s="11" t="s">
        <v>17</v>
      </c>
      <c r="D18" s="12" t="s">
        <v>40</v>
      </c>
      <c r="E18" s="53">
        <v>256842</v>
      </c>
      <c r="F18" s="53">
        <v>258996</v>
      </c>
      <c r="G18" s="53">
        <v>266008</v>
      </c>
      <c r="H18" s="53">
        <v>251492</v>
      </c>
      <c r="I18" s="53"/>
      <c r="J18" s="53">
        <v>550060</v>
      </c>
      <c r="K18" s="53">
        <v>263836</v>
      </c>
      <c r="L18" s="53">
        <v>360912</v>
      </c>
      <c r="M18" s="53">
        <v>299204</v>
      </c>
      <c r="N18" s="53">
        <v>254180</v>
      </c>
      <c r="O18" s="53">
        <v>325472</v>
      </c>
      <c r="P18" s="53">
        <v>245132</v>
      </c>
      <c r="Q18" s="53">
        <v>260528</v>
      </c>
      <c r="R18" s="53">
        <v>219556</v>
      </c>
      <c r="S18" s="53">
        <v>231704</v>
      </c>
      <c r="T18" s="53">
        <v>220916</v>
      </c>
      <c r="U18" s="53">
        <v>228064</v>
      </c>
      <c r="V18" s="53">
        <v>243580</v>
      </c>
      <c r="W18" s="53"/>
      <c r="X18" s="57">
        <f t="shared" si="1"/>
        <v>4736482</v>
      </c>
    </row>
    <row r="19" spans="1:24" ht="24.95" customHeight="1">
      <c r="A19" s="13" t="s">
        <v>41</v>
      </c>
      <c r="B19" s="11" t="s">
        <v>274</v>
      </c>
      <c r="C19" s="11" t="s">
        <v>17</v>
      </c>
      <c r="D19" s="12" t="s">
        <v>11</v>
      </c>
      <c r="E19" s="52">
        <f t="shared" ref="E19:W19" si="11">E60*500*12</f>
        <v>492000</v>
      </c>
      <c r="F19" s="52">
        <f t="shared" si="11"/>
        <v>480000</v>
      </c>
      <c r="G19" s="52">
        <f t="shared" si="11"/>
        <v>564000</v>
      </c>
      <c r="H19" s="52">
        <f t="shared" si="11"/>
        <v>498000</v>
      </c>
      <c r="I19" s="52">
        <f t="shared" si="11"/>
        <v>216000</v>
      </c>
      <c r="J19" s="52">
        <f t="shared" si="11"/>
        <v>570000</v>
      </c>
      <c r="K19" s="52">
        <f t="shared" si="11"/>
        <v>456000</v>
      </c>
      <c r="L19" s="52">
        <f t="shared" si="11"/>
        <v>348000</v>
      </c>
      <c r="M19" s="52">
        <f t="shared" si="11"/>
        <v>522000</v>
      </c>
      <c r="N19" s="52">
        <f t="shared" si="11"/>
        <v>414000</v>
      </c>
      <c r="O19" s="52">
        <f t="shared" si="11"/>
        <v>342000</v>
      </c>
      <c r="P19" s="52">
        <f t="shared" si="11"/>
        <v>360000</v>
      </c>
      <c r="Q19" s="52">
        <f t="shared" si="11"/>
        <v>342000</v>
      </c>
      <c r="R19" s="52">
        <f t="shared" si="11"/>
        <v>132000</v>
      </c>
      <c r="S19" s="52">
        <f t="shared" si="11"/>
        <v>162000</v>
      </c>
      <c r="T19" s="52">
        <f t="shared" si="11"/>
        <v>162000</v>
      </c>
      <c r="U19" s="52">
        <f t="shared" si="11"/>
        <v>228000</v>
      </c>
      <c r="V19" s="52">
        <f t="shared" si="11"/>
        <v>246000</v>
      </c>
      <c r="W19" s="52">
        <f t="shared" si="11"/>
        <v>36000</v>
      </c>
      <c r="X19" s="57">
        <f t="shared" si="1"/>
        <v>6570000</v>
      </c>
    </row>
    <row r="20" spans="1:24" s="46" customFormat="1" ht="24.95" customHeight="1">
      <c r="A20" s="13" t="s">
        <v>42</v>
      </c>
      <c r="B20" s="11" t="s">
        <v>275</v>
      </c>
      <c r="C20" s="11" t="s">
        <v>17</v>
      </c>
      <c r="D20" s="12" t="s">
        <v>18</v>
      </c>
      <c r="E20" s="53">
        <f>E60*10000</f>
        <v>820000</v>
      </c>
      <c r="F20" s="53">
        <f t="shared" ref="F20:N20" si="12">F60*10000</f>
        <v>800000</v>
      </c>
      <c r="G20" s="53">
        <f t="shared" si="12"/>
        <v>940000</v>
      </c>
      <c r="H20" s="53">
        <f t="shared" si="12"/>
        <v>830000</v>
      </c>
      <c r="I20" s="53">
        <f t="shared" si="12"/>
        <v>360000</v>
      </c>
      <c r="J20" s="53">
        <f t="shared" si="12"/>
        <v>950000</v>
      </c>
      <c r="K20" s="53">
        <f t="shared" si="12"/>
        <v>760000</v>
      </c>
      <c r="L20" s="53">
        <f t="shared" si="12"/>
        <v>580000</v>
      </c>
      <c r="M20" s="53">
        <f t="shared" si="12"/>
        <v>870000</v>
      </c>
      <c r="N20" s="53">
        <f t="shared" si="12"/>
        <v>690000</v>
      </c>
      <c r="O20" s="53"/>
      <c r="P20" s="53"/>
      <c r="Q20" s="53"/>
      <c r="R20" s="53"/>
      <c r="S20" s="53"/>
      <c r="T20" s="53"/>
      <c r="U20" s="53"/>
      <c r="V20" s="53"/>
      <c r="W20" s="53"/>
      <c r="X20" s="58">
        <f t="shared" si="1"/>
        <v>7600000</v>
      </c>
    </row>
    <row r="21" spans="1:24" ht="24.95" customHeight="1">
      <c r="A21" s="13" t="s">
        <v>43</v>
      </c>
      <c r="B21" s="11" t="s">
        <v>44</v>
      </c>
      <c r="C21" s="11"/>
      <c r="D21" s="12" t="s">
        <v>11</v>
      </c>
      <c r="E21" s="52">
        <f t="shared" ref="E21:W21" si="13">E22+E23</f>
        <v>2701140</v>
      </c>
      <c r="F21" s="52">
        <f t="shared" si="13"/>
        <v>2754737.13</v>
      </c>
      <c r="G21" s="52">
        <f t="shared" si="13"/>
        <v>3033665.13</v>
      </c>
      <c r="H21" s="52">
        <f t="shared" si="13"/>
        <v>2704594.29</v>
      </c>
      <c r="I21" s="52">
        <f t="shared" si="13"/>
        <v>965714.29</v>
      </c>
      <c r="J21" s="52">
        <f t="shared" si="13"/>
        <v>2915051.29</v>
      </c>
      <c r="K21" s="52">
        <f t="shared" si="13"/>
        <v>2543624.58</v>
      </c>
      <c r="L21" s="52">
        <f t="shared" si="13"/>
        <v>1844633.13</v>
      </c>
      <c r="M21" s="52">
        <f t="shared" si="13"/>
        <v>3036543.71</v>
      </c>
      <c r="N21" s="52">
        <f t="shared" si="13"/>
        <v>2091358.29</v>
      </c>
      <c r="O21" s="52">
        <f t="shared" si="13"/>
        <v>1654669.71</v>
      </c>
      <c r="P21" s="52">
        <f t="shared" si="13"/>
        <v>1708356</v>
      </c>
      <c r="Q21" s="52">
        <f t="shared" si="13"/>
        <v>1599624</v>
      </c>
      <c r="R21" s="52">
        <f t="shared" si="13"/>
        <v>641628</v>
      </c>
      <c r="S21" s="52">
        <f t="shared" si="13"/>
        <v>719271.42</v>
      </c>
      <c r="T21" s="52">
        <f t="shared" si="13"/>
        <v>731484</v>
      </c>
      <c r="U21" s="52">
        <f t="shared" si="13"/>
        <v>1064856</v>
      </c>
      <c r="V21" s="52">
        <f t="shared" si="13"/>
        <v>1184708.58</v>
      </c>
      <c r="W21" s="52">
        <f t="shared" si="13"/>
        <v>173249.13</v>
      </c>
      <c r="X21" s="57">
        <f t="shared" si="1"/>
        <v>34068908.680000007</v>
      </c>
    </row>
    <row r="22" spans="1:24" ht="24.95" customHeight="1">
      <c r="A22" s="13" t="s">
        <v>45</v>
      </c>
      <c r="B22" s="11" t="s">
        <v>276</v>
      </c>
      <c r="C22" s="11" t="s">
        <v>46</v>
      </c>
      <c r="D22" s="12" t="s">
        <v>11</v>
      </c>
      <c r="E22" s="52">
        <f t="shared" ref="E22:W22" si="14">ROUND(E30/0.07*0.09,2)</f>
        <v>1870020</v>
      </c>
      <c r="F22" s="52">
        <f t="shared" si="14"/>
        <v>1907125.71</v>
      </c>
      <c r="G22" s="52">
        <f t="shared" si="14"/>
        <v>2100229.71</v>
      </c>
      <c r="H22" s="52">
        <f t="shared" si="14"/>
        <v>1872411.43</v>
      </c>
      <c r="I22" s="52">
        <f t="shared" si="14"/>
        <v>668571.43000000005</v>
      </c>
      <c r="J22" s="52">
        <f t="shared" si="14"/>
        <v>2018112.43</v>
      </c>
      <c r="K22" s="52">
        <f t="shared" si="14"/>
        <v>1760970.86</v>
      </c>
      <c r="L22" s="52">
        <f t="shared" si="14"/>
        <v>1277053.71</v>
      </c>
      <c r="M22" s="52">
        <f t="shared" si="14"/>
        <v>2102222.5699999998</v>
      </c>
      <c r="N22" s="52">
        <f t="shared" si="14"/>
        <v>1447863.43</v>
      </c>
      <c r="O22" s="52">
        <f t="shared" si="14"/>
        <v>1145540.57</v>
      </c>
      <c r="P22" s="52">
        <f t="shared" si="14"/>
        <v>1182708</v>
      </c>
      <c r="Q22" s="52">
        <f t="shared" si="14"/>
        <v>1107432</v>
      </c>
      <c r="R22" s="52">
        <f t="shared" si="14"/>
        <v>444204</v>
      </c>
      <c r="S22" s="52">
        <f t="shared" si="14"/>
        <v>497957.14</v>
      </c>
      <c r="T22" s="52">
        <f t="shared" si="14"/>
        <v>506412</v>
      </c>
      <c r="U22" s="52">
        <f t="shared" si="14"/>
        <v>737208</v>
      </c>
      <c r="V22" s="52">
        <f t="shared" si="14"/>
        <v>820182.86</v>
      </c>
      <c r="W22" s="52">
        <f t="shared" si="14"/>
        <v>119941.71</v>
      </c>
      <c r="X22" s="57">
        <f t="shared" si="1"/>
        <v>23586167.559999999</v>
      </c>
    </row>
    <row r="23" spans="1:24" ht="24.95" customHeight="1">
      <c r="A23" s="13" t="s">
        <v>47</v>
      </c>
      <c r="B23" s="11" t="s">
        <v>277</v>
      </c>
      <c r="C23" s="11" t="s">
        <v>46</v>
      </c>
      <c r="D23" s="12" t="s">
        <v>32</v>
      </c>
      <c r="E23" s="52">
        <f t="shared" ref="E23:W23" si="15">E24+E25</f>
        <v>831120</v>
      </c>
      <c r="F23" s="52">
        <f t="shared" si="15"/>
        <v>847611.42</v>
      </c>
      <c r="G23" s="52">
        <f t="shared" si="15"/>
        <v>933435.42</v>
      </c>
      <c r="H23" s="52">
        <f t="shared" si="15"/>
        <v>832182.86</v>
      </c>
      <c r="I23" s="52">
        <f t="shared" si="15"/>
        <v>297142.86</v>
      </c>
      <c r="J23" s="52">
        <f t="shared" si="15"/>
        <v>896938.86</v>
      </c>
      <c r="K23" s="52">
        <f t="shared" si="15"/>
        <v>782653.72</v>
      </c>
      <c r="L23" s="52">
        <f t="shared" si="15"/>
        <v>567579.42000000004</v>
      </c>
      <c r="M23" s="52">
        <f t="shared" si="15"/>
        <v>934321.14</v>
      </c>
      <c r="N23" s="52">
        <f t="shared" si="15"/>
        <v>643494.86</v>
      </c>
      <c r="O23" s="52">
        <f t="shared" si="15"/>
        <v>509129.14</v>
      </c>
      <c r="P23" s="52">
        <f t="shared" si="15"/>
        <v>525648</v>
      </c>
      <c r="Q23" s="52">
        <f t="shared" si="15"/>
        <v>492192</v>
      </c>
      <c r="R23" s="52">
        <f t="shared" si="15"/>
        <v>197424</v>
      </c>
      <c r="S23" s="52">
        <f t="shared" si="15"/>
        <v>221314.28</v>
      </c>
      <c r="T23" s="52">
        <f t="shared" si="15"/>
        <v>225072</v>
      </c>
      <c r="U23" s="52">
        <f t="shared" si="15"/>
        <v>327648</v>
      </c>
      <c r="V23" s="52">
        <f t="shared" si="15"/>
        <v>364525.72</v>
      </c>
      <c r="W23" s="52">
        <f t="shared" si="15"/>
        <v>53307.42</v>
      </c>
      <c r="X23" s="57">
        <f t="shared" si="1"/>
        <v>10482741.119999999</v>
      </c>
    </row>
    <row r="24" spans="1:24" ht="24.95" customHeight="1">
      <c r="A24" s="13" t="s">
        <v>48</v>
      </c>
      <c r="B24" s="11" t="s">
        <v>278</v>
      </c>
      <c r="C24" s="11" t="s">
        <v>46</v>
      </c>
      <c r="D24" s="12" t="s">
        <v>32</v>
      </c>
      <c r="E24" s="52">
        <f t="shared" ref="E24:W24" si="16">ROUND(E30/0.07*0.02,2)</f>
        <v>415560</v>
      </c>
      <c r="F24" s="52">
        <f t="shared" si="16"/>
        <v>423805.71</v>
      </c>
      <c r="G24" s="52">
        <f t="shared" si="16"/>
        <v>466717.71</v>
      </c>
      <c r="H24" s="52">
        <f t="shared" si="16"/>
        <v>416091.43</v>
      </c>
      <c r="I24" s="52">
        <f t="shared" si="16"/>
        <v>148571.43</v>
      </c>
      <c r="J24" s="52">
        <f t="shared" si="16"/>
        <v>448469.43</v>
      </c>
      <c r="K24" s="52">
        <f t="shared" si="16"/>
        <v>391326.86</v>
      </c>
      <c r="L24" s="52">
        <f t="shared" si="16"/>
        <v>283789.71000000002</v>
      </c>
      <c r="M24" s="52">
        <f t="shared" si="16"/>
        <v>467160.57</v>
      </c>
      <c r="N24" s="52">
        <f t="shared" si="16"/>
        <v>321747.43</v>
      </c>
      <c r="O24" s="52">
        <f t="shared" si="16"/>
        <v>254564.57</v>
      </c>
      <c r="P24" s="52">
        <f t="shared" si="16"/>
        <v>262824</v>
      </c>
      <c r="Q24" s="52">
        <f t="shared" si="16"/>
        <v>246096</v>
      </c>
      <c r="R24" s="52">
        <f t="shared" si="16"/>
        <v>98712</v>
      </c>
      <c r="S24" s="52">
        <f t="shared" si="16"/>
        <v>110657.14</v>
      </c>
      <c r="T24" s="52">
        <f t="shared" si="16"/>
        <v>112536</v>
      </c>
      <c r="U24" s="52">
        <f t="shared" si="16"/>
        <v>163824</v>
      </c>
      <c r="V24" s="52">
        <f t="shared" si="16"/>
        <v>182262.86</v>
      </c>
      <c r="W24" s="52">
        <f t="shared" si="16"/>
        <v>26653.71</v>
      </c>
      <c r="X24" s="57">
        <f t="shared" si="1"/>
        <v>5241370.5599999996</v>
      </c>
    </row>
    <row r="25" spans="1:24" ht="24.95" customHeight="1">
      <c r="A25" s="13" t="s">
        <v>49</v>
      </c>
      <c r="B25" s="11" t="s">
        <v>279</v>
      </c>
      <c r="C25" s="11" t="s">
        <v>46</v>
      </c>
      <c r="D25" s="12" t="s">
        <v>32</v>
      </c>
      <c r="E25" s="52">
        <f t="shared" ref="E25:W25" si="17">ROUND(E30/0.07*0.02,2)</f>
        <v>415560</v>
      </c>
      <c r="F25" s="52">
        <f t="shared" si="17"/>
        <v>423805.71</v>
      </c>
      <c r="G25" s="52">
        <f t="shared" si="17"/>
        <v>466717.71</v>
      </c>
      <c r="H25" s="52">
        <f t="shared" si="17"/>
        <v>416091.43</v>
      </c>
      <c r="I25" s="52">
        <f t="shared" si="17"/>
        <v>148571.43</v>
      </c>
      <c r="J25" s="52">
        <f t="shared" si="17"/>
        <v>448469.43</v>
      </c>
      <c r="K25" s="52">
        <f t="shared" si="17"/>
        <v>391326.86</v>
      </c>
      <c r="L25" s="52">
        <f t="shared" si="17"/>
        <v>283789.71000000002</v>
      </c>
      <c r="M25" s="52">
        <f t="shared" si="17"/>
        <v>467160.57</v>
      </c>
      <c r="N25" s="52">
        <f t="shared" si="17"/>
        <v>321747.43</v>
      </c>
      <c r="O25" s="52">
        <f t="shared" si="17"/>
        <v>254564.57</v>
      </c>
      <c r="P25" s="52">
        <f t="shared" si="17"/>
        <v>262824</v>
      </c>
      <c r="Q25" s="52">
        <f t="shared" si="17"/>
        <v>246096</v>
      </c>
      <c r="R25" s="52">
        <f t="shared" si="17"/>
        <v>98712</v>
      </c>
      <c r="S25" s="52">
        <f t="shared" si="17"/>
        <v>110657.14</v>
      </c>
      <c r="T25" s="52">
        <f t="shared" si="17"/>
        <v>112536</v>
      </c>
      <c r="U25" s="52">
        <f t="shared" si="17"/>
        <v>163824</v>
      </c>
      <c r="V25" s="52">
        <f t="shared" si="17"/>
        <v>182262.86</v>
      </c>
      <c r="W25" s="52">
        <f t="shared" si="17"/>
        <v>26653.71</v>
      </c>
      <c r="X25" s="57">
        <f t="shared" si="1"/>
        <v>5241370.5599999996</v>
      </c>
    </row>
    <row r="26" spans="1:24" ht="24.95" customHeight="1">
      <c r="A26" s="13" t="s">
        <v>50</v>
      </c>
      <c r="B26" s="11" t="s">
        <v>51</v>
      </c>
      <c r="C26" s="11"/>
      <c r="D26" s="12" t="s">
        <v>11</v>
      </c>
      <c r="E26" s="52">
        <f t="shared" ref="E26:W26" si="18">E27</f>
        <v>3324480</v>
      </c>
      <c r="F26" s="52">
        <f t="shared" si="18"/>
        <v>3390445.71</v>
      </c>
      <c r="G26" s="52">
        <f t="shared" si="18"/>
        <v>3733741.71</v>
      </c>
      <c r="H26" s="52">
        <f t="shared" si="18"/>
        <v>3328731.43</v>
      </c>
      <c r="I26" s="52">
        <f t="shared" si="18"/>
        <v>1188571.43</v>
      </c>
      <c r="J26" s="52">
        <f t="shared" si="18"/>
        <v>3587755.43</v>
      </c>
      <c r="K26" s="52">
        <f t="shared" si="18"/>
        <v>3130614.86</v>
      </c>
      <c r="L26" s="52">
        <f t="shared" si="18"/>
        <v>2270317.71</v>
      </c>
      <c r="M26" s="52">
        <f t="shared" si="18"/>
        <v>3737284.57</v>
      </c>
      <c r="N26" s="52">
        <f t="shared" si="18"/>
        <v>2573979.4300000002</v>
      </c>
      <c r="O26" s="52">
        <f t="shared" si="18"/>
        <v>2036516.57</v>
      </c>
      <c r="P26" s="52">
        <f t="shared" si="18"/>
        <v>2102592</v>
      </c>
      <c r="Q26" s="52">
        <f t="shared" si="18"/>
        <v>1968768</v>
      </c>
      <c r="R26" s="52">
        <f t="shared" si="18"/>
        <v>789696</v>
      </c>
      <c r="S26" s="52">
        <f t="shared" si="18"/>
        <v>885257.14</v>
      </c>
      <c r="T26" s="52">
        <f t="shared" si="18"/>
        <v>900288</v>
      </c>
      <c r="U26" s="52">
        <f t="shared" si="18"/>
        <v>1310592</v>
      </c>
      <c r="V26" s="52">
        <f t="shared" si="18"/>
        <v>1458102.86</v>
      </c>
      <c r="W26" s="52">
        <f t="shared" si="18"/>
        <v>213229.71</v>
      </c>
      <c r="X26" s="57">
        <f t="shared" si="1"/>
        <v>41930964.560000002</v>
      </c>
    </row>
    <row r="27" spans="1:24" ht="24.95" customHeight="1">
      <c r="A27" s="13" t="s">
        <v>52</v>
      </c>
      <c r="B27" s="11" t="s">
        <v>280</v>
      </c>
      <c r="C27" s="11" t="s">
        <v>53</v>
      </c>
      <c r="D27" s="12" t="s">
        <v>32</v>
      </c>
      <c r="E27" s="52">
        <f t="shared" ref="E27:W27" si="19">ROUND(E30/0.07*0.16,2)</f>
        <v>3324480</v>
      </c>
      <c r="F27" s="52">
        <f t="shared" si="19"/>
        <v>3390445.71</v>
      </c>
      <c r="G27" s="52">
        <f t="shared" si="19"/>
        <v>3733741.71</v>
      </c>
      <c r="H27" s="52">
        <f t="shared" si="19"/>
        <v>3328731.43</v>
      </c>
      <c r="I27" s="52">
        <f t="shared" si="19"/>
        <v>1188571.43</v>
      </c>
      <c r="J27" s="52">
        <f t="shared" si="19"/>
        <v>3587755.43</v>
      </c>
      <c r="K27" s="52">
        <f t="shared" si="19"/>
        <v>3130614.86</v>
      </c>
      <c r="L27" s="52">
        <f t="shared" si="19"/>
        <v>2270317.71</v>
      </c>
      <c r="M27" s="52">
        <f t="shared" si="19"/>
        <v>3737284.57</v>
      </c>
      <c r="N27" s="52">
        <f t="shared" si="19"/>
        <v>2573979.4300000002</v>
      </c>
      <c r="O27" s="52">
        <f t="shared" si="19"/>
        <v>2036516.57</v>
      </c>
      <c r="P27" s="52">
        <f t="shared" si="19"/>
        <v>2102592</v>
      </c>
      <c r="Q27" s="52">
        <f t="shared" si="19"/>
        <v>1968768</v>
      </c>
      <c r="R27" s="52">
        <f t="shared" si="19"/>
        <v>789696</v>
      </c>
      <c r="S27" s="52">
        <f t="shared" si="19"/>
        <v>885257.14</v>
      </c>
      <c r="T27" s="52">
        <f t="shared" si="19"/>
        <v>900288</v>
      </c>
      <c r="U27" s="52">
        <f t="shared" si="19"/>
        <v>1310592</v>
      </c>
      <c r="V27" s="52">
        <f t="shared" si="19"/>
        <v>1458102.86</v>
      </c>
      <c r="W27" s="52">
        <f t="shared" si="19"/>
        <v>213229.71</v>
      </c>
      <c r="X27" s="57">
        <f t="shared" si="1"/>
        <v>41930964.560000002</v>
      </c>
    </row>
    <row r="28" spans="1:24" ht="24.95" customHeight="1">
      <c r="A28" s="13" t="s">
        <v>54</v>
      </c>
      <c r="B28" s="11" t="s">
        <v>55</v>
      </c>
      <c r="C28" s="11"/>
      <c r="D28" s="12" t="s">
        <v>11</v>
      </c>
      <c r="E28" s="52">
        <f t="shared" ref="E28:W28" si="20">E29</f>
        <v>1662240</v>
      </c>
      <c r="F28" s="52">
        <f t="shared" si="20"/>
        <v>1695222.86</v>
      </c>
      <c r="G28" s="52">
        <f t="shared" si="20"/>
        <v>1866870.86</v>
      </c>
      <c r="H28" s="52">
        <f t="shared" si="20"/>
        <v>1664365.71</v>
      </c>
      <c r="I28" s="52">
        <f t="shared" si="20"/>
        <v>594285.71</v>
      </c>
      <c r="J28" s="52">
        <f t="shared" si="20"/>
        <v>1793877.71</v>
      </c>
      <c r="K28" s="52">
        <f t="shared" si="20"/>
        <v>1565307.43</v>
      </c>
      <c r="L28" s="52">
        <f t="shared" si="20"/>
        <v>1135158.8600000001</v>
      </c>
      <c r="M28" s="52">
        <f t="shared" si="20"/>
        <v>1868642.29</v>
      </c>
      <c r="N28" s="52">
        <f t="shared" si="20"/>
        <v>1286989.71</v>
      </c>
      <c r="O28" s="52">
        <f t="shared" si="20"/>
        <v>1018258.29</v>
      </c>
      <c r="P28" s="52">
        <f t="shared" si="20"/>
        <v>1051296</v>
      </c>
      <c r="Q28" s="52">
        <f t="shared" si="20"/>
        <v>984384</v>
      </c>
      <c r="R28" s="52">
        <f t="shared" si="20"/>
        <v>394848</v>
      </c>
      <c r="S28" s="52">
        <f t="shared" si="20"/>
        <v>442628.57</v>
      </c>
      <c r="T28" s="52">
        <f t="shared" si="20"/>
        <v>450144</v>
      </c>
      <c r="U28" s="52">
        <f t="shared" si="20"/>
        <v>655296</v>
      </c>
      <c r="V28" s="52">
        <f t="shared" si="20"/>
        <v>729051.43</v>
      </c>
      <c r="W28" s="52">
        <f t="shared" si="20"/>
        <v>106614.86</v>
      </c>
      <c r="X28" s="57">
        <f t="shared" si="1"/>
        <v>20965482.289999999</v>
      </c>
    </row>
    <row r="29" spans="1:24" ht="24.95" customHeight="1">
      <c r="A29" s="13" t="s">
        <v>56</v>
      </c>
      <c r="B29" s="11" t="s">
        <v>57</v>
      </c>
      <c r="C29" s="11" t="s">
        <v>58</v>
      </c>
      <c r="D29" s="12" t="s">
        <v>32</v>
      </c>
      <c r="E29" s="52">
        <f t="shared" ref="E29:W29" si="21">ROUND(E30/0.07*0.08,2)</f>
        <v>1662240</v>
      </c>
      <c r="F29" s="52">
        <f t="shared" si="21"/>
        <v>1695222.86</v>
      </c>
      <c r="G29" s="52">
        <f t="shared" si="21"/>
        <v>1866870.86</v>
      </c>
      <c r="H29" s="52">
        <f t="shared" si="21"/>
        <v>1664365.71</v>
      </c>
      <c r="I29" s="52">
        <f t="shared" si="21"/>
        <v>594285.71</v>
      </c>
      <c r="J29" s="52">
        <f t="shared" si="21"/>
        <v>1793877.71</v>
      </c>
      <c r="K29" s="52">
        <f t="shared" si="21"/>
        <v>1565307.43</v>
      </c>
      <c r="L29" s="52">
        <f t="shared" si="21"/>
        <v>1135158.8600000001</v>
      </c>
      <c r="M29" s="52">
        <f t="shared" si="21"/>
        <v>1868642.29</v>
      </c>
      <c r="N29" s="52">
        <f t="shared" si="21"/>
        <v>1286989.71</v>
      </c>
      <c r="O29" s="52">
        <f t="shared" si="21"/>
        <v>1018258.29</v>
      </c>
      <c r="P29" s="52">
        <f t="shared" si="21"/>
        <v>1051296</v>
      </c>
      <c r="Q29" s="52">
        <f t="shared" si="21"/>
        <v>984384</v>
      </c>
      <c r="R29" s="52">
        <f t="shared" si="21"/>
        <v>394848</v>
      </c>
      <c r="S29" s="52">
        <f t="shared" si="21"/>
        <v>442628.57</v>
      </c>
      <c r="T29" s="52">
        <f t="shared" si="21"/>
        <v>450144</v>
      </c>
      <c r="U29" s="52">
        <f t="shared" si="21"/>
        <v>655296</v>
      </c>
      <c r="V29" s="52">
        <f t="shared" si="21"/>
        <v>729051.43</v>
      </c>
      <c r="W29" s="52">
        <f t="shared" si="21"/>
        <v>106614.86</v>
      </c>
      <c r="X29" s="57">
        <f t="shared" si="1"/>
        <v>20965482.289999999</v>
      </c>
    </row>
    <row r="30" spans="1:24" ht="24.95" customHeight="1">
      <c r="A30" s="13" t="s">
        <v>59</v>
      </c>
      <c r="B30" s="11" t="s">
        <v>281</v>
      </c>
      <c r="C30" s="11" t="s">
        <v>60</v>
      </c>
      <c r="D30" s="12" t="s">
        <v>282</v>
      </c>
      <c r="E30" s="53">
        <f>121205*12</f>
        <v>1454460</v>
      </c>
      <c r="F30" s="53">
        <f>123610*12</f>
        <v>1483320</v>
      </c>
      <c r="G30" s="53">
        <v>1633512</v>
      </c>
      <c r="H30" s="53">
        <f>121360*12</f>
        <v>1456320</v>
      </c>
      <c r="I30" s="53">
        <v>520000</v>
      </c>
      <c r="J30" s="53">
        <v>1569643</v>
      </c>
      <c r="K30" s="53">
        <f>114137*12</f>
        <v>1369644</v>
      </c>
      <c r="L30" s="53">
        <v>993264</v>
      </c>
      <c r="M30" s="53">
        <v>1635062</v>
      </c>
      <c r="N30" s="53">
        <f>93843*12</f>
        <v>1126116</v>
      </c>
      <c r="O30" s="53">
        <v>890976</v>
      </c>
      <c r="P30" s="53">
        <v>919884</v>
      </c>
      <c r="Q30" s="53">
        <v>861336</v>
      </c>
      <c r="R30" s="53">
        <f>28791*12</f>
        <v>345492</v>
      </c>
      <c r="S30" s="53">
        <f>32275*12</f>
        <v>387300</v>
      </c>
      <c r="T30" s="53">
        <v>393876</v>
      </c>
      <c r="U30" s="53">
        <v>573384</v>
      </c>
      <c r="V30" s="53">
        <v>637920</v>
      </c>
      <c r="W30" s="53">
        <v>93288</v>
      </c>
      <c r="X30" s="57">
        <f t="shared" si="1"/>
        <v>18344797</v>
      </c>
    </row>
    <row r="31" spans="1:24" ht="24.95" customHeight="1">
      <c r="A31" s="13" t="s">
        <v>61</v>
      </c>
      <c r="B31" s="11" t="s">
        <v>283</v>
      </c>
      <c r="C31" s="11" t="s">
        <v>17</v>
      </c>
      <c r="D31" s="12" t="s">
        <v>284</v>
      </c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>
        <v>0</v>
      </c>
      <c r="V31" s="53">
        <v>0</v>
      </c>
      <c r="W31" s="53"/>
      <c r="X31" s="57">
        <f t="shared" si="1"/>
        <v>0</v>
      </c>
    </row>
    <row r="32" spans="1:24" ht="24.95" customHeight="1">
      <c r="A32" s="13" t="s">
        <v>62</v>
      </c>
      <c r="B32" s="11" t="s">
        <v>63</v>
      </c>
      <c r="C32" s="11"/>
      <c r="D32" s="12" t="s">
        <v>11</v>
      </c>
      <c r="E32" s="52">
        <f>E33+E35</f>
        <v>1278600</v>
      </c>
      <c r="F32" s="52">
        <f t="shared" ref="F32:W32" si="22">F33+F35</f>
        <v>1169640</v>
      </c>
      <c r="G32" s="52">
        <f t="shared" si="22"/>
        <v>26580</v>
      </c>
      <c r="H32" s="52">
        <f t="shared" si="22"/>
        <v>16140</v>
      </c>
      <c r="I32" s="52">
        <f t="shared" si="22"/>
        <v>720</v>
      </c>
      <c r="J32" s="52">
        <f t="shared" si="22"/>
        <v>2007660</v>
      </c>
      <c r="K32" s="52">
        <f t="shared" si="22"/>
        <v>1903080</v>
      </c>
      <c r="L32" s="52">
        <f t="shared" si="22"/>
        <v>720</v>
      </c>
      <c r="M32" s="52">
        <f t="shared" si="22"/>
        <v>22120</v>
      </c>
      <c r="N32" s="52">
        <f t="shared" si="22"/>
        <v>720</v>
      </c>
      <c r="O32" s="52">
        <f t="shared" si="22"/>
        <v>388500</v>
      </c>
      <c r="P32" s="52">
        <f t="shared" si="22"/>
        <v>418020</v>
      </c>
      <c r="Q32" s="52">
        <f t="shared" si="22"/>
        <v>16200</v>
      </c>
      <c r="R32" s="52">
        <f t="shared" si="22"/>
        <v>630</v>
      </c>
      <c r="S32" s="52">
        <f t="shared" si="22"/>
        <v>1440</v>
      </c>
      <c r="T32" s="52">
        <f t="shared" si="22"/>
        <v>1000</v>
      </c>
      <c r="U32" s="52">
        <f t="shared" si="22"/>
        <v>1080</v>
      </c>
      <c r="V32" s="52">
        <f t="shared" si="22"/>
        <v>2830</v>
      </c>
      <c r="W32" s="52">
        <f t="shared" si="22"/>
        <v>370500</v>
      </c>
      <c r="X32" s="57">
        <f t="shared" si="1"/>
        <v>7626180</v>
      </c>
    </row>
    <row r="33" spans="1:24" ht="24.95" customHeight="1">
      <c r="A33" s="13" t="s">
        <v>64</v>
      </c>
      <c r="B33" s="11" t="s">
        <v>285</v>
      </c>
      <c r="C33" s="11" t="s">
        <v>65</v>
      </c>
      <c r="D33" s="12" t="s">
        <v>286</v>
      </c>
      <c r="E33" s="52">
        <f t="shared" ref="E33:W33" si="23">E34</f>
        <v>1277160</v>
      </c>
      <c r="F33" s="52">
        <f t="shared" si="23"/>
        <v>1168560</v>
      </c>
      <c r="G33" s="52">
        <f t="shared" si="23"/>
        <v>15780</v>
      </c>
      <c r="H33" s="52">
        <f t="shared" si="23"/>
        <v>15780</v>
      </c>
      <c r="I33" s="52">
        <f t="shared" si="23"/>
        <v>0</v>
      </c>
      <c r="J33" s="52">
        <f t="shared" si="23"/>
        <v>2006940</v>
      </c>
      <c r="K33" s="52">
        <f t="shared" si="23"/>
        <v>1902360</v>
      </c>
      <c r="L33" s="52">
        <f t="shared" si="23"/>
        <v>0</v>
      </c>
      <c r="M33" s="52">
        <f t="shared" si="23"/>
        <v>13020</v>
      </c>
      <c r="N33" s="52">
        <f t="shared" si="23"/>
        <v>0</v>
      </c>
      <c r="O33" s="52">
        <f t="shared" si="23"/>
        <v>382740</v>
      </c>
      <c r="P33" s="52">
        <f t="shared" si="23"/>
        <v>414420</v>
      </c>
      <c r="Q33" s="52">
        <f t="shared" si="23"/>
        <v>13020</v>
      </c>
      <c r="R33" s="52">
        <f t="shared" si="23"/>
        <v>0</v>
      </c>
      <c r="S33" s="52">
        <f t="shared" si="23"/>
        <v>0</v>
      </c>
      <c r="T33" s="52">
        <f t="shared" si="23"/>
        <v>0</v>
      </c>
      <c r="U33" s="52">
        <f t="shared" si="23"/>
        <v>0</v>
      </c>
      <c r="V33" s="52">
        <f t="shared" si="23"/>
        <v>0</v>
      </c>
      <c r="W33" s="52">
        <f t="shared" si="23"/>
        <v>370500</v>
      </c>
      <c r="X33" s="57">
        <f t="shared" si="1"/>
        <v>7580280</v>
      </c>
    </row>
    <row r="34" spans="1:24" ht="24.95" customHeight="1">
      <c r="A34" s="13" t="s">
        <v>66</v>
      </c>
      <c r="B34" s="11" t="s">
        <v>287</v>
      </c>
      <c r="C34" s="11" t="s">
        <v>65</v>
      </c>
      <c r="D34" s="12" t="s">
        <v>286</v>
      </c>
      <c r="E34" s="53">
        <f>106430*12</f>
        <v>1277160</v>
      </c>
      <c r="F34" s="53">
        <f>97380*12</f>
        <v>1168560</v>
      </c>
      <c r="G34" s="53">
        <v>15780</v>
      </c>
      <c r="H34" s="53">
        <f>1315*12</f>
        <v>15780</v>
      </c>
      <c r="I34" s="53"/>
      <c r="J34" s="53">
        <v>2006940</v>
      </c>
      <c r="K34" s="53">
        <v>1902360</v>
      </c>
      <c r="L34" s="53"/>
      <c r="M34" s="53">
        <v>13020</v>
      </c>
      <c r="N34" s="53"/>
      <c r="O34" s="53">
        <v>382740</v>
      </c>
      <c r="P34" s="53">
        <v>414420</v>
      </c>
      <c r="Q34" s="53">
        <f>1085*12</f>
        <v>13020</v>
      </c>
      <c r="R34" s="53"/>
      <c r="S34" s="53"/>
      <c r="T34" s="53"/>
      <c r="U34" s="53"/>
      <c r="V34" s="53"/>
      <c r="W34" s="53">
        <v>370500</v>
      </c>
      <c r="X34" s="57">
        <f t="shared" si="1"/>
        <v>7580280</v>
      </c>
    </row>
    <row r="35" spans="1:24" ht="24.95" customHeight="1">
      <c r="A35" s="13" t="s">
        <v>67</v>
      </c>
      <c r="B35" s="11" t="s">
        <v>68</v>
      </c>
      <c r="C35" s="11"/>
      <c r="D35" s="12" t="s">
        <v>11</v>
      </c>
      <c r="E35" s="52">
        <f t="shared" ref="E35:W35" si="24">E36</f>
        <v>1440</v>
      </c>
      <c r="F35" s="52">
        <f t="shared" si="24"/>
        <v>1080</v>
      </c>
      <c r="G35" s="52">
        <f t="shared" si="24"/>
        <v>10800</v>
      </c>
      <c r="H35" s="52">
        <f t="shared" si="24"/>
        <v>360</v>
      </c>
      <c r="I35" s="52">
        <f t="shared" si="24"/>
        <v>720</v>
      </c>
      <c r="J35" s="52">
        <f t="shared" si="24"/>
        <v>720</v>
      </c>
      <c r="K35" s="52">
        <f t="shared" si="24"/>
        <v>720</v>
      </c>
      <c r="L35" s="52">
        <f t="shared" si="24"/>
        <v>720</v>
      </c>
      <c r="M35" s="52">
        <f t="shared" si="24"/>
        <v>9100</v>
      </c>
      <c r="N35" s="52">
        <f t="shared" si="24"/>
        <v>720</v>
      </c>
      <c r="O35" s="52">
        <f t="shared" si="24"/>
        <v>5760</v>
      </c>
      <c r="P35" s="52">
        <f t="shared" si="24"/>
        <v>3600</v>
      </c>
      <c r="Q35" s="52">
        <f t="shared" si="24"/>
        <v>3180</v>
      </c>
      <c r="R35" s="52">
        <f t="shared" si="24"/>
        <v>630</v>
      </c>
      <c r="S35" s="52">
        <f t="shared" si="24"/>
        <v>1440</v>
      </c>
      <c r="T35" s="52">
        <f t="shared" si="24"/>
        <v>1000</v>
      </c>
      <c r="U35" s="52">
        <f t="shared" si="24"/>
        <v>1080</v>
      </c>
      <c r="V35" s="52">
        <f t="shared" si="24"/>
        <v>2830</v>
      </c>
      <c r="W35" s="52">
        <f t="shared" si="24"/>
        <v>0</v>
      </c>
      <c r="X35" s="57">
        <f t="shared" si="1"/>
        <v>45900</v>
      </c>
    </row>
    <row r="36" spans="1:24" ht="24.95" customHeight="1">
      <c r="A36" s="13" t="s">
        <v>69</v>
      </c>
      <c r="B36" s="11" t="s">
        <v>70</v>
      </c>
      <c r="C36" s="11" t="s">
        <v>17</v>
      </c>
      <c r="D36" s="12" t="s">
        <v>18</v>
      </c>
      <c r="E36" s="53">
        <f>120*12</f>
        <v>1440</v>
      </c>
      <c r="F36" s="53">
        <f>30*3*12</f>
        <v>1080</v>
      </c>
      <c r="G36" s="53">
        <v>10800</v>
      </c>
      <c r="H36" s="53">
        <f>30*12</f>
        <v>360</v>
      </c>
      <c r="I36" s="53">
        <v>720</v>
      </c>
      <c r="J36" s="53">
        <v>720</v>
      </c>
      <c r="K36" s="53">
        <v>720</v>
      </c>
      <c r="L36" s="53">
        <v>720</v>
      </c>
      <c r="M36" s="53">
        <v>9100</v>
      </c>
      <c r="N36" s="53">
        <v>720</v>
      </c>
      <c r="O36" s="53">
        <v>5760</v>
      </c>
      <c r="P36" s="53">
        <v>3600</v>
      </c>
      <c r="Q36" s="53">
        <v>3180</v>
      </c>
      <c r="R36" s="53">
        <v>630</v>
      </c>
      <c r="S36" s="53">
        <f>120*12</f>
        <v>1440</v>
      </c>
      <c r="T36" s="53">
        <v>1000</v>
      </c>
      <c r="U36" s="53">
        <f>90*12</f>
        <v>1080</v>
      </c>
      <c r="V36" s="53">
        <v>2830</v>
      </c>
      <c r="W36" s="53"/>
      <c r="X36" s="57">
        <f t="shared" si="1"/>
        <v>45900</v>
      </c>
    </row>
    <row r="37" spans="1:24" ht="24.95" customHeight="1">
      <c r="A37" s="13" t="s">
        <v>71</v>
      </c>
      <c r="B37" s="11" t="s">
        <v>74</v>
      </c>
      <c r="C37" s="11"/>
      <c r="D37" s="12" t="s">
        <v>11</v>
      </c>
      <c r="E37" s="52">
        <f>E38+E40+E42+E44+E46+E49+E51+E53+E57+E55</f>
        <v>5733127</v>
      </c>
      <c r="F37" s="52">
        <f t="shared" ref="F37:W37" si="25">F38+F40+F42+F44+F46+F49+F51+F53+F57+F55</f>
        <v>5654610.71</v>
      </c>
      <c r="G37" s="52">
        <f t="shared" si="25"/>
        <v>6448497.0599999996</v>
      </c>
      <c r="H37" s="52">
        <f t="shared" si="25"/>
        <v>6616883.0799999991</v>
      </c>
      <c r="I37" s="52">
        <f t="shared" si="25"/>
        <v>3252908.93</v>
      </c>
      <c r="J37" s="52">
        <f t="shared" si="25"/>
        <v>7630870.6799999997</v>
      </c>
      <c r="K37" s="52">
        <f t="shared" si="25"/>
        <v>5629949.71</v>
      </c>
      <c r="L37" s="52">
        <f t="shared" si="25"/>
        <v>5786804.2599999998</v>
      </c>
      <c r="M37" s="52">
        <f t="shared" si="25"/>
        <v>5700861.5700000003</v>
      </c>
      <c r="N37" s="52">
        <f t="shared" si="25"/>
        <v>4696508.58</v>
      </c>
      <c r="O37" s="52">
        <f t="shared" si="25"/>
        <v>2831058.1199999996</v>
      </c>
      <c r="P37" s="52">
        <f t="shared" si="25"/>
        <v>3448470.7</v>
      </c>
      <c r="Q37" s="52">
        <f t="shared" si="25"/>
        <v>2841075.8</v>
      </c>
      <c r="R37" s="52">
        <f t="shared" si="25"/>
        <v>1255372</v>
      </c>
      <c r="S37" s="52">
        <f t="shared" si="25"/>
        <v>2479270.19</v>
      </c>
      <c r="T37" s="52">
        <f t="shared" si="25"/>
        <v>2212062</v>
      </c>
      <c r="U37" s="52">
        <f t="shared" si="25"/>
        <v>2304092.7199999997</v>
      </c>
      <c r="V37" s="52">
        <f t="shared" si="25"/>
        <v>2700982.86</v>
      </c>
      <c r="W37" s="52">
        <f t="shared" si="25"/>
        <v>336203.71</v>
      </c>
      <c r="X37" s="57">
        <f t="shared" si="1"/>
        <v>77559609.679999977</v>
      </c>
    </row>
    <row r="38" spans="1:24" s="46" customFormat="1" ht="24.95" customHeight="1">
      <c r="A38" s="13" t="s">
        <v>72</v>
      </c>
      <c r="B38" s="11" t="s">
        <v>76</v>
      </c>
      <c r="C38" s="11"/>
      <c r="D38" s="12" t="s">
        <v>77</v>
      </c>
      <c r="E38" s="53">
        <f>1092*3850</f>
        <v>4204200</v>
      </c>
      <c r="F38" s="53">
        <f>1104*3850</f>
        <v>4250400</v>
      </c>
      <c r="G38" s="53">
        <v>4637420</v>
      </c>
      <c r="H38" s="53">
        <f>3850*H66</f>
        <v>5386150</v>
      </c>
      <c r="I38" s="53">
        <v>2591050</v>
      </c>
      <c r="J38" s="53">
        <v>5672070</v>
      </c>
      <c r="K38" s="53">
        <f>K67*3210</f>
        <v>4028550</v>
      </c>
      <c r="L38" s="53">
        <f>1512*3210</f>
        <v>4853520</v>
      </c>
      <c r="M38" s="53">
        <f>M67*3210</f>
        <v>4314240</v>
      </c>
      <c r="N38" s="53">
        <v>3768540</v>
      </c>
      <c r="O38" s="53">
        <v>2002000</v>
      </c>
      <c r="P38" s="53">
        <v>2531100</v>
      </c>
      <c r="Q38" s="53">
        <v>2093520</v>
      </c>
      <c r="R38" s="53">
        <v>906620</v>
      </c>
      <c r="S38" s="53">
        <f>1132560+858000</f>
        <v>1990560</v>
      </c>
      <c r="T38" s="53">
        <v>1716000</v>
      </c>
      <c r="U38" s="53">
        <v>1716000</v>
      </c>
      <c r="V38" s="53">
        <v>2042040</v>
      </c>
      <c r="W38" s="53">
        <v>134400</v>
      </c>
      <c r="X38" s="58">
        <f t="shared" si="1"/>
        <v>58838380</v>
      </c>
    </row>
    <row r="39" spans="1:24" s="46" customFormat="1" ht="24.95" customHeight="1">
      <c r="A39" s="13" t="s">
        <v>73</v>
      </c>
      <c r="B39" s="11" t="s">
        <v>288</v>
      </c>
      <c r="C39" s="11" t="s">
        <v>289</v>
      </c>
      <c r="D39" s="14" t="s">
        <v>290</v>
      </c>
      <c r="E39" s="53">
        <f>E38*0.05</f>
        <v>210210</v>
      </c>
      <c r="F39" s="53">
        <f>F38*0.05</f>
        <v>212520</v>
      </c>
      <c r="G39" s="53">
        <v>231871</v>
      </c>
      <c r="H39" s="53">
        <f>H38*0.05</f>
        <v>269307.5</v>
      </c>
      <c r="I39" s="53">
        <v>129552.5</v>
      </c>
      <c r="J39" s="53">
        <v>283603.5</v>
      </c>
      <c r="K39" s="53">
        <f>K38*0.05</f>
        <v>201427.5</v>
      </c>
      <c r="L39" s="53">
        <v>242676</v>
      </c>
      <c r="M39" s="53">
        <f>M38*0.05</f>
        <v>215712</v>
      </c>
      <c r="N39" s="53">
        <v>188427</v>
      </c>
      <c r="O39" s="53">
        <v>100100</v>
      </c>
      <c r="P39" s="53">
        <v>126555</v>
      </c>
      <c r="Q39" s="53">
        <v>104676</v>
      </c>
      <c r="R39" s="53">
        <v>45331</v>
      </c>
      <c r="S39" s="53">
        <v>68783</v>
      </c>
      <c r="T39" s="53">
        <v>69355</v>
      </c>
      <c r="U39" s="53">
        <v>73359</v>
      </c>
      <c r="V39" s="53">
        <v>99242</v>
      </c>
      <c r="W39" s="53">
        <v>6720</v>
      </c>
      <c r="X39" s="58">
        <f t="shared" si="1"/>
        <v>2879428</v>
      </c>
    </row>
    <row r="40" spans="1:24" ht="24.95" customHeight="1">
      <c r="A40" s="13" t="s">
        <v>75</v>
      </c>
      <c r="B40" s="11" t="s">
        <v>80</v>
      </c>
      <c r="C40" s="11"/>
      <c r="D40" s="12"/>
      <c r="E40" s="52">
        <f t="shared" ref="E40:W40" si="26">E41</f>
        <v>32800</v>
      </c>
      <c r="F40" s="52">
        <f t="shared" si="26"/>
        <v>32000</v>
      </c>
      <c r="G40" s="52">
        <f t="shared" si="26"/>
        <v>37600</v>
      </c>
      <c r="H40" s="52">
        <f t="shared" si="26"/>
        <v>33200</v>
      </c>
      <c r="I40" s="52">
        <f t="shared" si="26"/>
        <v>14400</v>
      </c>
      <c r="J40" s="52">
        <f t="shared" si="26"/>
        <v>38000</v>
      </c>
      <c r="K40" s="52">
        <f t="shared" si="26"/>
        <v>30400</v>
      </c>
      <c r="L40" s="52">
        <f t="shared" si="26"/>
        <v>23200</v>
      </c>
      <c r="M40" s="52">
        <f t="shared" si="26"/>
        <v>34800</v>
      </c>
      <c r="N40" s="52">
        <f t="shared" si="26"/>
        <v>27600</v>
      </c>
      <c r="O40" s="52">
        <f t="shared" si="26"/>
        <v>22800</v>
      </c>
      <c r="P40" s="52">
        <f t="shared" si="26"/>
        <v>24000</v>
      </c>
      <c r="Q40" s="52">
        <f t="shared" si="26"/>
        <v>22800</v>
      </c>
      <c r="R40" s="52">
        <f t="shared" si="26"/>
        <v>8800</v>
      </c>
      <c r="S40" s="52">
        <f t="shared" si="26"/>
        <v>10800</v>
      </c>
      <c r="T40" s="52">
        <f t="shared" si="26"/>
        <v>10800</v>
      </c>
      <c r="U40" s="52">
        <f t="shared" si="26"/>
        <v>15200</v>
      </c>
      <c r="V40" s="52">
        <f t="shared" si="26"/>
        <v>16400</v>
      </c>
      <c r="W40" s="52">
        <f t="shared" si="26"/>
        <v>2400</v>
      </c>
      <c r="X40" s="57">
        <f t="shared" si="1"/>
        <v>438000</v>
      </c>
    </row>
    <row r="41" spans="1:24" ht="24.95" customHeight="1">
      <c r="A41" s="13" t="s">
        <v>78</v>
      </c>
      <c r="B41" s="11" t="s">
        <v>82</v>
      </c>
      <c r="C41" s="11" t="s">
        <v>17</v>
      </c>
      <c r="D41" s="14" t="s">
        <v>83</v>
      </c>
      <c r="E41" s="52">
        <f t="shared" ref="E41:W41" si="27">E60*400</f>
        <v>32800</v>
      </c>
      <c r="F41" s="52">
        <f t="shared" si="27"/>
        <v>32000</v>
      </c>
      <c r="G41" s="52">
        <f t="shared" si="27"/>
        <v>37600</v>
      </c>
      <c r="H41" s="52">
        <f t="shared" si="27"/>
        <v>33200</v>
      </c>
      <c r="I41" s="52">
        <f t="shared" si="27"/>
        <v>14400</v>
      </c>
      <c r="J41" s="52">
        <f t="shared" si="27"/>
        <v>38000</v>
      </c>
      <c r="K41" s="52">
        <f t="shared" si="27"/>
        <v>30400</v>
      </c>
      <c r="L41" s="52">
        <f t="shared" si="27"/>
        <v>23200</v>
      </c>
      <c r="M41" s="52">
        <f t="shared" si="27"/>
        <v>34800</v>
      </c>
      <c r="N41" s="52">
        <f t="shared" si="27"/>
        <v>27600</v>
      </c>
      <c r="O41" s="52">
        <f t="shared" si="27"/>
        <v>22800</v>
      </c>
      <c r="P41" s="52">
        <f t="shared" si="27"/>
        <v>24000</v>
      </c>
      <c r="Q41" s="52">
        <f t="shared" si="27"/>
        <v>22800</v>
      </c>
      <c r="R41" s="52">
        <f t="shared" si="27"/>
        <v>8800</v>
      </c>
      <c r="S41" s="52">
        <f t="shared" si="27"/>
        <v>10800</v>
      </c>
      <c r="T41" s="52">
        <f t="shared" si="27"/>
        <v>10800</v>
      </c>
      <c r="U41" s="52">
        <f t="shared" si="27"/>
        <v>15200</v>
      </c>
      <c r="V41" s="52">
        <f t="shared" si="27"/>
        <v>16400</v>
      </c>
      <c r="W41" s="52">
        <f t="shared" si="27"/>
        <v>2400</v>
      </c>
      <c r="X41" s="57">
        <f t="shared" si="1"/>
        <v>438000</v>
      </c>
    </row>
    <row r="42" spans="1:24" ht="24.95" customHeight="1">
      <c r="A42" s="13" t="s">
        <v>79</v>
      </c>
      <c r="B42" s="11" t="s">
        <v>85</v>
      </c>
      <c r="C42" s="11"/>
      <c r="D42" s="12" t="s">
        <v>11</v>
      </c>
      <c r="E42" s="52">
        <f t="shared" ref="E42:W42" si="28">E43</f>
        <v>255945</v>
      </c>
      <c r="F42" s="52">
        <f t="shared" si="28"/>
        <v>178845</v>
      </c>
      <c r="G42" s="52">
        <f t="shared" si="28"/>
        <v>715855.35000000009</v>
      </c>
      <c r="H42" s="52">
        <f t="shared" si="28"/>
        <v>277220.84999999998</v>
      </c>
      <c r="I42" s="52">
        <f t="shared" si="28"/>
        <v>237987.90000000002</v>
      </c>
      <c r="J42" s="52">
        <f t="shared" si="28"/>
        <v>353195.25</v>
      </c>
      <c r="K42" s="52">
        <f t="shared" si="28"/>
        <v>247352.84999999998</v>
      </c>
      <c r="L42" s="52">
        <f t="shared" si="28"/>
        <v>249734.55000000002</v>
      </c>
      <c r="M42" s="52">
        <f t="shared" si="28"/>
        <v>336501</v>
      </c>
      <c r="N42" s="52">
        <f t="shared" si="28"/>
        <v>178714.35</v>
      </c>
      <c r="O42" s="52">
        <f t="shared" si="28"/>
        <v>114821.55</v>
      </c>
      <c r="P42" s="52">
        <f t="shared" si="28"/>
        <v>181706.7</v>
      </c>
      <c r="Q42" s="52">
        <f t="shared" si="28"/>
        <v>156571.80000000002</v>
      </c>
      <c r="R42" s="52">
        <f t="shared" si="28"/>
        <v>91200</v>
      </c>
      <c r="S42" s="52">
        <f t="shared" si="28"/>
        <v>172748.25</v>
      </c>
      <c r="T42" s="52">
        <f t="shared" si="28"/>
        <v>179094</v>
      </c>
      <c r="U42" s="52">
        <f t="shared" si="28"/>
        <v>169290</v>
      </c>
      <c r="V42" s="52">
        <f t="shared" si="28"/>
        <v>202800</v>
      </c>
      <c r="W42" s="52">
        <f t="shared" si="28"/>
        <v>23670</v>
      </c>
      <c r="X42" s="57">
        <f t="shared" si="1"/>
        <v>4323254.4000000004</v>
      </c>
    </row>
    <row r="43" spans="1:24" ht="24.95" customHeight="1">
      <c r="A43" s="13" t="s">
        <v>81</v>
      </c>
      <c r="B43" s="11" t="s">
        <v>87</v>
      </c>
      <c r="C43" s="11" t="s">
        <v>17</v>
      </c>
      <c r="D43" s="14" t="s">
        <v>88</v>
      </c>
      <c r="E43" s="52">
        <f t="shared" ref="E43:W43" si="29">E71*15</f>
        <v>255945</v>
      </c>
      <c r="F43" s="52">
        <f t="shared" si="29"/>
        <v>178845</v>
      </c>
      <c r="G43" s="52">
        <f t="shared" si="29"/>
        <v>715855.35000000009</v>
      </c>
      <c r="H43" s="52">
        <f t="shared" si="29"/>
        <v>277220.84999999998</v>
      </c>
      <c r="I43" s="52">
        <f t="shared" si="29"/>
        <v>237987.90000000002</v>
      </c>
      <c r="J43" s="52">
        <f t="shared" si="29"/>
        <v>353195.25</v>
      </c>
      <c r="K43" s="52">
        <f t="shared" si="29"/>
        <v>247352.84999999998</v>
      </c>
      <c r="L43" s="52">
        <f t="shared" si="29"/>
        <v>249734.55000000002</v>
      </c>
      <c r="M43" s="52">
        <f t="shared" si="29"/>
        <v>336501</v>
      </c>
      <c r="N43" s="52">
        <f t="shared" si="29"/>
        <v>178714.35</v>
      </c>
      <c r="O43" s="52">
        <f t="shared" si="29"/>
        <v>114821.55</v>
      </c>
      <c r="P43" s="52">
        <f t="shared" si="29"/>
        <v>181706.7</v>
      </c>
      <c r="Q43" s="52">
        <f t="shared" si="29"/>
        <v>156571.80000000002</v>
      </c>
      <c r="R43" s="52">
        <f t="shared" si="29"/>
        <v>91200</v>
      </c>
      <c r="S43" s="52">
        <f t="shared" si="29"/>
        <v>172748.25</v>
      </c>
      <c r="T43" s="52">
        <f t="shared" si="29"/>
        <v>179094</v>
      </c>
      <c r="U43" s="52">
        <f t="shared" si="29"/>
        <v>169290</v>
      </c>
      <c r="V43" s="52">
        <f t="shared" si="29"/>
        <v>202800</v>
      </c>
      <c r="W43" s="52">
        <f t="shared" si="29"/>
        <v>23670</v>
      </c>
      <c r="X43" s="57">
        <f t="shared" si="1"/>
        <v>4323254.4000000004</v>
      </c>
    </row>
    <row r="44" spans="1:24" ht="24.95" customHeight="1">
      <c r="A44" s="13" t="s">
        <v>84</v>
      </c>
      <c r="B44" s="11" t="s">
        <v>90</v>
      </c>
      <c r="C44" s="11"/>
      <c r="D44" s="12" t="s">
        <v>11</v>
      </c>
      <c r="E44" s="52">
        <f t="shared" ref="E44:W44" si="30">E45</f>
        <v>126632</v>
      </c>
      <c r="F44" s="52">
        <f t="shared" si="30"/>
        <v>82880</v>
      </c>
      <c r="G44" s="52">
        <f t="shared" si="30"/>
        <v>130104</v>
      </c>
      <c r="H44" s="52">
        <f t="shared" si="30"/>
        <v>100940.8</v>
      </c>
      <c r="I44" s="52">
        <f t="shared" si="30"/>
        <v>68379.600000000006</v>
      </c>
      <c r="J44" s="52">
        <f t="shared" si="30"/>
        <v>157696</v>
      </c>
      <c r="K44" s="52">
        <f t="shared" si="30"/>
        <v>89280</v>
      </c>
      <c r="L44" s="52">
        <f t="shared" si="30"/>
        <v>89000</v>
      </c>
      <c r="M44" s="52">
        <f t="shared" si="30"/>
        <v>125600</v>
      </c>
      <c r="N44" s="52">
        <f t="shared" si="30"/>
        <v>67576.800000000003</v>
      </c>
      <c r="O44" s="52">
        <f t="shared" si="30"/>
        <v>41072</v>
      </c>
      <c r="P44" s="52">
        <f t="shared" si="30"/>
        <v>34640</v>
      </c>
      <c r="Q44" s="52">
        <f t="shared" si="30"/>
        <v>34128</v>
      </c>
      <c r="R44" s="52">
        <f t="shared" si="30"/>
        <v>20000</v>
      </c>
      <c r="S44" s="52">
        <f t="shared" si="30"/>
        <v>40464.800000000003</v>
      </c>
      <c r="T44" s="52">
        <f t="shared" si="30"/>
        <v>39992</v>
      </c>
      <c r="U44" s="52">
        <f t="shared" si="30"/>
        <v>37018.720000000001</v>
      </c>
      <c r="V44" s="52">
        <f t="shared" si="30"/>
        <v>40360</v>
      </c>
      <c r="W44" s="52">
        <f t="shared" si="30"/>
        <v>5000</v>
      </c>
      <c r="X44" s="57">
        <f t="shared" si="1"/>
        <v>1330764.7200000002</v>
      </c>
    </row>
    <row r="45" spans="1:24" ht="24.95" customHeight="1">
      <c r="A45" s="13" t="s">
        <v>86</v>
      </c>
      <c r="B45" s="11" t="s">
        <v>92</v>
      </c>
      <c r="C45" s="11" t="s">
        <v>17</v>
      </c>
      <c r="D45" s="14" t="s">
        <v>93</v>
      </c>
      <c r="E45" s="52">
        <f t="shared" ref="E45:W45" si="31">E72*8</f>
        <v>126632</v>
      </c>
      <c r="F45" s="52">
        <f t="shared" si="31"/>
        <v>82880</v>
      </c>
      <c r="G45" s="52">
        <f t="shared" si="31"/>
        <v>130104</v>
      </c>
      <c r="H45" s="52">
        <f t="shared" si="31"/>
        <v>100940.8</v>
      </c>
      <c r="I45" s="52">
        <f t="shared" si="31"/>
        <v>68379.600000000006</v>
      </c>
      <c r="J45" s="52">
        <f t="shared" si="31"/>
        <v>157696</v>
      </c>
      <c r="K45" s="52">
        <f t="shared" si="31"/>
        <v>89280</v>
      </c>
      <c r="L45" s="52">
        <f t="shared" si="31"/>
        <v>89000</v>
      </c>
      <c r="M45" s="52">
        <f t="shared" si="31"/>
        <v>125600</v>
      </c>
      <c r="N45" s="52">
        <f t="shared" si="31"/>
        <v>67576.800000000003</v>
      </c>
      <c r="O45" s="52">
        <f t="shared" si="31"/>
        <v>41072</v>
      </c>
      <c r="P45" s="52">
        <f t="shared" si="31"/>
        <v>34640</v>
      </c>
      <c r="Q45" s="52">
        <f t="shared" si="31"/>
        <v>34128</v>
      </c>
      <c r="R45" s="52">
        <f t="shared" si="31"/>
        <v>20000</v>
      </c>
      <c r="S45" s="52">
        <f t="shared" si="31"/>
        <v>40464.800000000003</v>
      </c>
      <c r="T45" s="52">
        <f t="shared" si="31"/>
        <v>39992</v>
      </c>
      <c r="U45" s="52">
        <f t="shared" si="31"/>
        <v>37018.720000000001</v>
      </c>
      <c r="V45" s="52">
        <f t="shared" si="31"/>
        <v>40360</v>
      </c>
      <c r="W45" s="52">
        <f t="shared" si="31"/>
        <v>5000</v>
      </c>
      <c r="X45" s="57">
        <f t="shared" si="1"/>
        <v>1330764.7200000002</v>
      </c>
    </row>
    <row r="46" spans="1:24" ht="24.95" customHeight="1">
      <c r="A46" s="13" t="s">
        <v>89</v>
      </c>
      <c r="B46" s="11" t="s">
        <v>291</v>
      </c>
      <c r="C46" s="11"/>
      <c r="D46" s="12" t="s">
        <v>11</v>
      </c>
      <c r="E46" s="52">
        <f t="shared" ref="E46:W46" si="32">E47+E48</f>
        <v>635040</v>
      </c>
      <c r="F46" s="52">
        <f t="shared" si="32"/>
        <v>622080</v>
      </c>
      <c r="G46" s="52">
        <f t="shared" si="32"/>
        <v>410400</v>
      </c>
      <c r="H46" s="52">
        <f t="shared" si="32"/>
        <v>362880</v>
      </c>
      <c r="I46" s="52">
        <f t="shared" si="32"/>
        <v>155520</v>
      </c>
      <c r="J46" s="52">
        <f t="shared" si="32"/>
        <v>872640</v>
      </c>
      <c r="K46" s="52">
        <f t="shared" si="32"/>
        <v>764640</v>
      </c>
      <c r="L46" s="52">
        <f t="shared" si="32"/>
        <v>250560</v>
      </c>
      <c r="M46" s="52">
        <f t="shared" si="32"/>
        <v>380160</v>
      </c>
      <c r="N46" s="52">
        <f t="shared" si="32"/>
        <v>298080</v>
      </c>
      <c r="O46" s="52">
        <f t="shared" si="32"/>
        <v>345600</v>
      </c>
      <c r="P46" s="52">
        <f t="shared" si="32"/>
        <v>367200</v>
      </c>
      <c r="Q46" s="52">
        <f t="shared" si="32"/>
        <v>250560</v>
      </c>
      <c r="R46" s="52">
        <f t="shared" si="32"/>
        <v>95040</v>
      </c>
      <c r="S46" s="52">
        <f t="shared" si="32"/>
        <v>116640</v>
      </c>
      <c r="T46" s="52">
        <f t="shared" si="32"/>
        <v>116640</v>
      </c>
      <c r="U46" s="52">
        <f t="shared" si="32"/>
        <v>164160</v>
      </c>
      <c r="V46" s="52">
        <f t="shared" si="32"/>
        <v>177120</v>
      </c>
      <c r="W46" s="52">
        <f t="shared" si="32"/>
        <v>103680</v>
      </c>
      <c r="X46" s="57">
        <f t="shared" si="1"/>
        <v>6488640</v>
      </c>
    </row>
    <row r="47" spans="1:24" ht="24.95" customHeight="1">
      <c r="A47" s="13" t="s">
        <v>91</v>
      </c>
      <c r="B47" s="11" t="s">
        <v>292</v>
      </c>
      <c r="C47" s="11" t="s">
        <v>17</v>
      </c>
      <c r="D47" s="14" t="s">
        <v>96</v>
      </c>
      <c r="E47" s="52">
        <f t="shared" ref="E47:W47" si="33">E60*4320</f>
        <v>354240</v>
      </c>
      <c r="F47" s="52">
        <f t="shared" si="33"/>
        <v>345600</v>
      </c>
      <c r="G47" s="52">
        <f t="shared" si="33"/>
        <v>406080</v>
      </c>
      <c r="H47" s="52">
        <f t="shared" si="33"/>
        <v>358560</v>
      </c>
      <c r="I47" s="52">
        <f t="shared" si="33"/>
        <v>155520</v>
      </c>
      <c r="J47" s="52">
        <f t="shared" si="33"/>
        <v>410400</v>
      </c>
      <c r="K47" s="52">
        <f t="shared" si="33"/>
        <v>328320</v>
      </c>
      <c r="L47" s="52">
        <f t="shared" si="33"/>
        <v>250560</v>
      </c>
      <c r="M47" s="52">
        <f t="shared" si="33"/>
        <v>375840</v>
      </c>
      <c r="N47" s="52">
        <f t="shared" si="33"/>
        <v>298080</v>
      </c>
      <c r="O47" s="52">
        <f t="shared" si="33"/>
        <v>246240</v>
      </c>
      <c r="P47" s="52">
        <f t="shared" si="33"/>
        <v>259200</v>
      </c>
      <c r="Q47" s="52">
        <f t="shared" si="33"/>
        <v>246240</v>
      </c>
      <c r="R47" s="52">
        <f t="shared" si="33"/>
        <v>95040</v>
      </c>
      <c r="S47" s="52">
        <f t="shared" si="33"/>
        <v>116640</v>
      </c>
      <c r="T47" s="52">
        <f t="shared" si="33"/>
        <v>116640</v>
      </c>
      <c r="U47" s="52">
        <f t="shared" si="33"/>
        <v>164160</v>
      </c>
      <c r="V47" s="52">
        <f t="shared" si="33"/>
        <v>177120</v>
      </c>
      <c r="W47" s="52">
        <f t="shared" si="33"/>
        <v>25920</v>
      </c>
      <c r="X47" s="57">
        <f t="shared" si="1"/>
        <v>4730400</v>
      </c>
    </row>
    <row r="48" spans="1:24" ht="24.95" customHeight="1">
      <c r="A48" s="13" t="s">
        <v>94</v>
      </c>
      <c r="B48" s="11" t="s">
        <v>293</v>
      </c>
      <c r="C48" s="11" t="s">
        <v>17</v>
      </c>
      <c r="D48" s="14" t="s">
        <v>294</v>
      </c>
      <c r="E48" s="52">
        <f t="shared" ref="E48:W48" si="34">E70*4320</f>
        <v>280800</v>
      </c>
      <c r="F48" s="52">
        <f t="shared" si="34"/>
        <v>276480</v>
      </c>
      <c r="G48" s="52">
        <f t="shared" si="34"/>
        <v>4320</v>
      </c>
      <c r="H48" s="52">
        <f t="shared" si="34"/>
        <v>4320</v>
      </c>
      <c r="I48" s="52">
        <f t="shared" si="34"/>
        <v>0</v>
      </c>
      <c r="J48" s="52">
        <f t="shared" si="34"/>
        <v>462240</v>
      </c>
      <c r="K48" s="52">
        <f t="shared" si="34"/>
        <v>436320</v>
      </c>
      <c r="L48" s="52">
        <f t="shared" si="34"/>
        <v>0</v>
      </c>
      <c r="M48" s="52">
        <f t="shared" si="34"/>
        <v>4320</v>
      </c>
      <c r="N48" s="52">
        <f t="shared" si="34"/>
        <v>0</v>
      </c>
      <c r="O48" s="52">
        <f t="shared" si="34"/>
        <v>99360</v>
      </c>
      <c r="P48" s="52">
        <f t="shared" si="34"/>
        <v>108000</v>
      </c>
      <c r="Q48" s="52">
        <f t="shared" si="34"/>
        <v>4320</v>
      </c>
      <c r="R48" s="52">
        <f t="shared" si="34"/>
        <v>0</v>
      </c>
      <c r="S48" s="52">
        <f t="shared" si="34"/>
        <v>0</v>
      </c>
      <c r="T48" s="52">
        <f t="shared" si="34"/>
        <v>0</v>
      </c>
      <c r="U48" s="52">
        <f t="shared" si="34"/>
        <v>0</v>
      </c>
      <c r="V48" s="52">
        <f t="shared" si="34"/>
        <v>0</v>
      </c>
      <c r="W48" s="52">
        <f t="shared" si="34"/>
        <v>77760</v>
      </c>
      <c r="X48" s="57">
        <f t="shared" si="1"/>
        <v>1758240</v>
      </c>
    </row>
    <row r="49" spans="1:24" ht="24.95" customHeight="1">
      <c r="A49" s="13" t="s">
        <v>95</v>
      </c>
      <c r="B49" s="11" t="s">
        <v>295</v>
      </c>
      <c r="C49" s="11"/>
      <c r="D49" s="12" t="s">
        <v>11</v>
      </c>
      <c r="E49" s="52">
        <f t="shared" ref="E49:W49" si="35">E50</f>
        <v>415560</v>
      </c>
      <c r="F49" s="52">
        <f t="shared" si="35"/>
        <v>423805.71</v>
      </c>
      <c r="G49" s="52">
        <f t="shared" si="35"/>
        <v>466717.71</v>
      </c>
      <c r="H49" s="52">
        <f t="shared" si="35"/>
        <v>416091.43</v>
      </c>
      <c r="I49" s="52">
        <f t="shared" si="35"/>
        <v>148571.43</v>
      </c>
      <c r="J49" s="52">
        <f t="shared" si="35"/>
        <v>448469.43</v>
      </c>
      <c r="K49" s="52">
        <f t="shared" si="35"/>
        <v>391326.86</v>
      </c>
      <c r="L49" s="52">
        <f t="shared" si="35"/>
        <v>283789.71000000002</v>
      </c>
      <c r="M49" s="52">
        <f t="shared" si="35"/>
        <v>467160.57</v>
      </c>
      <c r="N49" s="52">
        <f t="shared" si="35"/>
        <v>321747.43</v>
      </c>
      <c r="O49" s="52">
        <f t="shared" si="35"/>
        <v>254564.57</v>
      </c>
      <c r="P49" s="52">
        <f t="shared" si="35"/>
        <v>262824</v>
      </c>
      <c r="Q49" s="52">
        <f t="shared" si="35"/>
        <v>246096</v>
      </c>
      <c r="R49" s="52">
        <f t="shared" si="35"/>
        <v>98712</v>
      </c>
      <c r="S49" s="52">
        <f t="shared" si="35"/>
        <v>110657.14</v>
      </c>
      <c r="T49" s="52">
        <f t="shared" si="35"/>
        <v>112536</v>
      </c>
      <c r="U49" s="52">
        <f t="shared" si="35"/>
        <v>163824</v>
      </c>
      <c r="V49" s="52">
        <f t="shared" si="35"/>
        <v>182262.86</v>
      </c>
      <c r="W49" s="52">
        <f t="shared" si="35"/>
        <v>26653.71</v>
      </c>
      <c r="X49" s="57">
        <f t="shared" si="1"/>
        <v>5241370.5599999996</v>
      </c>
    </row>
    <row r="50" spans="1:24" ht="24.95" customHeight="1">
      <c r="A50" s="13" t="s">
        <v>97</v>
      </c>
      <c r="B50" s="11" t="s">
        <v>100</v>
      </c>
      <c r="C50" s="11" t="s">
        <v>17</v>
      </c>
      <c r="D50" s="12" t="s">
        <v>32</v>
      </c>
      <c r="E50" s="52">
        <f t="shared" ref="E50:W50" si="36">ROUND(E30/0.07*0.02,2)</f>
        <v>415560</v>
      </c>
      <c r="F50" s="52">
        <f t="shared" si="36"/>
        <v>423805.71</v>
      </c>
      <c r="G50" s="52">
        <f t="shared" si="36"/>
        <v>466717.71</v>
      </c>
      <c r="H50" s="52">
        <f t="shared" si="36"/>
        <v>416091.43</v>
      </c>
      <c r="I50" s="52">
        <f t="shared" si="36"/>
        <v>148571.43</v>
      </c>
      <c r="J50" s="52">
        <f t="shared" si="36"/>
        <v>448469.43</v>
      </c>
      <c r="K50" s="52">
        <f t="shared" si="36"/>
        <v>391326.86</v>
      </c>
      <c r="L50" s="52">
        <f t="shared" si="36"/>
        <v>283789.71000000002</v>
      </c>
      <c r="M50" s="52">
        <f t="shared" si="36"/>
        <v>467160.57</v>
      </c>
      <c r="N50" s="52">
        <f t="shared" si="36"/>
        <v>321747.43</v>
      </c>
      <c r="O50" s="52">
        <f t="shared" si="36"/>
        <v>254564.57</v>
      </c>
      <c r="P50" s="52">
        <f t="shared" si="36"/>
        <v>262824</v>
      </c>
      <c r="Q50" s="52">
        <f t="shared" si="36"/>
        <v>246096</v>
      </c>
      <c r="R50" s="52">
        <f t="shared" si="36"/>
        <v>98712</v>
      </c>
      <c r="S50" s="52">
        <f t="shared" si="36"/>
        <v>110657.14</v>
      </c>
      <c r="T50" s="52">
        <f t="shared" si="36"/>
        <v>112536</v>
      </c>
      <c r="U50" s="52">
        <f t="shared" si="36"/>
        <v>163824</v>
      </c>
      <c r="V50" s="52">
        <f t="shared" si="36"/>
        <v>182262.86</v>
      </c>
      <c r="W50" s="52">
        <f t="shared" si="36"/>
        <v>26653.71</v>
      </c>
      <c r="X50" s="57">
        <f t="shared" si="1"/>
        <v>5241370.5599999996</v>
      </c>
    </row>
    <row r="51" spans="1:24" ht="24.95" customHeight="1">
      <c r="A51" s="13" t="s">
        <v>98</v>
      </c>
      <c r="B51" s="11" t="s">
        <v>296</v>
      </c>
      <c r="C51" s="11"/>
      <c r="D51" s="12" t="s">
        <v>11</v>
      </c>
      <c r="E51" s="52">
        <f t="shared" ref="E51:W51" si="37">E52</f>
        <v>32000</v>
      </c>
      <c r="F51" s="52">
        <f t="shared" si="37"/>
        <v>32000</v>
      </c>
      <c r="G51" s="52">
        <f t="shared" si="37"/>
        <v>0</v>
      </c>
      <c r="H51" s="52">
        <f t="shared" si="37"/>
        <v>0</v>
      </c>
      <c r="I51" s="52">
        <f t="shared" si="37"/>
        <v>32000</v>
      </c>
      <c r="J51" s="52">
        <f t="shared" si="37"/>
        <v>32000</v>
      </c>
      <c r="K51" s="52">
        <f t="shared" si="37"/>
        <v>32000</v>
      </c>
      <c r="L51" s="52">
        <f t="shared" si="37"/>
        <v>0</v>
      </c>
      <c r="M51" s="52">
        <f t="shared" si="37"/>
        <v>0</v>
      </c>
      <c r="N51" s="52">
        <f t="shared" si="37"/>
        <v>0</v>
      </c>
      <c r="O51" s="52">
        <f t="shared" si="37"/>
        <v>32000</v>
      </c>
      <c r="P51" s="52">
        <f t="shared" si="37"/>
        <v>25000</v>
      </c>
      <c r="Q51" s="52">
        <f t="shared" si="37"/>
        <v>0</v>
      </c>
      <c r="R51" s="52">
        <f t="shared" si="37"/>
        <v>0</v>
      </c>
      <c r="S51" s="52">
        <f t="shared" si="37"/>
        <v>0</v>
      </c>
      <c r="T51" s="52">
        <f t="shared" si="37"/>
        <v>0</v>
      </c>
      <c r="U51" s="52">
        <f t="shared" si="37"/>
        <v>0</v>
      </c>
      <c r="V51" s="52">
        <f t="shared" si="37"/>
        <v>0</v>
      </c>
      <c r="W51" s="52">
        <f t="shared" si="37"/>
        <v>32000</v>
      </c>
      <c r="X51" s="57">
        <f t="shared" si="1"/>
        <v>249000</v>
      </c>
    </row>
    <row r="52" spans="1:24" ht="24.95" customHeight="1">
      <c r="A52" s="13" t="s">
        <v>99</v>
      </c>
      <c r="B52" s="11" t="s">
        <v>103</v>
      </c>
      <c r="C52" s="11" t="s">
        <v>17</v>
      </c>
      <c r="D52" s="14" t="s">
        <v>104</v>
      </c>
      <c r="E52" s="53">
        <v>32000</v>
      </c>
      <c r="F52" s="53">
        <v>32000</v>
      </c>
      <c r="G52" s="53"/>
      <c r="H52" s="53"/>
      <c r="I52" s="53">
        <v>32000</v>
      </c>
      <c r="J52" s="53">
        <v>32000</v>
      </c>
      <c r="K52" s="53">
        <v>32000</v>
      </c>
      <c r="L52" s="53"/>
      <c r="M52" s="53"/>
      <c r="N52" s="53"/>
      <c r="O52" s="53">
        <v>32000</v>
      </c>
      <c r="P52" s="90">
        <f>32000-7000</f>
        <v>25000</v>
      </c>
      <c r="Q52" s="53"/>
      <c r="R52" s="53"/>
      <c r="S52" s="53"/>
      <c r="T52" s="53"/>
      <c r="U52" s="53"/>
      <c r="V52" s="53"/>
      <c r="W52" s="53">
        <v>32000</v>
      </c>
      <c r="X52" s="57">
        <f t="shared" si="1"/>
        <v>249000</v>
      </c>
    </row>
    <row r="53" spans="1:24" ht="24.95" customHeight="1">
      <c r="A53" s="13" t="s">
        <v>101</v>
      </c>
      <c r="B53" s="11" t="s">
        <v>297</v>
      </c>
      <c r="C53" s="11"/>
      <c r="D53" s="12" t="s">
        <v>11</v>
      </c>
      <c r="E53" s="52">
        <f>E54</f>
        <v>26000</v>
      </c>
      <c r="F53" s="52">
        <f t="shared" ref="F53:W53" si="38">F54</f>
        <v>25600</v>
      </c>
      <c r="G53" s="52">
        <f t="shared" si="38"/>
        <v>400</v>
      </c>
      <c r="H53" s="52">
        <f t="shared" si="38"/>
        <v>400</v>
      </c>
      <c r="I53" s="52">
        <f t="shared" si="38"/>
        <v>0</v>
      </c>
      <c r="J53" s="52">
        <f t="shared" si="38"/>
        <v>42800</v>
      </c>
      <c r="K53" s="52">
        <f t="shared" si="38"/>
        <v>40400</v>
      </c>
      <c r="L53" s="52">
        <f t="shared" si="38"/>
        <v>0</v>
      </c>
      <c r="M53" s="52">
        <f t="shared" si="38"/>
        <v>400</v>
      </c>
      <c r="N53" s="52">
        <f t="shared" si="38"/>
        <v>0</v>
      </c>
      <c r="O53" s="52">
        <f t="shared" si="38"/>
        <v>9200</v>
      </c>
      <c r="P53" s="52">
        <f t="shared" si="38"/>
        <v>10000</v>
      </c>
      <c r="Q53" s="52">
        <f t="shared" si="38"/>
        <v>400</v>
      </c>
      <c r="R53" s="52">
        <f t="shared" si="38"/>
        <v>0</v>
      </c>
      <c r="S53" s="52">
        <f t="shared" si="38"/>
        <v>0</v>
      </c>
      <c r="T53" s="52">
        <f t="shared" si="38"/>
        <v>0</v>
      </c>
      <c r="U53" s="52">
        <f t="shared" si="38"/>
        <v>0</v>
      </c>
      <c r="V53" s="52">
        <f t="shared" si="38"/>
        <v>0</v>
      </c>
      <c r="W53" s="52">
        <f t="shared" si="38"/>
        <v>7200</v>
      </c>
      <c r="X53" s="57">
        <f t="shared" si="1"/>
        <v>162800</v>
      </c>
    </row>
    <row r="54" spans="1:24" ht="24.95" customHeight="1">
      <c r="A54" s="13" t="s">
        <v>102</v>
      </c>
      <c r="B54" s="11" t="s">
        <v>108</v>
      </c>
      <c r="C54" s="11" t="s">
        <v>17</v>
      </c>
      <c r="D54" s="14" t="s">
        <v>298</v>
      </c>
      <c r="E54" s="52">
        <f t="shared" ref="E54:W54" si="39">E70*400</f>
        <v>26000</v>
      </c>
      <c r="F54" s="52">
        <f t="shared" si="39"/>
        <v>25600</v>
      </c>
      <c r="G54" s="52">
        <f t="shared" si="39"/>
        <v>400</v>
      </c>
      <c r="H54" s="52">
        <f t="shared" si="39"/>
        <v>400</v>
      </c>
      <c r="I54" s="52">
        <f t="shared" si="39"/>
        <v>0</v>
      </c>
      <c r="J54" s="52">
        <f t="shared" si="39"/>
        <v>42800</v>
      </c>
      <c r="K54" s="52">
        <f t="shared" si="39"/>
        <v>40400</v>
      </c>
      <c r="L54" s="52">
        <f t="shared" si="39"/>
        <v>0</v>
      </c>
      <c r="M54" s="52">
        <f t="shared" si="39"/>
        <v>400</v>
      </c>
      <c r="N54" s="52">
        <f t="shared" si="39"/>
        <v>0</v>
      </c>
      <c r="O54" s="52">
        <f t="shared" si="39"/>
        <v>9200</v>
      </c>
      <c r="P54" s="52">
        <f t="shared" si="39"/>
        <v>10000</v>
      </c>
      <c r="Q54" s="52">
        <f t="shared" si="39"/>
        <v>400</v>
      </c>
      <c r="R54" s="52">
        <f t="shared" si="39"/>
        <v>0</v>
      </c>
      <c r="S54" s="52">
        <f t="shared" si="39"/>
        <v>0</v>
      </c>
      <c r="T54" s="52">
        <f t="shared" si="39"/>
        <v>0</v>
      </c>
      <c r="U54" s="52">
        <f t="shared" si="39"/>
        <v>0</v>
      </c>
      <c r="V54" s="52">
        <f t="shared" si="39"/>
        <v>0</v>
      </c>
      <c r="W54" s="52">
        <f t="shared" si="39"/>
        <v>7200</v>
      </c>
      <c r="X54" s="57">
        <f t="shared" si="1"/>
        <v>162800</v>
      </c>
    </row>
    <row r="55" spans="1:24" ht="24.95" customHeight="1">
      <c r="A55" s="13" t="s">
        <v>105</v>
      </c>
      <c r="B55" s="11" t="s">
        <v>299</v>
      </c>
      <c r="C55" s="11"/>
      <c r="D55" s="14"/>
      <c r="E55" s="52">
        <f>+E56</f>
        <v>4950</v>
      </c>
      <c r="F55" s="52">
        <f t="shared" ref="F55:W55" si="40">+F56</f>
        <v>7000</v>
      </c>
      <c r="G55" s="52">
        <f t="shared" si="40"/>
        <v>18000</v>
      </c>
      <c r="H55" s="52">
        <f t="shared" si="40"/>
        <v>8000</v>
      </c>
      <c r="I55" s="52">
        <f t="shared" si="40"/>
        <v>5000</v>
      </c>
      <c r="J55" s="52">
        <f t="shared" si="40"/>
        <v>4000</v>
      </c>
      <c r="K55" s="52">
        <f t="shared" si="40"/>
        <v>6000</v>
      </c>
      <c r="L55" s="52">
        <f t="shared" si="40"/>
        <v>5000</v>
      </c>
      <c r="M55" s="52">
        <f t="shared" si="40"/>
        <v>10000</v>
      </c>
      <c r="N55" s="52">
        <f t="shared" si="40"/>
        <v>2250</v>
      </c>
      <c r="O55" s="52">
        <f t="shared" si="40"/>
        <v>4000</v>
      </c>
      <c r="P55" s="52">
        <f t="shared" si="40"/>
        <v>7000</v>
      </c>
      <c r="Q55" s="52">
        <f t="shared" si="40"/>
        <v>5000</v>
      </c>
      <c r="R55" s="52">
        <f t="shared" si="40"/>
        <v>3000</v>
      </c>
      <c r="S55" s="52">
        <f t="shared" si="40"/>
        <v>5400</v>
      </c>
      <c r="T55" s="52">
        <f t="shared" si="40"/>
        <v>5000</v>
      </c>
      <c r="U55" s="52">
        <f t="shared" si="40"/>
        <v>6600</v>
      </c>
      <c r="V55" s="52">
        <f t="shared" si="40"/>
        <v>8000</v>
      </c>
      <c r="W55" s="52">
        <f t="shared" si="40"/>
        <v>1200</v>
      </c>
      <c r="X55" s="57">
        <f>SUM(E55:W55)</f>
        <v>115400</v>
      </c>
    </row>
    <row r="56" spans="1:24" ht="24.95" customHeight="1">
      <c r="A56" s="13" t="s">
        <v>106</v>
      </c>
      <c r="B56" s="11" t="s">
        <v>300</v>
      </c>
      <c r="C56" s="11" t="s">
        <v>17</v>
      </c>
      <c r="D56" s="14" t="s">
        <v>110</v>
      </c>
      <c r="E56" s="53">
        <v>4950</v>
      </c>
      <c r="F56" s="53">
        <v>7000</v>
      </c>
      <c r="G56" s="53">
        <v>18000</v>
      </c>
      <c r="H56" s="53">
        <v>8000</v>
      </c>
      <c r="I56" s="53">
        <v>5000</v>
      </c>
      <c r="J56" s="53">
        <v>4000</v>
      </c>
      <c r="K56" s="53">
        <v>6000</v>
      </c>
      <c r="L56" s="53">
        <v>5000</v>
      </c>
      <c r="M56" s="53">
        <v>10000</v>
      </c>
      <c r="N56" s="53">
        <v>2250</v>
      </c>
      <c r="O56" s="53">
        <v>4000</v>
      </c>
      <c r="P56" s="53">
        <v>7000</v>
      </c>
      <c r="Q56" s="53">
        <v>5000</v>
      </c>
      <c r="R56" s="53">
        <v>3000</v>
      </c>
      <c r="S56" s="53">
        <f>9*50*12</f>
        <v>5400</v>
      </c>
      <c r="T56" s="53">
        <v>5000</v>
      </c>
      <c r="U56" s="53">
        <f>50*11*12</f>
        <v>6600</v>
      </c>
      <c r="V56" s="53">
        <v>8000</v>
      </c>
      <c r="W56" s="53">
        <v>1200</v>
      </c>
      <c r="X56" s="57">
        <f t="shared" ref="X56:X72" si="41">SUM(E56:W56)</f>
        <v>115400</v>
      </c>
    </row>
    <row r="57" spans="1:24" ht="24.95" customHeight="1">
      <c r="A57" s="13" t="s">
        <v>107</v>
      </c>
      <c r="B57" s="11" t="s">
        <v>301</v>
      </c>
      <c r="C57" s="11"/>
      <c r="D57" s="12" t="s">
        <v>11</v>
      </c>
      <c r="E57" s="52">
        <f t="shared" ref="E57:W57" si="42">E58</f>
        <v>0</v>
      </c>
      <c r="F57" s="52">
        <f t="shared" si="42"/>
        <v>0</v>
      </c>
      <c r="G57" s="52">
        <f t="shared" si="42"/>
        <v>32000</v>
      </c>
      <c r="H57" s="52">
        <f t="shared" si="42"/>
        <v>32000</v>
      </c>
      <c r="I57" s="52">
        <f t="shared" si="42"/>
        <v>0</v>
      </c>
      <c r="J57" s="52">
        <f t="shared" si="42"/>
        <v>10000</v>
      </c>
      <c r="K57" s="52">
        <f t="shared" si="42"/>
        <v>0</v>
      </c>
      <c r="L57" s="52">
        <f t="shared" si="42"/>
        <v>32000</v>
      </c>
      <c r="M57" s="52">
        <f t="shared" si="42"/>
        <v>32000</v>
      </c>
      <c r="N57" s="52">
        <f t="shared" si="42"/>
        <v>32000</v>
      </c>
      <c r="O57" s="52">
        <f t="shared" si="42"/>
        <v>5000</v>
      </c>
      <c r="P57" s="52">
        <f t="shared" si="42"/>
        <v>5000</v>
      </c>
      <c r="Q57" s="52">
        <f t="shared" si="42"/>
        <v>32000</v>
      </c>
      <c r="R57" s="52">
        <f t="shared" si="42"/>
        <v>32000</v>
      </c>
      <c r="S57" s="52">
        <f t="shared" si="42"/>
        <v>32000</v>
      </c>
      <c r="T57" s="52">
        <f t="shared" si="42"/>
        <v>32000</v>
      </c>
      <c r="U57" s="52">
        <f t="shared" si="42"/>
        <v>32000</v>
      </c>
      <c r="V57" s="52">
        <f t="shared" si="42"/>
        <v>32000</v>
      </c>
      <c r="W57" s="52">
        <f t="shared" si="42"/>
        <v>0</v>
      </c>
      <c r="X57" s="57">
        <f t="shared" si="41"/>
        <v>372000</v>
      </c>
    </row>
    <row r="58" spans="1:24" ht="24.95" customHeight="1" thickBot="1">
      <c r="A58" s="13" t="s">
        <v>109</v>
      </c>
      <c r="B58" s="49" t="s">
        <v>302</v>
      </c>
      <c r="C58" s="11" t="s">
        <v>17</v>
      </c>
      <c r="D58" s="2" t="s">
        <v>303</v>
      </c>
      <c r="E58" s="54"/>
      <c r="F58" s="54"/>
      <c r="G58" s="54">
        <v>32000</v>
      </c>
      <c r="H58" s="54">
        <v>32000</v>
      </c>
      <c r="I58" s="54"/>
      <c r="J58" s="54">
        <v>10000</v>
      </c>
      <c r="K58" s="54"/>
      <c r="L58" s="54">
        <v>32000</v>
      </c>
      <c r="M58" s="54">
        <v>32000</v>
      </c>
      <c r="N58" s="54">
        <v>32000</v>
      </c>
      <c r="O58" s="54">
        <v>5000</v>
      </c>
      <c r="P58" s="54">
        <v>5000</v>
      </c>
      <c r="Q58" s="54">
        <v>32000</v>
      </c>
      <c r="R58" s="54">
        <v>32000</v>
      </c>
      <c r="S58" s="54">
        <v>32000</v>
      </c>
      <c r="T58" s="54">
        <v>32000</v>
      </c>
      <c r="U58" s="54">
        <v>32000</v>
      </c>
      <c r="V58" s="54">
        <v>32000</v>
      </c>
      <c r="W58" s="53"/>
      <c r="X58" s="57">
        <f t="shared" si="41"/>
        <v>372000</v>
      </c>
    </row>
    <row r="59" spans="1:24" ht="24.95" customHeight="1" thickTop="1">
      <c r="A59" s="13" t="s">
        <v>111</v>
      </c>
      <c r="B59" s="50" t="s">
        <v>114</v>
      </c>
      <c r="C59" s="50"/>
      <c r="D59" s="3"/>
      <c r="E59" s="55"/>
      <c r="F59" s="55"/>
      <c r="G59" s="55"/>
      <c r="H59" s="55"/>
      <c r="I59" s="55"/>
      <c r="J59" s="55"/>
      <c r="K59" s="55"/>
      <c r="L59" s="55"/>
      <c r="M59" s="55"/>
      <c r="N59" s="55"/>
      <c r="O59" s="55"/>
      <c r="P59" s="55"/>
      <c r="Q59" s="55"/>
      <c r="R59" s="55"/>
      <c r="S59" s="55"/>
      <c r="T59" s="55"/>
      <c r="U59" s="55"/>
      <c r="V59" s="55"/>
      <c r="W59" s="53"/>
      <c r="X59" s="57">
        <f t="shared" si="41"/>
        <v>0</v>
      </c>
    </row>
    <row r="60" spans="1:24" ht="24.95" customHeight="1">
      <c r="A60" s="13" t="s">
        <v>112</v>
      </c>
      <c r="B60" s="11" t="s">
        <v>116</v>
      </c>
      <c r="C60" s="11"/>
      <c r="D60" s="12" t="s">
        <v>304</v>
      </c>
      <c r="E60" s="52">
        <f t="shared" ref="E60:W60" si="43">E61+E62+E63+E64</f>
        <v>82</v>
      </c>
      <c r="F60" s="52">
        <f t="shared" si="43"/>
        <v>80</v>
      </c>
      <c r="G60" s="52">
        <f t="shared" si="43"/>
        <v>94</v>
      </c>
      <c r="H60" s="52">
        <f t="shared" si="43"/>
        <v>83</v>
      </c>
      <c r="I60" s="52">
        <f t="shared" si="43"/>
        <v>36</v>
      </c>
      <c r="J60" s="52">
        <f t="shared" si="43"/>
        <v>95</v>
      </c>
      <c r="K60" s="52">
        <f t="shared" si="43"/>
        <v>76</v>
      </c>
      <c r="L60" s="52">
        <f t="shared" si="43"/>
        <v>58</v>
      </c>
      <c r="M60" s="52">
        <f t="shared" si="43"/>
        <v>87</v>
      </c>
      <c r="N60" s="52">
        <f t="shared" si="43"/>
        <v>69</v>
      </c>
      <c r="O60" s="52">
        <f t="shared" si="43"/>
        <v>57</v>
      </c>
      <c r="P60" s="52">
        <f t="shared" si="43"/>
        <v>60</v>
      </c>
      <c r="Q60" s="52">
        <f t="shared" si="43"/>
        <v>57</v>
      </c>
      <c r="R60" s="52">
        <f t="shared" si="43"/>
        <v>22</v>
      </c>
      <c r="S60" s="52">
        <f t="shared" si="43"/>
        <v>27</v>
      </c>
      <c r="T60" s="52">
        <f t="shared" si="43"/>
        <v>27</v>
      </c>
      <c r="U60" s="52">
        <f t="shared" si="43"/>
        <v>38</v>
      </c>
      <c r="V60" s="52">
        <f t="shared" si="43"/>
        <v>41</v>
      </c>
      <c r="W60" s="52">
        <f t="shared" si="43"/>
        <v>6</v>
      </c>
      <c r="X60" s="57">
        <f t="shared" si="41"/>
        <v>1095</v>
      </c>
    </row>
    <row r="61" spans="1:24" ht="24.95" customHeight="1">
      <c r="A61" s="13" t="s">
        <v>113</v>
      </c>
      <c r="B61" s="51" t="s">
        <v>118</v>
      </c>
      <c r="C61" s="51"/>
      <c r="D61" s="12"/>
      <c r="E61" s="53">
        <v>82</v>
      </c>
      <c r="F61" s="53">
        <v>80</v>
      </c>
      <c r="G61" s="53">
        <v>52</v>
      </c>
      <c r="H61" s="53">
        <v>83</v>
      </c>
      <c r="I61" s="53">
        <v>36</v>
      </c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  <c r="U61" s="53"/>
      <c r="V61" s="53"/>
      <c r="W61" s="53"/>
      <c r="X61" s="57">
        <f t="shared" si="41"/>
        <v>333</v>
      </c>
    </row>
    <row r="62" spans="1:24" ht="24.95" customHeight="1">
      <c r="A62" s="13" t="s">
        <v>115</v>
      </c>
      <c r="B62" s="51" t="s">
        <v>120</v>
      </c>
      <c r="C62" s="51"/>
      <c r="D62" s="12"/>
      <c r="E62" s="53"/>
      <c r="F62" s="53"/>
      <c r="G62" s="53">
        <v>42</v>
      </c>
      <c r="H62" s="53"/>
      <c r="I62" s="53"/>
      <c r="J62" s="53">
        <v>95</v>
      </c>
      <c r="K62" s="53">
        <v>76</v>
      </c>
      <c r="L62" s="53">
        <v>58</v>
      </c>
      <c r="M62" s="53">
        <v>87</v>
      </c>
      <c r="N62" s="53">
        <v>69</v>
      </c>
      <c r="O62" s="53"/>
      <c r="P62" s="53"/>
      <c r="Q62" s="53"/>
      <c r="R62" s="53"/>
      <c r="S62" s="53"/>
      <c r="T62" s="53"/>
      <c r="U62" s="53"/>
      <c r="V62" s="53"/>
      <c r="W62" s="53"/>
      <c r="X62" s="57">
        <f t="shared" si="41"/>
        <v>427</v>
      </c>
    </row>
    <row r="63" spans="1:24" ht="24.95" customHeight="1">
      <c r="A63" s="13" t="s">
        <v>117</v>
      </c>
      <c r="B63" s="51" t="s">
        <v>122</v>
      </c>
      <c r="C63" s="51"/>
      <c r="D63" s="12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>
        <v>57</v>
      </c>
      <c r="P63" s="53">
        <v>60</v>
      </c>
      <c r="Q63" s="53">
        <v>57</v>
      </c>
      <c r="R63" s="53">
        <v>22</v>
      </c>
      <c r="S63" s="53">
        <v>27</v>
      </c>
      <c r="T63" s="53">
        <v>27</v>
      </c>
      <c r="U63" s="53">
        <v>38</v>
      </c>
      <c r="V63" s="53">
        <v>41</v>
      </c>
      <c r="W63" s="53"/>
      <c r="X63" s="57">
        <f t="shared" si="41"/>
        <v>329</v>
      </c>
    </row>
    <row r="64" spans="1:24" ht="24.95" customHeight="1">
      <c r="A64" s="13" t="s">
        <v>119</v>
      </c>
      <c r="B64" s="51" t="s">
        <v>124</v>
      </c>
      <c r="C64" s="51"/>
      <c r="D64" s="12"/>
      <c r="E64" s="53"/>
      <c r="F64" s="53"/>
      <c r="G64" s="53"/>
      <c r="H64" s="53"/>
      <c r="I64" s="53"/>
      <c r="J64" s="53"/>
      <c r="K64" s="53"/>
      <c r="L64" s="53"/>
      <c r="M64" s="53"/>
      <c r="N64" s="53"/>
      <c r="O64" s="53"/>
      <c r="P64" s="53"/>
      <c r="Q64" s="53"/>
      <c r="R64" s="53"/>
      <c r="S64" s="53"/>
      <c r="T64" s="53"/>
      <c r="U64" s="53"/>
      <c r="V64" s="53"/>
      <c r="W64" s="53">
        <v>6</v>
      </c>
      <c r="X64" s="57">
        <f t="shared" si="41"/>
        <v>6</v>
      </c>
    </row>
    <row r="65" spans="1:24" ht="24.95" customHeight="1">
      <c r="A65" s="13" t="s">
        <v>121</v>
      </c>
      <c r="B65" s="11" t="s">
        <v>126</v>
      </c>
      <c r="C65" s="11"/>
      <c r="D65" s="12" t="s">
        <v>305</v>
      </c>
      <c r="E65" s="52">
        <f t="shared" ref="E65:W65" si="44">E66+E67+E68+E69</f>
        <v>1092</v>
      </c>
      <c r="F65" s="52">
        <f t="shared" si="44"/>
        <v>1104</v>
      </c>
      <c r="G65" s="52">
        <f t="shared" si="44"/>
        <v>1342</v>
      </c>
      <c r="H65" s="52">
        <f t="shared" si="44"/>
        <v>1399</v>
      </c>
      <c r="I65" s="52">
        <f t="shared" si="44"/>
        <v>673</v>
      </c>
      <c r="J65" s="52">
        <f t="shared" si="44"/>
        <v>1767</v>
      </c>
      <c r="K65" s="52">
        <f t="shared" si="44"/>
        <v>1255</v>
      </c>
      <c r="L65" s="52">
        <f t="shared" si="44"/>
        <v>1512</v>
      </c>
      <c r="M65" s="52">
        <f t="shared" si="44"/>
        <v>1344</v>
      </c>
      <c r="N65" s="52">
        <f t="shared" si="44"/>
        <v>1174</v>
      </c>
      <c r="O65" s="52">
        <f t="shared" si="44"/>
        <v>700</v>
      </c>
      <c r="P65" s="52">
        <f t="shared" si="44"/>
        <v>885</v>
      </c>
      <c r="Q65" s="52">
        <f t="shared" si="44"/>
        <v>732</v>
      </c>
      <c r="R65" s="52">
        <f t="shared" si="44"/>
        <v>317</v>
      </c>
      <c r="S65" s="52">
        <f t="shared" si="44"/>
        <v>481</v>
      </c>
      <c r="T65" s="52">
        <f t="shared" si="44"/>
        <v>485</v>
      </c>
      <c r="U65" s="52">
        <f t="shared" si="44"/>
        <v>513</v>
      </c>
      <c r="V65" s="52">
        <f t="shared" si="44"/>
        <v>694</v>
      </c>
      <c r="W65" s="52">
        <f t="shared" si="44"/>
        <v>0</v>
      </c>
      <c r="X65" s="57">
        <f t="shared" si="41"/>
        <v>17469</v>
      </c>
    </row>
    <row r="66" spans="1:24" ht="24.95" customHeight="1">
      <c r="A66" s="13" t="s">
        <v>123</v>
      </c>
      <c r="B66" s="51" t="s">
        <v>118</v>
      </c>
      <c r="C66" s="51"/>
      <c r="D66" s="12"/>
      <c r="E66" s="53">
        <v>1092</v>
      </c>
      <c r="F66" s="53">
        <v>1104</v>
      </c>
      <c r="G66" s="53">
        <v>515</v>
      </c>
      <c r="H66" s="53">
        <v>1399</v>
      </c>
      <c r="I66" s="53">
        <v>673</v>
      </c>
      <c r="J66" s="53"/>
      <c r="K66" s="53"/>
      <c r="L66" s="53"/>
      <c r="M66" s="53"/>
      <c r="N66" s="53"/>
      <c r="O66" s="53"/>
      <c r="P66" s="53"/>
      <c r="Q66" s="53"/>
      <c r="R66" s="53"/>
      <c r="S66" s="53"/>
      <c r="T66" s="53"/>
      <c r="U66" s="53"/>
      <c r="V66" s="53"/>
      <c r="W66" s="53"/>
      <c r="X66" s="57">
        <f t="shared" si="41"/>
        <v>4783</v>
      </c>
    </row>
    <row r="67" spans="1:24" ht="24.95" customHeight="1">
      <c r="A67" s="13" t="s">
        <v>125</v>
      </c>
      <c r="B67" s="51" t="s">
        <v>120</v>
      </c>
      <c r="C67" s="51"/>
      <c r="D67" s="12"/>
      <c r="E67" s="53"/>
      <c r="F67" s="53"/>
      <c r="G67" s="53">
        <v>827</v>
      </c>
      <c r="H67" s="53"/>
      <c r="I67" s="53"/>
      <c r="J67" s="53">
        <v>1767</v>
      </c>
      <c r="K67" s="53">
        <v>1255</v>
      </c>
      <c r="L67" s="53">
        <v>1512</v>
      </c>
      <c r="M67" s="53">
        <v>1344</v>
      </c>
      <c r="N67" s="53">
        <v>1174</v>
      </c>
      <c r="O67" s="53"/>
      <c r="P67" s="53"/>
      <c r="Q67" s="53"/>
      <c r="R67" s="53"/>
      <c r="S67" s="53"/>
      <c r="T67" s="53"/>
      <c r="U67" s="53"/>
      <c r="V67" s="53"/>
      <c r="W67" s="53"/>
      <c r="X67" s="57">
        <f t="shared" si="41"/>
        <v>7879</v>
      </c>
    </row>
    <row r="68" spans="1:24" ht="24.95" customHeight="1">
      <c r="A68" s="13" t="s">
        <v>127</v>
      </c>
      <c r="B68" s="51" t="s">
        <v>122</v>
      </c>
      <c r="C68" s="51"/>
      <c r="D68" s="12"/>
      <c r="E68" s="53"/>
      <c r="F68" s="53"/>
      <c r="G68" s="53"/>
      <c r="H68" s="53"/>
      <c r="I68" s="53"/>
      <c r="J68" s="53"/>
      <c r="K68" s="53"/>
      <c r="L68" s="53"/>
      <c r="M68" s="53"/>
      <c r="N68" s="53"/>
      <c r="O68" s="53">
        <v>700</v>
      </c>
      <c r="P68" s="53">
        <v>885</v>
      </c>
      <c r="Q68" s="53">
        <v>732</v>
      </c>
      <c r="R68" s="53">
        <v>317</v>
      </c>
      <c r="S68" s="53">
        <v>481</v>
      </c>
      <c r="T68" s="53">
        <v>485</v>
      </c>
      <c r="U68" s="53">
        <v>513</v>
      </c>
      <c r="V68" s="53">
        <v>694</v>
      </c>
      <c r="W68" s="53"/>
      <c r="X68" s="57">
        <f t="shared" si="41"/>
        <v>4807</v>
      </c>
    </row>
    <row r="69" spans="1:24" ht="24.95" customHeight="1">
      <c r="A69" s="13" t="s">
        <v>128</v>
      </c>
      <c r="B69" s="51" t="s">
        <v>124</v>
      </c>
      <c r="C69" s="51"/>
      <c r="D69" s="12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53"/>
      <c r="S69" s="53"/>
      <c r="T69" s="53"/>
      <c r="U69" s="53"/>
      <c r="V69" s="53"/>
      <c r="W69" s="53"/>
      <c r="X69" s="57">
        <f t="shared" si="41"/>
        <v>0</v>
      </c>
    </row>
    <row r="70" spans="1:24" ht="24.95" customHeight="1">
      <c r="A70" s="13" t="s">
        <v>129</v>
      </c>
      <c r="B70" s="11" t="s">
        <v>306</v>
      </c>
      <c r="C70" s="11"/>
      <c r="D70" s="12"/>
      <c r="E70" s="53">
        <v>65</v>
      </c>
      <c r="F70" s="53">
        <v>64</v>
      </c>
      <c r="G70" s="53">
        <v>1</v>
      </c>
      <c r="H70" s="53">
        <v>1</v>
      </c>
      <c r="I70" s="53"/>
      <c r="J70" s="53">
        <v>107</v>
      </c>
      <c r="K70" s="53">
        <v>101</v>
      </c>
      <c r="L70" s="53"/>
      <c r="M70" s="53">
        <v>1</v>
      </c>
      <c r="N70" s="53"/>
      <c r="O70" s="53">
        <v>23</v>
      </c>
      <c r="P70" s="53">
        <v>25</v>
      </c>
      <c r="Q70" s="53">
        <v>1</v>
      </c>
      <c r="R70" s="53"/>
      <c r="S70" s="53"/>
      <c r="T70" s="53"/>
      <c r="U70" s="53"/>
      <c r="V70" s="53"/>
      <c r="W70" s="53">
        <v>18</v>
      </c>
      <c r="X70" s="57">
        <f t="shared" si="41"/>
        <v>407</v>
      </c>
    </row>
    <row r="71" spans="1:24" ht="24.95" customHeight="1">
      <c r="A71" s="13" t="s">
        <v>130</v>
      </c>
      <c r="B71" s="51" t="s">
        <v>307</v>
      </c>
      <c r="C71" s="51"/>
      <c r="D71" s="14"/>
      <c r="E71" s="53">
        <v>17063</v>
      </c>
      <c r="F71" s="53">
        <v>11923</v>
      </c>
      <c r="G71" s="53">
        <v>47723.69</v>
      </c>
      <c r="H71" s="53">
        <v>18481.39</v>
      </c>
      <c r="I71" s="53">
        <v>15865.86</v>
      </c>
      <c r="J71" s="53">
        <v>23546.35</v>
      </c>
      <c r="K71" s="53">
        <v>16490.189999999999</v>
      </c>
      <c r="L71" s="53">
        <v>16648.97</v>
      </c>
      <c r="M71" s="53">
        <v>22433.4</v>
      </c>
      <c r="N71" s="53">
        <v>11914.29</v>
      </c>
      <c r="O71" s="53">
        <v>7654.77</v>
      </c>
      <c r="P71" s="53">
        <v>12113.78</v>
      </c>
      <c r="Q71" s="53">
        <v>10438.120000000001</v>
      </c>
      <c r="R71" s="53">
        <v>6080</v>
      </c>
      <c r="S71" s="53">
        <f>5747.79+5768.76</f>
        <v>11516.55</v>
      </c>
      <c r="T71" s="53">
        <v>11939.6</v>
      </c>
      <c r="U71" s="53">
        <v>11286</v>
      </c>
      <c r="V71" s="53">
        <v>13520</v>
      </c>
      <c r="W71" s="53">
        <v>1578</v>
      </c>
      <c r="X71" s="57">
        <f t="shared" si="41"/>
        <v>288216.95999999996</v>
      </c>
    </row>
    <row r="72" spans="1:24" ht="24.95" customHeight="1">
      <c r="A72" s="13" t="s">
        <v>131</v>
      </c>
      <c r="B72" s="51" t="s">
        <v>308</v>
      </c>
      <c r="C72" s="51"/>
      <c r="D72" s="14"/>
      <c r="E72" s="53">
        <v>15829</v>
      </c>
      <c r="F72" s="53">
        <v>10360</v>
      </c>
      <c r="G72" s="53">
        <v>16263</v>
      </c>
      <c r="H72" s="53">
        <v>12617.6</v>
      </c>
      <c r="I72" s="53">
        <v>8547.4500000000007</v>
      </c>
      <c r="J72" s="53">
        <v>19712</v>
      </c>
      <c r="K72" s="53">
        <v>11160</v>
      </c>
      <c r="L72" s="53">
        <v>11125</v>
      </c>
      <c r="M72" s="53">
        <v>15700</v>
      </c>
      <c r="N72" s="53">
        <v>8447.1</v>
      </c>
      <c r="O72" s="53">
        <v>5134</v>
      </c>
      <c r="P72" s="53">
        <v>4330</v>
      </c>
      <c r="Q72" s="53">
        <v>4266</v>
      </c>
      <c r="R72" s="53">
        <v>2500</v>
      </c>
      <c r="S72" s="53">
        <f>2519+2539.1</f>
        <v>5058.1000000000004</v>
      </c>
      <c r="T72" s="53">
        <v>4999</v>
      </c>
      <c r="U72" s="53">
        <v>4627.34</v>
      </c>
      <c r="V72" s="53">
        <v>5045</v>
      </c>
      <c r="W72" s="53">
        <v>625</v>
      </c>
      <c r="X72" s="57">
        <f t="shared" si="41"/>
        <v>166345.59000000003</v>
      </c>
    </row>
    <row r="73" spans="1:24">
      <c r="E73" s="15">
        <f t="shared" ref="E73:X73" si="45">E5/E60</f>
        <v>383198.04878048779</v>
      </c>
      <c r="F73" s="15">
        <f t="shared" si="45"/>
        <v>387081.10699999996</v>
      </c>
      <c r="G73" s="15">
        <f t="shared" si="45"/>
        <v>379492.1761702128</v>
      </c>
      <c r="H73" s="15">
        <f t="shared" si="45"/>
        <v>375100.78975903615</v>
      </c>
      <c r="I73" s="15">
        <f t="shared" si="45"/>
        <v>352427.33750000008</v>
      </c>
      <c r="J73" s="15">
        <f t="shared" si="45"/>
        <v>364640.2542105263</v>
      </c>
      <c r="K73" s="15">
        <f t="shared" si="45"/>
        <v>372053.60907894734</v>
      </c>
      <c r="L73" s="15">
        <f t="shared" si="45"/>
        <v>356440.68206896551</v>
      </c>
      <c r="M73" s="15">
        <f t="shared" si="45"/>
        <v>374207.97068965517</v>
      </c>
      <c r="N73" s="15">
        <f t="shared" si="45"/>
        <v>351789.37898550724</v>
      </c>
      <c r="O73" s="15">
        <f t="shared" si="45"/>
        <v>323935.48859649117</v>
      </c>
      <c r="P73" s="15">
        <f t="shared" si="45"/>
        <v>332659.59999999998</v>
      </c>
      <c r="Q73" s="15">
        <f t="shared" si="45"/>
        <v>316774.88771929825</v>
      </c>
      <c r="R73" s="15">
        <f t="shared" si="45"/>
        <v>320813.46363636362</v>
      </c>
      <c r="S73" s="15">
        <f t="shared" si="45"/>
        <v>312172.95222222223</v>
      </c>
      <c r="T73" s="15">
        <f t="shared" si="45"/>
        <v>309188.87962962961</v>
      </c>
      <c r="U73" s="15">
        <f t="shared" si="45"/>
        <v>315799.78947368421</v>
      </c>
      <c r="V73" s="15">
        <f t="shared" si="45"/>
        <v>320095.42170731706</v>
      </c>
      <c r="W73" s="15">
        <f t="shared" si="45"/>
        <v>358877.42666666658</v>
      </c>
      <c r="X73" s="15">
        <f t="shared" si="45"/>
        <v>356067.63778995431</v>
      </c>
    </row>
    <row r="74" spans="1:24">
      <c r="E74" s="15">
        <f t="shared" ref="E74:X74" si="46">E34/E70</f>
        <v>19648.615384615383</v>
      </c>
      <c r="F74" s="15">
        <f t="shared" si="46"/>
        <v>18258.75</v>
      </c>
      <c r="G74" s="15">
        <f t="shared" si="46"/>
        <v>15780</v>
      </c>
      <c r="H74" s="15">
        <f t="shared" si="46"/>
        <v>15780</v>
      </c>
      <c r="I74" s="15" t="e">
        <f t="shared" si="46"/>
        <v>#DIV/0!</v>
      </c>
      <c r="J74" s="15">
        <f t="shared" si="46"/>
        <v>18756.448598130843</v>
      </c>
      <c r="K74" s="15">
        <f t="shared" si="46"/>
        <v>18835.247524752474</v>
      </c>
      <c r="L74" s="15" t="e">
        <f t="shared" si="46"/>
        <v>#DIV/0!</v>
      </c>
      <c r="M74" s="15">
        <f t="shared" si="46"/>
        <v>13020</v>
      </c>
      <c r="N74" s="15" t="e">
        <f t="shared" si="46"/>
        <v>#DIV/0!</v>
      </c>
      <c r="O74" s="15">
        <f t="shared" si="46"/>
        <v>16640.869565217392</v>
      </c>
      <c r="P74" s="15">
        <f t="shared" si="46"/>
        <v>16576.8</v>
      </c>
      <c r="Q74" s="15">
        <f t="shared" si="46"/>
        <v>13020</v>
      </c>
      <c r="R74" s="15" t="e">
        <f t="shared" si="46"/>
        <v>#DIV/0!</v>
      </c>
      <c r="S74" s="15" t="e">
        <f t="shared" si="46"/>
        <v>#DIV/0!</v>
      </c>
      <c r="T74" s="15" t="e">
        <f t="shared" si="46"/>
        <v>#DIV/0!</v>
      </c>
      <c r="U74" s="15" t="e">
        <f t="shared" si="46"/>
        <v>#DIV/0!</v>
      </c>
      <c r="V74" s="15" t="e">
        <f t="shared" si="46"/>
        <v>#DIV/0!</v>
      </c>
      <c r="W74" s="15">
        <f t="shared" si="46"/>
        <v>20583.333333333332</v>
      </c>
      <c r="X74" s="15">
        <f t="shared" si="46"/>
        <v>18624.766584766585</v>
      </c>
    </row>
    <row r="77" spans="1:24">
      <c r="X77" s="15"/>
    </row>
    <row r="78" spans="1:24">
      <c r="X78" s="15"/>
    </row>
  </sheetData>
  <protectedRanges>
    <protectedRange password="E9C1" sqref="X2:X3" name="区域1_1"/>
    <protectedRange password="E9C1" sqref="D30 C31 B7:D29 A2:D6 B32:D72 A7:A72" name="区域1_1_1"/>
    <protectedRange password="E9C1" sqref="B30:C30 B31" name="区域1_1_1_1"/>
    <protectedRange password="E9C1" sqref="D31" name="区域1_2"/>
    <protectedRange password="E9C1" sqref="V2 V4" name="区域1_1_2"/>
    <protectedRange password="E9C1" sqref="Q2 Q4" name="区域1_1_3"/>
    <protectedRange password="E9C1" sqref="T2 T4" name="区域1_1_4"/>
    <protectedRange password="E9C1" sqref="J2 J4" name="区域1_1_5"/>
    <protectedRange password="E9C1" sqref="U2 U4" name="区域1_1_6"/>
    <protectedRange password="E9C1" sqref="L2 L4" name="区域1_1_7"/>
    <protectedRange password="E9C1" sqref="O2 O4" name="区域1_1_8"/>
    <protectedRange password="E9C1" sqref="E2 E4" name="区域1_1_9"/>
    <protectedRange password="E9C1" sqref="W2 W4" name="区域1_1_10"/>
    <protectedRange password="E9C1" sqref="R2 R4" name="区域1_1_11"/>
    <protectedRange password="E9C1" sqref="N2 N4" name="区域1_1_12"/>
    <protectedRange password="E9C1" sqref="K2 K4" name="区域1_1_13"/>
    <protectedRange password="E9C1" sqref="F2 F4" name="区域1_1_14"/>
    <protectedRange password="E9C1" sqref="I2 I4" name="区域1_1_15"/>
    <protectedRange password="E9C1" sqref="M2 M4" name="区域1_1_16"/>
    <protectedRange password="E9C1" sqref="G2 G4" name="区域1_1_17"/>
    <protectedRange password="E9C1" sqref="P2 P4" name="区域1_1_18"/>
    <protectedRange password="E9C1" sqref="S2 S4" name="区域1_1_19"/>
    <protectedRange sqref="S2" name="区域1_1_2_1"/>
    <protectedRange password="E9C1" sqref="H2 H4" name="区域1_1_20"/>
  </protectedRanges>
  <mergeCells count="6">
    <mergeCell ref="A1:X1"/>
    <mergeCell ref="A2:A3"/>
    <mergeCell ref="B2:B3"/>
    <mergeCell ref="C2:C3"/>
    <mergeCell ref="D2:D3"/>
    <mergeCell ref="X2:X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verticalDpi="0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Q23"/>
  <sheetViews>
    <sheetView topLeftCell="B10" workbookViewId="0">
      <selection activeCell="N3" sqref="N3"/>
    </sheetView>
  </sheetViews>
  <sheetFormatPr defaultRowHeight="13.5"/>
  <cols>
    <col min="1" max="1" width="0" style="91" hidden="1" customWidth="1"/>
    <col min="2" max="2" width="25.625" style="91" customWidth="1"/>
    <col min="3" max="3" width="6.5" style="91" hidden="1" customWidth="1"/>
    <col min="4" max="5" width="0" style="91" hidden="1" customWidth="1"/>
    <col min="6" max="7" width="12.625" style="91" customWidth="1"/>
    <col min="8" max="8" width="14.125" style="91" customWidth="1"/>
    <col min="9" max="17" width="12.625" style="91" customWidth="1"/>
    <col min="18" max="16384" width="9" style="91"/>
  </cols>
  <sheetData>
    <row r="1" spans="1:17" ht="20.25">
      <c r="A1" s="137" t="s">
        <v>336</v>
      </c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</row>
    <row r="2" spans="1:17">
      <c r="A2" s="139" t="s">
        <v>219</v>
      </c>
      <c r="B2" s="141" t="s">
        <v>337</v>
      </c>
      <c r="C2" s="141" t="s">
        <v>3</v>
      </c>
      <c r="D2" s="139" t="s">
        <v>338</v>
      </c>
      <c r="E2" s="142" t="s">
        <v>339</v>
      </c>
      <c r="F2" s="143" t="s">
        <v>340</v>
      </c>
      <c r="G2" s="144"/>
      <c r="H2" s="144"/>
      <c r="I2" s="144"/>
      <c r="J2" s="143" t="s">
        <v>341</v>
      </c>
      <c r="K2" s="144"/>
      <c r="L2" s="144"/>
      <c r="M2" s="144"/>
      <c r="N2" s="143" t="s">
        <v>342</v>
      </c>
      <c r="O2" s="144"/>
      <c r="P2" s="144"/>
      <c r="Q2" s="144"/>
    </row>
    <row r="3" spans="1:17" ht="22.5">
      <c r="A3" s="140"/>
      <c r="B3" s="140"/>
      <c r="C3" s="140"/>
      <c r="D3" s="140"/>
      <c r="E3" s="140"/>
      <c r="F3" s="92" t="s">
        <v>343</v>
      </c>
      <c r="G3" s="93" t="s">
        <v>344</v>
      </c>
      <c r="H3" s="94" t="s">
        <v>362</v>
      </c>
      <c r="I3" s="94" t="s">
        <v>345</v>
      </c>
      <c r="J3" s="92" t="s">
        <v>343</v>
      </c>
      <c r="K3" s="93" t="s">
        <v>344</v>
      </c>
      <c r="L3" s="94" t="s">
        <v>346</v>
      </c>
      <c r="M3" s="94" t="s">
        <v>345</v>
      </c>
      <c r="N3" s="92" t="s">
        <v>343</v>
      </c>
      <c r="O3" s="93" t="s">
        <v>344</v>
      </c>
      <c r="P3" s="94" t="s">
        <v>362</v>
      </c>
      <c r="Q3" s="94" t="s">
        <v>345</v>
      </c>
    </row>
    <row r="4" spans="1:17" s="96" customFormat="1" ht="20.100000000000001" customHeight="1">
      <c r="A4" s="97" t="s">
        <v>2</v>
      </c>
      <c r="B4" s="31" t="s">
        <v>138</v>
      </c>
      <c r="C4" s="31">
        <v>1</v>
      </c>
      <c r="D4" s="31" t="s">
        <v>347</v>
      </c>
      <c r="E4" s="31" t="s">
        <v>353</v>
      </c>
      <c r="F4" s="29">
        <v>15853699</v>
      </c>
      <c r="G4" s="29">
        <v>304239</v>
      </c>
      <c r="H4" s="61">
        <v>1265430.5</v>
      </c>
      <c r="I4" s="61">
        <f t="shared" ref="I4:I22" si="0">F4+H4</f>
        <v>17119129.5</v>
      </c>
      <c r="J4" s="95">
        <v>16173188</v>
      </c>
      <c r="K4" s="95">
        <v>280089</v>
      </c>
      <c r="L4" s="95">
        <v>1458671.5</v>
      </c>
      <c r="M4" s="95">
        <f t="shared" ref="M4:M22" si="1">J4+L4</f>
        <v>17631859.5</v>
      </c>
      <c r="N4" s="95">
        <f t="shared" ref="N4:Q22" si="2">F4-J4</f>
        <v>-319489</v>
      </c>
      <c r="O4" s="95">
        <f t="shared" si="2"/>
        <v>24150</v>
      </c>
      <c r="P4" s="95">
        <f t="shared" si="2"/>
        <v>-193241</v>
      </c>
      <c r="Q4" s="95">
        <f t="shared" si="2"/>
        <v>-512730</v>
      </c>
    </row>
    <row r="5" spans="1:17" s="96" customFormat="1" ht="20.100000000000001" customHeight="1">
      <c r="A5" s="97" t="s">
        <v>2</v>
      </c>
      <c r="B5" s="31" t="s">
        <v>139</v>
      </c>
      <c r="C5" s="31">
        <v>2</v>
      </c>
      <c r="D5" s="31" t="s">
        <v>347</v>
      </c>
      <c r="E5" s="31" t="s">
        <v>353</v>
      </c>
      <c r="F5" s="29">
        <v>16019621</v>
      </c>
      <c r="G5" s="29">
        <v>282996</v>
      </c>
      <c r="H5" s="61">
        <v>1469123.5</v>
      </c>
      <c r="I5" s="61">
        <f t="shared" si="0"/>
        <v>17488744.5</v>
      </c>
      <c r="J5" s="95">
        <v>16074571</v>
      </c>
      <c r="K5" s="95">
        <v>258996</v>
      </c>
      <c r="L5" s="95">
        <v>1775126.25</v>
      </c>
      <c r="M5" s="95">
        <f t="shared" si="1"/>
        <v>17849697.25</v>
      </c>
      <c r="N5" s="95">
        <f t="shared" si="2"/>
        <v>-54950</v>
      </c>
      <c r="O5" s="95">
        <f t="shared" si="2"/>
        <v>24000</v>
      </c>
      <c r="P5" s="95">
        <f t="shared" si="2"/>
        <v>-306002.75</v>
      </c>
      <c r="Q5" s="95">
        <f t="shared" si="2"/>
        <v>-360952.75</v>
      </c>
    </row>
    <row r="6" spans="1:17" s="96" customFormat="1" ht="20.100000000000001" customHeight="1">
      <c r="A6" s="97" t="s">
        <v>2</v>
      </c>
      <c r="B6" s="92" t="s">
        <v>140</v>
      </c>
      <c r="C6" s="31">
        <v>3</v>
      </c>
      <c r="D6" s="31" t="s">
        <v>347</v>
      </c>
      <c r="E6" s="31" t="s">
        <v>353</v>
      </c>
      <c r="F6" s="29">
        <v>16338146</v>
      </c>
      <c r="G6" s="29">
        <v>275492</v>
      </c>
      <c r="H6" s="61">
        <v>1360175</v>
      </c>
      <c r="I6" s="61">
        <f t="shared" si="0"/>
        <v>17698321</v>
      </c>
      <c r="J6" s="95">
        <v>16173188</v>
      </c>
      <c r="K6" s="95">
        <v>251492</v>
      </c>
      <c r="L6" s="95">
        <v>1428525.75</v>
      </c>
      <c r="M6" s="95">
        <f t="shared" si="1"/>
        <v>17601713.75</v>
      </c>
      <c r="N6" s="95">
        <f t="shared" si="2"/>
        <v>164958</v>
      </c>
      <c r="O6" s="95">
        <f t="shared" si="2"/>
        <v>24000</v>
      </c>
      <c r="P6" s="95">
        <f t="shared" si="2"/>
        <v>-68350.75</v>
      </c>
      <c r="Q6" s="95">
        <f t="shared" si="2"/>
        <v>96607.25</v>
      </c>
    </row>
    <row r="7" spans="1:17" s="96" customFormat="1" ht="20.100000000000001" customHeight="1">
      <c r="A7" s="97" t="s">
        <v>2</v>
      </c>
      <c r="B7" s="31" t="s">
        <v>141</v>
      </c>
      <c r="C7" s="31">
        <v>4</v>
      </c>
      <c r="D7" s="31" t="s">
        <v>347</v>
      </c>
      <c r="E7" s="31" t="s">
        <v>348</v>
      </c>
      <c r="F7" s="29">
        <v>16827218</v>
      </c>
      <c r="G7" s="29">
        <v>290008</v>
      </c>
      <c r="H7" s="61">
        <v>1733829</v>
      </c>
      <c r="I7" s="61">
        <f t="shared" si="0"/>
        <v>18561047</v>
      </c>
      <c r="J7" s="95">
        <v>17553826</v>
      </c>
      <c r="K7" s="95">
        <v>266008</v>
      </c>
      <c r="L7" s="95">
        <v>1781931.25</v>
      </c>
      <c r="M7" s="95">
        <f t="shared" si="1"/>
        <v>19335757.25</v>
      </c>
      <c r="N7" s="95">
        <f t="shared" si="2"/>
        <v>-726608</v>
      </c>
      <c r="O7" s="95">
        <f t="shared" si="2"/>
        <v>24000</v>
      </c>
      <c r="P7" s="95">
        <f t="shared" si="2"/>
        <v>-48102.25</v>
      </c>
      <c r="Q7" s="95">
        <f t="shared" si="2"/>
        <v>-774710.25</v>
      </c>
    </row>
    <row r="8" spans="1:17" s="96" customFormat="1" ht="20.100000000000001" customHeight="1">
      <c r="A8" s="97" t="s">
        <v>2</v>
      </c>
      <c r="B8" s="97" t="s">
        <v>146</v>
      </c>
      <c r="C8" s="31">
        <v>5</v>
      </c>
      <c r="D8" s="31" t="s">
        <v>347</v>
      </c>
      <c r="E8" s="31" t="s">
        <v>348</v>
      </c>
      <c r="F8" s="29">
        <v>5484721</v>
      </c>
      <c r="G8" s="29">
        <v>0</v>
      </c>
      <c r="H8" s="61">
        <v>426266.5</v>
      </c>
      <c r="I8" s="61">
        <f t="shared" si="0"/>
        <v>5910987.5</v>
      </c>
      <c r="J8" s="95">
        <v>5818403</v>
      </c>
      <c r="K8" s="95">
        <v>0</v>
      </c>
      <c r="L8" s="95">
        <v>540024.5</v>
      </c>
      <c r="M8" s="95">
        <f t="shared" si="1"/>
        <v>6358427.5</v>
      </c>
      <c r="N8" s="95">
        <f t="shared" si="2"/>
        <v>-333682</v>
      </c>
      <c r="O8" s="95">
        <f t="shared" si="2"/>
        <v>0</v>
      </c>
      <c r="P8" s="95">
        <f t="shared" si="2"/>
        <v>-113758</v>
      </c>
      <c r="Q8" s="95">
        <f t="shared" si="2"/>
        <v>-447440</v>
      </c>
    </row>
    <row r="9" spans="1:17" s="96" customFormat="1" ht="20.100000000000001" customHeight="1">
      <c r="A9" s="97" t="s">
        <v>2</v>
      </c>
      <c r="B9" s="31" t="s">
        <v>142</v>
      </c>
      <c r="C9" s="31">
        <v>6</v>
      </c>
      <c r="D9" s="31" t="s">
        <v>347</v>
      </c>
      <c r="E9" s="31" t="s">
        <v>352</v>
      </c>
      <c r="F9" s="29">
        <v>17973398</v>
      </c>
      <c r="G9" s="29">
        <v>612058</v>
      </c>
      <c r="H9" s="61">
        <v>1003496.5</v>
      </c>
      <c r="I9" s="61">
        <f t="shared" si="0"/>
        <v>18976894.5</v>
      </c>
      <c r="J9" s="95">
        <v>18006707</v>
      </c>
      <c r="K9" s="95">
        <v>564058</v>
      </c>
      <c r="L9" s="95">
        <v>1069892.5</v>
      </c>
      <c r="M9" s="95">
        <f t="shared" si="1"/>
        <v>19076599.5</v>
      </c>
      <c r="N9" s="95">
        <f t="shared" si="2"/>
        <v>-33309</v>
      </c>
      <c r="O9" s="95">
        <f t="shared" si="2"/>
        <v>48000</v>
      </c>
      <c r="P9" s="95">
        <f t="shared" si="2"/>
        <v>-66396</v>
      </c>
      <c r="Q9" s="95">
        <f t="shared" si="2"/>
        <v>-99705</v>
      </c>
    </row>
    <row r="10" spans="1:17" s="96" customFormat="1" ht="20.100000000000001" customHeight="1">
      <c r="A10" s="97" t="s">
        <v>2</v>
      </c>
      <c r="B10" s="31" t="s">
        <v>143</v>
      </c>
      <c r="C10" s="31">
        <v>7</v>
      </c>
      <c r="D10" s="31" t="s">
        <v>347</v>
      </c>
      <c r="E10" s="31" t="s">
        <v>352</v>
      </c>
      <c r="F10" s="29">
        <v>14414268</v>
      </c>
      <c r="G10" s="29">
        <v>287836</v>
      </c>
      <c r="H10" s="61">
        <v>845636</v>
      </c>
      <c r="I10" s="61">
        <f t="shared" si="0"/>
        <v>15259904</v>
      </c>
      <c r="J10" s="95">
        <v>14461345</v>
      </c>
      <c r="K10" s="95">
        <v>263836</v>
      </c>
      <c r="L10" s="95">
        <v>1078468.5</v>
      </c>
      <c r="M10" s="95">
        <f t="shared" si="1"/>
        <v>15539813.5</v>
      </c>
      <c r="N10" s="95">
        <f t="shared" si="2"/>
        <v>-47077</v>
      </c>
      <c r="O10" s="95">
        <f t="shared" si="2"/>
        <v>24000</v>
      </c>
      <c r="P10" s="95">
        <f t="shared" si="2"/>
        <v>-232832.5</v>
      </c>
      <c r="Q10" s="95">
        <f t="shared" si="2"/>
        <v>-279909.5</v>
      </c>
    </row>
    <row r="11" spans="1:17" s="96" customFormat="1" ht="20.100000000000001" customHeight="1">
      <c r="A11" s="97" t="s">
        <v>2</v>
      </c>
      <c r="B11" s="31" t="s">
        <v>144</v>
      </c>
      <c r="C11" s="31">
        <v>8</v>
      </c>
      <c r="D11" s="31" t="s">
        <v>347</v>
      </c>
      <c r="E11" s="31" t="s">
        <v>352</v>
      </c>
      <c r="F11" s="29">
        <v>16638593</v>
      </c>
      <c r="G11" s="29">
        <v>323204</v>
      </c>
      <c r="H11" s="61">
        <v>1036896.63</v>
      </c>
      <c r="I11" s="61">
        <f t="shared" si="0"/>
        <v>17675489.629999999</v>
      </c>
      <c r="J11" s="95">
        <v>16420624</v>
      </c>
      <c r="K11" s="95">
        <v>299204</v>
      </c>
      <c r="L11" s="95">
        <v>1298048</v>
      </c>
      <c r="M11" s="95">
        <f t="shared" si="1"/>
        <v>17718672</v>
      </c>
      <c r="N11" s="95">
        <f t="shared" si="2"/>
        <v>217969</v>
      </c>
      <c r="O11" s="95">
        <f t="shared" si="2"/>
        <v>24000</v>
      </c>
      <c r="P11" s="95">
        <f t="shared" si="2"/>
        <v>-261151.37</v>
      </c>
      <c r="Q11" s="95">
        <f t="shared" si="2"/>
        <v>-43182.370000001043</v>
      </c>
    </row>
    <row r="12" spans="1:17" s="96" customFormat="1" ht="20.100000000000001" customHeight="1">
      <c r="A12" s="97" t="s">
        <v>2</v>
      </c>
      <c r="B12" s="31" t="s">
        <v>145</v>
      </c>
      <c r="C12" s="31">
        <v>9</v>
      </c>
      <c r="D12" s="31" t="s">
        <v>347</v>
      </c>
      <c r="E12" s="31" t="s">
        <v>352</v>
      </c>
      <c r="F12" s="29">
        <v>10777924</v>
      </c>
      <c r="G12" s="29">
        <v>384912</v>
      </c>
      <c r="H12" s="61">
        <v>702676</v>
      </c>
      <c r="I12" s="61">
        <f t="shared" si="0"/>
        <v>11480600</v>
      </c>
      <c r="J12" s="95">
        <v>10542787</v>
      </c>
      <c r="K12" s="95">
        <v>360912</v>
      </c>
      <c r="L12" s="95">
        <v>956048.75</v>
      </c>
      <c r="M12" s="95">
        <f t="shared" si="1"/>
        <v>11498835.75</v>
      </c>
      <c r="N12" s="95">
        <f t="shared" si="2"/>
        <v>235137</v>
      </c>
      <c r="O12" s="95">
        <f t="shared" si="2"/>
        <v>24000</v>
      </c>
      <c r="P12" s="95">
        <f t="shared" si="2"/>
        <v>-253372.75</v>
      </c>
      <c r="Q12" s="95">
        <f t="shared" si="2"/>
        <v>-18235.75</v>
      </c>
    </row>
    <row r="13" spans="1:17" s="96" customFormat="1" ht="20.100000000000001" customHeight="1">
      <c r="A13" s="97" t="s">
        <v>2</v>
      </c>
      <c r="B13" s="31" t="s">
        <v>354</v>
      </c>
      <c r="C13" s="31">
        <v>10</v>
      </c>
      <c r="D13" s="31" t="s">
        <v>347</v>
      </c>
      <c r="E13" s="31" t="s">
        <v>352</v>
      </c>
      <c r="F13" s="29">
        <v>12263202</v>
      </c>
      <c r="G13" s="29">
        <v>278180</v>
      </c>
      <c r="H13" s="61">
        <v>666225.25</v>
      </c>
      <c r="I13" s="61">
        <f t="shared" si="0"/>
        <v>12929427.25</v>
      </c>
      <c r="J13" s="95">
        <v>12408767</v>
      </c>
      <c r="K13" s="95">
        <v>254180</v>
      </c>
      <c r="L13" s="95">
        <v>749453.75</v>
      </c>
      <c r="M13" s="95">
        <f t="shared" si="1"/>
        <v>13158220.75</v>
      </c>
      <c r="N13" s="95">
        <f t="shared" si="2"/>
        <v>-145565</v>
      </c>
      <c r="O13" s="95">
        <f t="shared" si="2"/>
        <v>24000</v>
      </c>
      <c r="P13" s="95">
        <f t="shared" si="2"/>
        <v>-83228.5</v>
      </c>
      <c r="Q13" s="95">
        <f t="shared" si="2"/>
        <v>-228793.5</v>
      </c>
    </row>
    <row r="14" spans="1:17" s="96" customFormat="1" ht="20.100000000000001" customHeight="1">
      <c r="A14" s="97" t="s">
        <v>2</v>
      </c>
      <c r="B14" s="31" t="s">
        <v>269</v>
      </c>
      <c r="C14" s="31">
        <v>11</v>
      </c>
      <c r="D14" s="31" t="s">
        <v>349</v>
      </c>
      <c r="E14" s="31" t="s">
        <v>350</v>
      </c>
      <c r="F14" s="29">
        <v>1057184</v>
      </c>
      <c r="G14" s="29">
        <v>0</v>
      </c>
      <c r="H14" s="61"/>
      <c r="I14" s="61">
        <f t="shared" si="0"/>
        <v>1057184</v>
      </c>
      <c r="J14" s="95">
        <v>1191156</v>
      </c>
      <c r="K14" s="95"/>
      <c r="L14" s="95"/>
      <c r="M14" s="95">
        <f t="shared" si="1"/>
        <v>1191156</v>
      </c>
      <c r="N14" s="95">
        <f t="shared" si="2"/>
        <v>-133972</v>
      </c>
      <c r="O14" s="95">
        <f t="shared" si="2"/>
        <v>0</v>
      </c>
      <c r="P14" s="95">
        <f t="shared" si="2"/>
        <v>0</v>
      </c>
      <c r="Q14" s="95">
        <f t="shared" si="2"/>
        <v>-133972</v>
      </c>
    </row>
    <row r="15" spans="1:17" s="96" customFormat="1" ht="20.100000000000001" customHeight="1">
      <c r="A15" s="97" t="s">
        <v>2</v>
      </c>
      <c r="B15" s="31" t="s">
        <v>355</v>
      </c>
      <c r="C15" s="31">
        <v>12</v>
      </c>
      <c r="D15" s="31" t="s">
        <v>349</v>
      </c>
      <c r="E15" s="31" t="s">
        <v>351</v>
      </c>
      <c r="F15" s="29">
        <v>9991452</v>
      </c>
      <c r="G15" s="29">
        <v>372752</v>
      </c>
      <c r="H15" s="61"/>
      <c r="I15" s="61">
        <f t="shared" si="0"/>
        <v>9991452</v>
      </c>
      <c r="J15" s="95">
        <v>9677480</v>
      </c>
      <c r="K15" s="95">
        <v>325472</v>
      </c>
      <c r="L15" s="95"/>
      <c r="M15" s="95">
        <f t="shared" si="1"/>
        <v>9677480</v>
      </c>
      <c r="N15" s="95">
        <f t="shared" si="2"/>
        <v>313972</v>
      </c>
      <c r="O15" s="95">
        <f t="shared" si="2"/>
        <v>47280</v>
      </c>
      <c r="P15" s="95">
        <f t="shared" si="2"/>
        <v>0</v>
      </c>
      <c r="Q15" s="95">
        <f t="shared" si="2"/>
        <v>313972</v>
      </c>
    </row>
    <row r="16" spans="1:17" s="96" customFormat="1" ht="20.100000000000001" customHeight="1">
      <c r="A16" s="97" t="s">
        <v>2</v>
      </c>
      <c r="B16" s="31" t="s">
        <v>239</v>
      </c>
      <c r="C16" s="31">
        <v>13</v>
      </c>
      <c r="D16" s="31" t="s">
        <v>349</v>
      </c>
      <c r="E16" s="31" t="s">
        <v>351</v>
      </c>
      <c r="F16" s="29">
        <v>10402615</v>
      </c>
      <c r="G16" s="29">
        <v>269132</v>
      </c>
      <c r="H16" s="61"/>
      <c r="I16" s="61">
        <f t="shared" si="0"/>
        <v>10402615</v>
      </c>
      <c r="J16" s="95">
        <v>10098240</v>
      </c>
      <c r="K16" s="95">
        <v>245132</v>
      </c>
      <c r="L16" s="95"/>
      <c r="M16" s="95">
        <f t="shared" si="1"/>
        <v>10098240</v>
      </c>
      <c r="N16" s="95">
        <f t="shared" si="2"/>
        <v>304375</v>
      </c>
      <c r="O16" s="95">
        <f t="shared" si="2"/>
        <v>24000</v>
      </c>
      <c r="P16" s="95">
        <f t="shared" si="2"/>
        <v>0</v>
      </c>
      <c r="Q16" s="95">
        <f t="shared" si="2"/>
        <v>304375</v>
      </c>
    </row>
    <row r="17" spans="1:17" s="96" customFormat="1" ht="20.100000000000001" customHeight="1">
      <c r="A17" s="97" t="s">
        <v>2</v>
      </c>
      <c r="B17" s="31" t="s">
        <v>356</v>
      </c>
      <c r="C17" s="31">
        <v>14</v>
      </c>
      <c r="D17" s="31" t="s">
        <v>349</v>
      </c>
      <c r="E17" s="31" t="s">
        <v>351</v>
      </c>
      <c r="F17" s="29">
        <v>9698932</v>
      </c>
      <c r="G17" s="29">
        <v>284528</v>
      </c>
      <c r="H17" s="61"/>
      <c r="I17" s="61">
        <f t="shared" si="0"/>
        <v>9698932</v>
      </c>
      <c r="J17" s="95">
        <v>9425024</v>
      </c>
      <c r="K17" s="95">
        <v>260528</v>
      </c>
      <c r="L17" s="95"/>
      <c r="M17" s="95">
        <f t="shared" si="1"/>
        <v>9425024</v>
      </c>
      <c r="N17" s="95">
        <f t="shared" si="2"/>
        <v>273908</v>
      </c>
      <c r="O17" s="95">
        <f t="shared" si="2"/>
        <v>24000</v>
      </c>
      <c r="P17" s="95">
        <f t="shared" si="2"/>
        <v>0</v>
      </c>
      <c r="Q17" s="95">
        <f t="shared" si="2"/>
        <v>273908</v>
      </c>
    </row>
    <row r="18" spans="1:17" s="96" customFormat="1" ht="20.100000000000001" customHeight="1">
      <c r="A18" s="97" t="s">
        <v>2</v>
      </c>
      <c r="B18" s="31" t="s">
        <v>357</v>
      </c>
      <c r="C18" s="31">
        <v>15</v>
      </c>
      <c r="D18" s="31" t="s">
        <v>349</v>
      </c>
      <c r="E18" s="31" t="s">
        <v>351</v>
      </c>
      <c r="F18" s="29">
        <v>6865690</v>
      </c>
      <c r="G18" s="29">
        <v>267580</v>
      </c>
      <c r="H18" s="61"/>
      <c r="I18" s="61">
        <f t="shared" si="0"/>
        <v>6865690</v>
      </c>
      <c r="J18" s="95">
        <v>6648008</v>
      </c>
      <c r="K18" s="95">
        <v>243580</v>
      </c>
      <c r="L18" s="95"/>
      <c r="M18" s="95">
        <f t="shared" si="1"/>
        <v>6648008</v>
      </c>
      <c r="N18" s="95">
        <f t="shared" si="2"/>
        <v>217682</v>
      </c>
      <c r="O18" s="95">
        <f t="shared" si="2"/>
        <v>24000</v>
      </c>
      <c r="P18" s="95">
        <f t="shared" si="2"/>
        <v>0</v>
      </c>
      <c r="Q18" s="95">
        <f t="shared" si="2"/>
        <v>217682</v>
      </c>
    </row>
    <row r="19" spans="1:17" s="96" customFormat="1" ht="20.100000000000001" customHeight="1">
      <c r="A19" s="97" t="s">
        <v>2</v>
      </c>
      <c r="B19" s="31" t="s">
        <v>358</v>
      </c>
      <c r="C19" s="31">
        <v>16</v>
      </c>
      <c r="D19" s="31" t="s">
        <v>349</v>
      </c>
      <c r="E19" s="31" t="s">
        <v>351</v>
      </c>
      <c r="F19" s="29">
        <v>6640343</v>
      </c>
      <c r="G19" s="29">
        <v>252064</v>
      </c>
      <c r="H19" s="61"/>
      <c r="I19" s="61">
        <f t="shared" si="0"/>
        <v>6640343</v>
      </c>
      <c r="J19" s="95">
        <v>6479704</v>
      </c>
      <c r="K19" s="95">
        <v>228064</v>
      </c>
      <c r="L19" s="95"/>
      <c r="M19" s="95">
        <f t="shared" si="1"/>
        <v>6479704</v>
      </c>
      <c r="N19" s="95">
        <f t="shared" si="2"/>
        <v>160639</v>
      </c>
      <c r="O19" s="95">
        <f t="shared" si="2"/>
        <v>24000</v>
      </c>
      <c r="P19" s="95">
        <f t="shared" si="2"/>
        <v>0</v>
      </c>
      <c r="Q19" s="95">
        <f t="shared" si="2"/>
        <v>160639</v>
      </c>
    </row>
    <row r="20" spans="1:17" s="96" customFormat="1" ht="20.100000000000001" customHeight="1">
      <c r="A20" s="97" t="s">
        <v>2</v>
      </c>
      <c r="B20" s="31" t="s">
        <v>195</v>
      </c>
      <c r="C20" s="31">
        <v>17</v>
      </c>
      <c r="D20" s="31" t="s">
        <v>349</v>
      </c>
      <c r="E20" s="31" t="s">
        <v>351</v>
      </c>
      <c r="F20" s="29">
        <v>4273588</v>
      </c>
      <c r="G20" s="29">
        <v>255704</v>
      </c>
      <c r="H20" s="61"/>
      <c r="I20" s="61">
        <f t="shared" si="0"/>
        <v>4273588</v>
      </c>
      <c r="J20" s="95">
        <v>4207600</v>
      </c>
      <c r="K20" s="95">
        <v>231704</v>
      </c>
      <c r="L20" s="95"/>
      <c r="M20" s="95">
        <f t="shared" si="1"/>
        <v>4207600</v>
      </c>
      <c r="N20" s="95">
        <f t="shared" si="2"/>
        <v>65988</v>
      </c>
      <c r="O20" s="95">
        <f t="shared" si="2"/>
        <v>24000</v>
      </c>
      <c r="P20" s="95">
        <f t="shared" si="2"/>
        <v>0</v>
      </c>
      <c r="Q20" s="95">
        <f t="shared" si="2"/>
        <v>65988</v>
      </c>
    </row>
    <row r="21" spans="1:17" s="96" customFormat="1" ht="20.100000000000001" customHeight="1">
      <c r="A21" s="97" t="s">
        <v>2</v>
      </c>
      <c r="B21" s="92" t="s">
        <v>359</v>
      </c>
      <c r="C21" s="31">
        <v>18</v>
      </c>
      <c r="D21" s="31" t="s">
        <v>349</v>
      </c>
      <c r="E21" s="31" t="s">
        <v>351</v>
      </c>
      <c r="F21" s="29">
        <v>3417791</v>
      </c>
      <c r="G21" s="29">
        <v>243556</v>
      </c>
      <c r="H21" s="61"/>
      <c r="I21" s="61">
        <f t="shared" si="0"/>
        <v>3417791</v>
      </c>
      <c r="J21" s="95">
        <v>3366080</v>
      </c>
      <c r="K21" s="95">
        <v>219556</v>
      </c>
      <c r="L21" s="95"/>
      <c r="M21" s="95">
        <f t="shared" si="1"/>
        <v>3366080</v>
      </c>
      <c r="N21" s="95">
        <f t="shared" si="2"/>
        <v>51711</v>
      </c>
      <c r="O21" s="95">
        <f t="shared" si="2"/>
        <v>24000</v>
      </c>
      <c r="P21" s="95">
        <f t="shared" si="2"/>
        <v>0</v>
      </c>
      <c r="Q21" s="95">
        <f t="shared" si="2"/>
        <v>51711</v>
      </c>
    </row>
    <row r="22" spans="1:17" s="96" customFormat="1" ht="20.100000000000001" customHeight="1">
      <c r="A22" s="97" t="s">
        <v>2</v>
      </c>
      <c r="B22" s="92" t="s">
        <v>360</v>
      </c>
      <c r="C22" s="31">
        <v>19</v>
      </c>
      <c r="D22" s="31" t="s">
        <v>349</v>
      </c>
      <c r="E22" s="31" t="s">
        <v>351</v>
      </c>
      <c r="F22" s="29">
        <v>4417698</v>
      </c>
      <c r="G22" s="29">
        <v>244916</v>
      </c>
      <c r="H22" s="61"/>
      <c r="I22" s="61">
        <f t="shared" si="0"/>
        <v>4417698</v>
      </c>
      <c r="J22" s="95">
        <v>4291752</v>
      </c>
      <c r="K22" s="95">
        <v>220916</v>
      </c>
      <c r="L22" s="95"/>
      <c r="M22" s="95">
        <f t="shared" si="1"/>
        <v>4291752</v>
      </c>
      <c r="N22" s="95">
        <f t="shared" si="2"/>
        <v>125946</v>
      </c>
      <c r="O22" s="95">
        <f t="shared" si="2"/>
        <v>24000</v>
      </c>
      <c r="P22" s="95">
        <f t="shared" si="2"/>
        <v>0</v>
      </c>
      <c r="Q22" s="95">
        <f t="shared" si="2"/>
        <v>125946</v>
      </c>
    </row>
    <row r="23" spans="1:17" s="96" customFormat="1" ht="20.100000000000001" customHeight="1">
      <c r="A23" s="97"/>
      <c r="B23" s="92" t="s">
        <v>361</v>
      </c>
      <c r="C23" s="31"/>
      <c r="D23" s="31"/>
      <c r="E23" s="31"/>
      <c r="F23" s="29">
        <f>SUM(F4:F22)</f>
        <v>199356083</v>
      </c>
      <c r="G23" s="29">
        <f t="shared" ref="G23:Q23" si="3">SUM(G4:G22)</f>
        <v>5229157</v>
      </c>
      <c r="H23" s="29">
        <f t="shared" si="3"/>
        <v>10509754.880000001</v>
      </c>
      <c r="I23" s="29">
        <f t="shared" si="3"/>
        <v>209865837.88</v>
      </c>
      <c r="J23" s="29">
        <f t="shared" si="3"/>
        <v>199018450</v>
      </c>
      <c r="K23" s="29">
        <f t="shared" si="3"/>
        <v>4773727</v>
      </c>
      <c r="L23" s="29">
        <f t="shared" si="3"/>
        <v>12136190.75</v>
      </c>
      <c r="M23" s="29">
        <f t="shared" si="3"/>
        <v>211154640.75</v>
      </c>
      <c r="N23" s="29">
        <f t="shared" si="3"/>
        <v>337633</v>
      </c>
      <c r="O23" s="29">
        <f t="shared" si="3"/>
        <v>455430</v>
      </c>
      <c r="P23" s="29">
        <f t="shared" si="3"/>
        <v>-1626435.87</v>
      </c>
      <c r="Q23" s="29">
        <f t="shared" si="3"/>
        <v>-1288802.870000001</v>
      </c>
    </row>
  </sheetData>
  <mergeCells count="9">
    <mergeCell ref="A1:Q1"/>
    <mergeCell ref="A2:A3"/>
    <mergeCell ref="B2:B3"/>
    <mergeCell ref="C2:C3"/>
    <mergeCell ref="D2:D3"/>
    <mergeCell ref="E2:E3"/>
    <mergeCell ref="F2:I2"/>
    <mergeCell ref="J2:M2"/>
    <mergeCell ref="N2:Q2"/>
  </mergeCells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J5"/>
  <sheetViews>
    <sheetView topLeftCell="B1" workbookViewId="0">
      <selection activeCell="N3" sqref="N3"/>
    </sheetView>
  </sheetViews>
  <sheetFormatPr defaultRowHeight="14.25"/>
  <cols>
    <col min="1" max="1" width="0" style="107" hidden="1" customWidth="1"/>
    <col min="2" max="2" width="28.5" style="107" customWidth="1"/>
    <col min="3" max="3" width="10.25" style="107" customWidth="1"/>
    <col min="4" max="4" width="7.5" style="107" customWidth="1"/>
    <col min="5" max="5" width="21.375" style="107" customWidth="1"/>
    <col min="6" max="6" width="13.625" style="107" customWidth="1"/>
    <col min="7" max="7" width="9" style="107"/>
    <col min="8" max="8" width="6.375" style="107" customWidth="1"/>
    <col min="9" max="9" width="6.75" style="107" customWidth="1"/>
    <col min="10" max="10" width="12.5" style="118" customWidth="1"/>
    <col min="11" max="11" width="9" style="107"/>
    <col min="12" max="12" width="21.25" style="107" customWidth="1"/>
    <col min="13" max="16384" width="9" style="107"/>
  </cols>
  <sheetData>
    <row r="1" spans="1:10" ht="18.75">
      <c r="A1" s="145" t="s">
        <v>370</v>
      </c>
      <c r="B1" s="145"/>
      <c r="C1" s="145"/>
      <c r="D1" s="145"/>
      <c r="E1" s="145"/>
      <c r="F1" s="145"/>
      <c r="G1" s="145"/>
      <c r="H1" s="145"/>
      <c r="I1" s="145"/>
      <c r="J1" s="145"/>
    </row>
    <row r="2" spans="1:10" s="111" customFormat="1" ht="85.5">
      <c r="A2" s="108" t="s">
        <v>3</v>
      </c>
      <c r="B2" s="108" t="s">
        <v>371</v>
      </c>
      <c r="C2" s="108" t="s">
        <v>372</v>
      </c>
      <c r="D2" s="108" t="s">
        <v>373</v>
      </c>
      <c r="E2" s="109" t="s">
        <v>374</v>
      </c>
      <c r="F2" s="110" t="s">
        <v>375</v>
      </c>
      <c r="G2" s="108" t="s">
        <v>376</v>
      </c>
      <c r="H2" s="108" t="s">
        <v>377</v>
      </c>
      <c r="I2" s="108" t="s">
        <v>378</v>
      </c>
      <c r="J2" s="109" t="s">
        <v>379</v>
      </c>
    </row>
    <row r="3" spans="1:10" s="111" customFormat="1" ht="54">
      <c r="A3" s="112">
        <v>8</v>
      </c>
      <c r="B3" s="113" t="s">
        <v>356</v>
      </c>
      <c r="C3" s="113" t="s">
        <v>381</v>
      </c>
      <c r="D3" s="117" t="s">
        <v>382</v>
      </c>
      <c r="E3" s="114" t="s">
        <v>383</v>
      </c>
      <c r="F3" s="115">
        <v>42826</v>
      </c>
      <c r="G3" s="112" t="s">
        <v>380</v>
      </c>
      <c r="H3" s="113" t="s">
        <v>384</v>
      </c>
      <c r="I3" s="112" t="s">
        <v>385</v>
      </c>
      <c r="J3" s="116">
        <v>29639.82</v>
      </c>
    </row>
    <row r="4" spans="1:10" s="111" customFormat="1" ht="54">
      <c r="A4" s="112">
        <v>9</v>
      </c>
      <c r="B4" s="113" t="s">
        <v>356</v>
      </c>
      <c r="C4" s="113" t="s">
        <v>381</v>
      </c>
      <c r="D4" s="117" t="s">
        <v>386</v>
      </c>
      <c r="E4" s="114" t="s">
        <v>387</v>
      </c>
      <c r="F4" s="115">
        <v>43466</v>
      </c>
      <c r="G4" s="112" t="s">
        <v>380</v>
      </c>
      <c r="H4" s="113" t="s">
        <v>388</v>
      </c>
      <c r="I4" s="112" t="s">
        <v>389</v>
      </c>
      <c r="J4" s="116">
        <v>65273.27</v>
      </c>
    </row>
    <row r="5" spans="1:10" s="111" customFormat="1">
      <c r="A5" s="112"/>
      <c r="B5" s="113"/>
      <c r="C5" s="113" t="s">
        <v>390</v>
      </c>
      <c r="D5" s="117"/>
      <c r="E5" s="114"/>
      <c r="F5" s="115"/>
      <c r="G5" s="112"/>
      <c r="H5" s="113"/>
      <c r="I5" s="112"/>
      <c r="J5" s="116">
        <f>SUM(J3:J4)</f>
        <v>94913.09</v>
      </c>
    </row>
  </sheetData>
  <mergeCells count="1">
    <mergeCell ref="A1:J1"/>
  </mergeCells>
  <phoneticPr fontId="1" type="noConversion"/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E22"/>
  <sheetViews>
    <sheetView workbookViewId="0">
      <selection activeCell="N3" sqref="N3"/>
    </sheetView>
  </sheetViews>
  <sheetFormatPr defaultColWidth="9" defaultRowHeight="13.5" outlineLevelRow="2"/>
  <cols>
    <col min="1" max="1" width="20.875" style="45" customWidth="1"/>
    <col min="2" max="2" width="35" style="45" customWidth="1"/>
    <col min="3" max="3" width="15.625" style="45" customWidth="1"/>
    <col min="4" max="4" width="20.625" style="45" customWidth="1"/>
    <col min="5" max="5" width="24.75" style="45" customWidth="1"/>
    <col min="6" max="16384" width="9" style="45"/>
  </cols>
  <sheetData>
    <row r="1" spans="1:5" s="35" customFormat="1" ht="20.25">
      <c r="A1" s="146" t="s">
        <v>254</v>
      </c>
      <c r="B1" s="147"/>
      <c r="C1" s="147"/>
      <c r="D1" s="147"/>
      <c r="E1" s="147"/>
    </row>
    <row r="2" spans="1:5" s="37" customFormat="1" ht="17.100000000000001" customHeight="1">
      <c r="A2" s="36" t="s">
        <v>255</v>
      </c>
      <c r="B2" s="36" t="s">
        <v>256</v>
      </c>
      <c r="C2" s="36" t="s">
        <v>320</v>
      </c>
      <c r="D2" s="36" t="s">
        <v>257</v>
      </c>
      <c r="E2" s="36" t="s">
        <v>258</v>
      </c>
    </row>
    <row r="3" spans="1:5" s="37" customFormat="1" ht="17.100000000000001" customHeight="1" outlineLevel="2">
      <c r="A3" s="16" t="s">
        <v>259</v>
      </c>
      <c r="B3" s="40" t="s">
        <v>138</v>
      </c>
      <c r="C3" s="40" t="s">
        <v>324</v>
      </c>
      <c r="D3" s="39">
        <v>275160.5</v>
      </c>
      <c r="E3" s="39">
        <f t="shared" ref="E3:E21" si="0">ROUND(D3*1.1,2)</f>
        <v>302676.55</v>
      </c>
    </row>
    <row r="4" spans="1:5" s="37" customFormat="1" ht="17.100000000000001" customHeight="1" outlineLevel="2">
      <c r="A4" s="16" t="s">
        <v>259</v>
      </c>
      <c r="B4" s="40" t="s">
        <v>139</v>
      </c>
      <c r="C4" s="40" t="s">
        <v>324</v>
      </c>
      <c r="D4" s="39">
        <v>266052.40000000002</v>
      </c>
      <c r="E4" s="39">
        <f t="shared" si="0"/>
        <v>292657.64</v>
      </c>
    </row>
    <row r="5" spans="1:5" s="37" customFormat="1" ht="17.100000000000001" customHeight="1" outlineLevel="2">
      <c r="A5" s="16" t="s">
        <v>259</v>
      </c>
      <c r="B5" s="38" t="s">
        <v>141</v>
      </c>
      <c r="C5" s="38" t="s">
        <v>321</v>
      </c>
      <c r="D5" s="39">
        <v>190670.4</v>
      </c>
      <c r="E5" s="39">
        <f t="shared" si="0"/>
        <v>209737.44</v>
      </c>
    </row>
    <row r="6" spans="1:5" s="37" customFormat="1" ht="17.100000000000001" customHeight="1" outlineLevel="2">
      <c r="A6" s="16" t="s">
        <v>259</v>
      </c>
      <c r="B6" s="40" t="s">
        <v>140</v>
      </c>
      <c r="C6" s="40" t="s">
        <v>324</v>
      </c>
      <c r="D6" s="39">
        <v>229771.8</v>
      </c>
      <c r="E6" s="39">
        <f t="shared" si="0"/>
        <v>252748.98</v>
      </c>
    </row>
    <row r="7" spans="1:5" s="37" customFormat="1" ht="17.100000000000001" customHeight="1" outlineLevel="2">
      <c r="A7" s="16" t="s">
        <v>259</v>
      </c>
      <c r="B7" s="38" t="s">
        <v>146</v>
      </c>
      <c r="C7" s="38" t="s">
        <v>321</v>
      </c>
      <c r="D7" s="39">
        <v>37480</v>
      </c>
      <c r="E7" s="39">
        <f t="shared" si="0"/>
        <v>41228</v>
      </c>
    </row>
    <row r="8" spans="1:5" s="37" customFormat="1" ht="17.100000000000001" customHeight="1" outlineLevel="2">
      <c r="A8" s="16" t="s">
        <v>259</v>
      </c>
      <c r="B8" s="40" t="s">
        <v>142</v>
      </c>
      <c r="C8" s="40" t="s">
        <v>322</v>
      </c>
      <c r="D8" s="39">
        <v>264193.8</v>
      </c>
      <c r="E8" s="39">
        <f t="shared" si="0"/>
        <v>290613.18</v>
      </c>
    </row>
    <row r="9" spans="1:5" s="37" customFormat="1" ht="17.100000000000001" customHeight="1" outlineLevel="2">
      <c r="A9" s="16" t="s">
        <v>259</v>
      </c>
      <c r="B9" s="40" t="s">
        <v>143</v>
      </c>
      <c r="C9" s="40" t="s">
        <v>322</v>
      </c>
      <c r="D9" s="39">
        <v>242458.6</v>
      </c>
      <c r="E9" s="39">
        <f t="shared" si="0"/>
        <v>266704.46000000002</v>
      </c>
    </row>
    <row r="10" spans="1:5" s="37" customFormat="1" ht="17.100000000000001" customHeight="1" outlineLevel="2">
      <c r="A10" s="16" t="s">
        <v>259</v>
      </c>
      <c r="B10" s="40" t="s">
        <v>145</v>
      </c>
      <c r="C10" s="40" t="s">
        <v>322</v>
      </c>
      <c r="D10" s="39">
        <v>149211</v>
      </c>
      <c r="E10" s="39">
        <f t="shared" si="0"/>
        <v>164132.1</v>
      </c>
    </row>
    <row r="11" spans="1:5" s="37" customFormat="1" ht="17.100000000000001" customHeight="1" outlineLevel="2">
      <c r="A11" s="16" t="s">
        <v>259</v>
      </c>
      <c r="B11" s="40" t="s">
        <v>144</v>
      </c>
      <c r="C11" s="40" t="s">
        <v>322</v>
      </c>
      <c r="D11" s="39">
        <v>265218.40000000002</v>
      </c>
      <c r="E11" s="39">
        <f t="shared" si="0"/>
        <v>291740.24</v>
      </c>
    </row>
    <row r="12" spans="1:5" s="37" customFormat="1" ht="17.100000000000001" customHeight="1" outlineLevel="2">
      <c r="A12" s="16" t="s">
        <v>259</v>
      </c>
      <c r="B12" s="44" t="s">
        <v>260</v>
      </c>
      <c r="C12" s="44" t="s">
        <v>322</v>
      </c>
      <c r="D12" s="39">
        <v>176846.3</v>
      </c>
      <c r="E12" s="39">
        <f t="shared" si="0"/>
        <v>194530.93</v>
      </c>
    </row>
    <row r="13" spans="1:5" s="37" customFormat="1" ht="17.100000000000001" customHeight="1" outlineLevel="2">
      <c r="A13" s="16" t="s">
        <v>259</v>
      </c>
      <c r="B13" s="38" t="s">
        <v>261</v>
      </c>
      <c r="C13" s="38" t="s">
        <v>323</v>
      </c>
      <c r="D13" s="39">
        <v>161498.79999999999</v>
      </c>
      <c r="E13" s="39">
        <f t="shared" si="0"/>
        <v>177648.68</v>
      </c>
    </row>
    <row r="14" spans="1:5" s="37" customFormat="1" ht="17.100000000000001" customHeight="1" outlineLevel="2">
      <c r="A14" s="16" t="s">
        <v>259</v>
      </c>
      <c r="B14" s="38" t="s">
        <v>262</v>
      </c>
      <c r="C14" s="38" t="s">
        <v>323</v>
      </c>
      <c r="D14" s="39">
        <v>173582.7</v>
      </c>
      <c r="E14" s="39">
        <f t="shared" si="0"/>
        <v>190940.97</v>
      </c>
    </row>
    <row r="15" spans="1:5" s="37" customFormat="1" ht="17.100000000000001" customHeight="1" outlineLevel="2">
      <c r="A15" s="16" t="s">
        <v>259</v>
      </c>
      <c r="B15" s="38" t="s">
        <v>263</v>
      </c>
      <c r="C15" s="38" t="s">
        <v>323</v>
      </c>
      <c r="D15" s="39">
        <v>145546.4</v>
      </c>
      <c r="E15" s="39">
        <f t="shared" si="0"/>
        <v>160101.04</v>
      </c>
    </row>
    <row r="16" spans="1:5" s="37" customFormat="1" ht="17.100000000000001" customHeight="1" outlineLevel="2">
      <c r="A16" s="16" t="s">
        <v>259</v>
      </c>
      <c r="B16" s="38" t="s">
        <v>264</v>
      </c>
      <c r="C16" s="38" t="s">
        <v>323</v>
      </c>
      <c r="D16" s="39">
        <v>48239.5</v>
      </c>
      <c r="E16" s="39">
        <f t="shared" si="0"/>
        <v>53063.45</v>
      </c>
    </row>
    <row r="17" spans="1:5" s="37" customFormat="1" ht="17.100000000000001" customHeight="1" outlineLevel="2">
      <c r="A17" s="16" t="s">
        <v>259</v>
      </c>
      <c r="B17" s="38" t="s">
        <v>265</v>
      </c>
      <c r="C17" s="38" t="s">
        <v>323</v>
      </c>
      <c r="D17" s="39">
        <v>62856.6</v>
      </c>
      <c r="E17" s="39">
        <f t="shared" si="0"/>
        <v>69142.259999999995</v>
      </c>
    </row>
    <row r="18" spans="1:5" s="37" customFormat="1" ht="17.100000000000001" customHeight="1" outlineLevel="2">
      <c r="A18" s="16" t="s">
        <v>259</v>
      </c>
      <c r="B18" s="38" t="s">
        <v>266</v>
      </c>
      <c r="C18" s="38" t="s">
        <v>323</v>
      </c>
      <c r="D18" s="39">
        <v>60660.1</v>
      </c>
      <c r="E18" s="39">
        <f t="shared" si="0"/>
        <v>66726.11</v>
      </c>
    </row>
    <row r="19" spans="1:5" s="37" customFormat="1" ht="17.100000000000001" customHeight="1" outlineLevel="2">
      <c r="A19" s="16" t="s">
        <v>259</v>
      </c>
      <c r="B19" s="38" t="s">
        <v>267</v>
      </c>
      <c r="C19" s="38" t="s">
        <v>323</v>
      </c>
      <c r="D19" s="39">
        <v>104392.9</v>
      </c>
      <c r="E19" s="39">
        <f t="shared" si="0"/>
        <v>114832.19</v>
      </c>
    </row>
    <row r="20" spans="1:5" s="37" customFormat="1" ht="17.100000000000001" customHeight="1" outlineLevel="2">
      <c r="A20" s="16" t="s">
        <v>259</v>
      </c>
      <c r="B20" s="38" t="s">
        <v>268</v>
      </c>
      <c r="C20" s="38" t="s">
        <v>323</v>
      </c>
      <c r="D20" s="39">
        <v>99826.2</v>
      </c>
      <c r="E20" s="39">
        <f t="shared" si="0"/>
        <v>109808.82</v>
      </c>
    </row>
    <row r="21" spans="1:5" s="37" customFormat="1" ht="17.100000000000001" customHeight="1" outlineLevel="2">
      <c r="A21" s="16" t="s">
        <v>259</v>
      </c>
      <c r="B21" s="38" t="s">
        <v>269</v>
      </c>
      <c r="C21" s="38" t="s">
        <v>325</v>
      </c>
      <c r="D21" s="39">
        <v>18453.5</v>
      </c>
      <c r="E21" s="39">
        <f t="shared" si="0"/>
        <v>20298.849999999999</v>
      </c>
    </row>
    <row r="22" spans="1:5" s="37" customFormat="1" ht="17.100000000000001" customHeight="1" outlineLevel="1">
      <c r="A22" s="41" t="s">
        <v>148</v>
      </c>
      <c r="B22" s="42"/>
      <c r="C22" s="42"/>
      <c r="D22" s="43">
        <f>SUM(D3:D21)</f>
        <v>2972119.9000000008</v>
      </c>
      <c r="E22" s="43">
        <f>SUM(E3:E21)</f>
        <v>3269331.89</v>
      </c>
    </row>
  </sheetData>
  <autoFilter ref="A2:E22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C4"/>
  <sheetViews>
    <sheetView workbookViewId="0">
      <selection activeCell="N3" sqref="N3"/>
    </sheetView>
  </sheetViews>
  <sheetFormatPr defaultRowHeight="13.5"/>
  <cols>
    <col min="1" max="1" width="24.5" customWidth="1"/>
    <col min="2" max="2" width="25" customWidth="1"/>
    <col min="3" max="3" width="23.125" customWidth="1"/>
  </cols>
  <sheetData>
    <row r="1" spans="1:3" ht="20.25">
      <c r="A1" s="148" t="s">
        <v>310</v>
      </c>
      <c r="B1" s="148"/>
      <c r="C1" s="148"/>
    </row>
    <row r="2" spans="1:3" ht="24.95" customHeight="1">
      <c r="A2" s="6" t="s">
        <v>147</v>
      </c>
      <c r="B2" s="6" t="s">
        <v>152</v>
      </c>
      <c r="C2" s="6" t="s">
        <v>153</v>
      </c>
    </row>
    <row r="3" spans="1:3" ht="24.95" customHeight="1">
      <c r="A3" s="7" t="s">
        <v>2</v>
      </c>
      <c r="B3" s="8">
        <v>308002</v>
      </c>
      <c r="C3" s="5">
        <f t="shared" ref="C3" si="0">B3*3</f>
        <v>924006</v>
      </c>
    </row>
    <row r="4" spans="1:3" ht="24.95" customHeight="1">
      <c r="A4" s="9" t="s">
        <v>151</v>
      </c>
      <c r="B4" s="10">
        <f>SUM(B3:B3)</f>
        <v>308002</v>
      </c>
      <c r="C4" s="10">
        <f>SUM(C3:C3)</f>
        <v>924006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J35"/>
  <sheetViews>
    <sheetView workbookViewId="0">
      <selection activeCell="N3" sqref="N3"/>
    </sheetView>
  </sheetViews>
  <sheetFormatPr defaultRowHeight="14.25" outlineLevelRow="2"/>
  <cols>
    <col min="1" max="1" width="37.5" style="64" customWidth="1"/>
    <col min="2" max="2" width="11.625" style="65" customWidth="1"/>
    <col min="3" max="3" width="13.5" style="4" customWidth="1"/>
    <col min="4" max="5" width="7.625" style="4" customWidth="1"/>
    <col min="6" max="6" width="12.625" style="69" customWidth="1"/>
    <col min="7" max="7" width="15.75" style="70" customWidth="1"/>
    <col min="8" max="8" width="6.25" style="4" hidden="1" customWidth="1"/>
    <col min="9" max="9" width="25.875" style="4" hidden="1" customWidth="1"/>
    <col min="10" max="10" width="31.25" style="68" customWidth="1"/>
    <col min="11" max="16384" width="9" style="4"/>
  </cols>
  <sheetData>
    <row r="1" spans="1:10" ht="32.1" customHeight="1">
      <c r="A1" s="149" t="s">
        <v>319</v>
      </c>
      <c r="B1" s="149"/>
      <c r="C1" s="149"/>
      <c r="D1" s="149"/>
      <c r="E1" s="149"/>
      <c r="F1" s="149"/>
      <c r="G1" s="149"/>
      <c r="H1" s="149"/>
      <c r="I1" s="149"/>
      <c r="J1" s="149"/>
    </row>
    <row r="2" spans="1:10" ht="14.1" customHeight="1">
      <c r="A2" s="71" t="s">
        <v>170</v>
      </c>
      <c r="B2" s="71" t="s">
        <v>171</v>
      </c>
      <c r="C2" s="72" t="s">
        <v>172</v>
      </c>
      <c r="D2" s="71" t="s">
        <v>173</v>
      </c>
      <c r="E2" s="71" t="s">
        <v>174</v>
      </c>
      <c r="F2" s="73" t="s">
        <v>175</v>
      </c>
      <c r="G2" s="74" t="s">
        <v>176</v>
      </c>
      <c r="H2" s="71" t="s">
        <v>177</v>
      </c>
      <c r="I2" s="75" t="s">
        <v>178</v>
      </c>
      <c r="J2" s="72" t="s">
        <v>178</v>
      </c>
    </row>
    <row r="3" spans="1:10" s="17" customFormat="1" ht="14.1" customHeight="1" outlineLevel="2">
      <c r="A3" s="76" t="s">
        <v>207</v>
      </c>
      <c r="B3" s="77" t="s">
        <v>206</v>
      </c>
      <c r="C3" s="82" t="s">
        <v>183</v>
      </c>
      <c r="D3" s="78">
        <v>1</v>
      </c>
      <c r="E3" s="82">
        <v>5</v>
      </c>
      <c r="F3" s="79">
        <v>105000</v>
      </c>
      <c r="G3" s="79">
        <f t="shared" ref="G3:G30" si="0">F3*E3</f>
        <v>525000</v>
      </c>
      <c r="H3" s="18" t="s">
        <v>184</v>
      </c>
      <c r="I3" s="78"/>
      <c r="J3" s="19"/>
    </row>
    <row r="4" spans="1:10" s="17" customFormat="1" ht="14.1" customHeight="1" outlineLevel="2">
      <c r="A4" s="76" t="s">
        <v>208</v>
      </c>
      <c r="B4" s="77" t="s">
        <v>206</v>
      </c>
      <c r="C4" s="82" t="s">
        <v>183</v>
      </c>
      <c r="D4" s="78">
        <v>1</v>
      </c>
      <c r="E4" s="82">
        <v>5</v>
      </c>
      <c r="F4" s="79">
        <v>105000</v>
      </c>
      <c r="G4" s="79">
        <f t="shared" si="0"/>
        <v>525000</v>
      </c>
      <c r="H4" s="18" t="s">
        <v>184</v>
      </c>
      <c r="I4" s="78"/>
      <c r="J4" s="19"/>
    </row>
    <row r="5" spans="1:10" s="17" customFormat="1" ht="14.1" customHeight="1" outlineLevel="2">
      <c r="A5" s="76" t="s">
        <v>209</v>
      </c>
      <c r="B5" s="77" t="s">
        <v>205</v>
      </c>
      <c r="C5" s="82" t="s">
        <v>183</v>
      </c>
      <c r="D5" s="78">
        <v>1</v>
      </c>
      <c r="E5" s="82">
        <v>5</v>
      </c>
      <c r="F5" s="79">
        <v>105000</v>
      </c>
      <c r="G5" s="79">
        <f t="shared" si="0"/>
        <v>525000</v>
      </c>
      <c r="H5" s="18" t="s">
        <v>184</v>
      </c>
      <c r="I5" s="78"/>
      <c r="J5" s="19"/>
    </row>
    <row r="6" spans="1:10" s="17" customFormat="1" ht="14.1" customHeight="1" outlineLevel="2">
      <c r="A6" s="81" t="s">
        <v>311</v>
      </c>
      <c r="B6" s="77" t="s">
        <v>205</v>
      </c>
      <c r="C6" s="82" t="s">
        <v>183</v>
      </c>
      <c r="D6" s="78">
        <v>1</v>
      </c>
      <c r="E6" s="82">
        <v>6</v>
      </c>
      <c r="F6" s="79">
        <v>105000</v>
      </c>
      <c r="G6" s="79">
        <f t="shared" si="0"/>
        <v>630000</v>
      </c>
      <c r="H6" s="18" t="s">
        <v>184</v>
      </c>
      <c r="I6" s="78" t="s">
        <v>194</v>
      </c>
      <c r="J6" s="19" t="s">
        <v>210</v>
      </c>
    </row>
    <row r="7" spans="1:10" s="17" customFormat="1" ht="14.1" customHeight="1" outlineLevel="2">
      <c r="A7" s="76" t="s">
        <v>211</v>
      </c>
      <c r="B7" s="77" t="s">
        <v>205</v>
      </c>
      <c r="C7" s="82" t="s">
        <v>183</v>
      </c>
      <c r="D7" s="78">
        <v>1</v>
      </c>
      <c r="E7" s="82">
        <v>5</v>
      </c>
      <c r="F7" s="79">
        <v>105000</v>
      </c>
      <c r="G7" s="79">
        <f t="shared" si="0"/>
        <v>525000</v>
      </c>
      <c r="H7" s="18" t="s">
        <v>184</v>
      </c>
      <c r="I7" s="78"/>
      <c r="J7" s="19"/>
    </row>
    <row r="8" spans="1:10" s="17" customFormat="1" ht="14.1" customHeight="1" outlineLevel="2">
      <c r="A8" s="81" t="s">
        <v>144</v>
      </c>
      <c r="B8" s="77" t="s">
        <v>205</v>
      </c>
      <c r="C8" s="82" t="s">
        <v>183</v>
      </c>
      <c r="D8" s="78">
        <v>2</v>
      </c>
      <c r="E8" s="82">
        <v>10</v>
      </c>
      <c r="F8" s="79">
        <v>105000</v>
      </c>
      <c r="G8" s="79">
        <f t="shared" si="0"/>
        <v>1050000</v>
      </c>
      <c r="H8" s="18" t="s">
        <v>184</v>
      </c>
      <c r="I8" s="18" t="s">
        <v>312</v>
      </c>
      <c r="J8" s="19"/>
    </row>
    <row r="9" spans="1:10" s="17" customFormat="1" ht="14.1" customHeight="1" outlineLevel="2">
      <c r="A9" s="81" t="s">
        <v>212</v>
      </c>
      <c r="B9" s="77" t="s">
        <v>206</v>
      </c>
      <c r="C9" s="82" t="s">
        <v>183</v>
      </c>
      <c r="D9" s="78">
        <v>2</v>
      </c>
      <c r="E9" s="82">
        <v>6</v>
      </c>
      <c r="F9" s="79">
        <v>105000</v>
      </c>
      <c r="G9" s="79">
        <f t="shared" si="0"/>
        <v>630000</v>
      </c>
      <c r="H9" s="18" t="s">
        <v>184</v>
      </c>
      <c r="I9" s="78"/>
      <c r="J9" s="19" t="s">
        <v>313</v>
      </c>
    </row>
    <row r="10" spans="1:10" s="17" customFormat="1" ht="14.1" customHeight="1" outlineLevel="2">
      <c r="A10" s="81" t="s">
        <v>213</v>
      </c>
      <c r="B10" s="77" t="s">
        <v>206</v>
      </c>
      <c r="C10" s="77" t="s">
        <v>197</v>
      </c>
      <c r="D10" s="78">
        <v>1</v>
      </c>
      <c r="E10" s="82">
        <v>5</v>
      </c>
      <c r="F10" s="79">
        <v>105000</v>
      </c>
      <c r="G10" s="79">
        <f t="shared" si="0"/>
        <v>525000</v>
      </c>
      <c r="H10" s="18"/>
      <c r="I10" s="78"/>
      <c r="J10" s="19" t="s">
        <v>180</v>
      </c>
    </row>
    <row r="11" spans="1:10" s="17" customFormat="1" ht="14.1" customHeight="1" outlineLevel="2">
      <c r="A11" s="76" t="s">
        <v>214</v>
      </c>
      <c r="B11" s="77" t="s">
        <v>205</v>
      </c>
      <c r="C11" s="82" t="s">
        <v>183</v>
      </c>
      <c r="D11" s="78">
        <v>1</v>
      </c>
      <c r="E11" s="82">
        <v>5</v>
      </c>
      <c r="F11" s="79">
        <v>105000</v>
      </c>
      <c r="G11" s="79">
        <f t="shared" si="0"/>
        <v>525000</v>
      </c>
      <c r="H11" s="18" t="s">
        <v>184</v>
      </c>
      <c r="I11" s="78"/>
      <c r="J11" s="19"/>
    </row>
    <row r="12" spans="1:10" s="17" customFormat="1" ht="14.1" customHeight="1" outlineLevel="2">
      <c r="A12" s="81" t="s">
        <v>215</v>
      </c>
      <c r="B12" s="77" t="s">
        <v>205</v>
      </c>
      <c r="C12" s="82" t="s">
        <v>183</v>
      </c>
      <c r="D12" s="78">
        <v>1</v>
      </c>
      <c r="E12" s="82">
        <v>5</v>
      </c>
      <c r="F12" s="79">
        <v>105000</v>
      </c>
      <c r="G12" s="79">
        <f t="shared" si="0"/>
        <v>525000</v>
      </c>
      <c r="H12" s="18" t="s">
        <v>184</v>
      </c>
      <c r="I12" s="78"/>
      <c r="J12" s="19"/>
    </row>
    <row r="13" spans="1:10" s="17" customFormat="1" ht="14.1" customHeight="1" outlineLevel="2">
      <c r="A13" s="81" t="s">
        <v>216</v>
      </c>
      <c r="B13" s="77" t="s">
        <v>204</v>
      </c>
      <c r="C13" s="82" t="s">
        <v>183</v>
      </c>
      <c r="D13" s="78">
        <v>3</v>
      </c>
      <c r="E13" s="82">
        <v>12</v>
      </c>
      <c r="F13" s="79">
        <v>105000</v>
      </c>
      <c r="G13" s="79">
        <f t="shared" si="0"/>
        <v>1260000</v>
      </c>
      <c r="H13" s="18"/>
      <c r="I13" s="78"/>
      <c r="J13" s="86" t="s">
        <v>314</v>
      </c>
    </row>
    <row r="14" spans="1:10" s="17" customFormat="1" ht="14.1" customHeight="1" outlineLevel="2">
      <c r="A14" s="81" t="s">
        <v>146</v>
      </c>
      <c r="B14" s="77" t="s">
        <v>204</v>
      </c>
      <c r="C14" s="77" t="s">
        <v>197</v>
      </c>
      <c r="D14" s="78">
        <v>1</v>
      </c>
      <c r="E14" s="82">
        <v>5</v>
      </c>
      <c r="F14" s="79">
        <v>105000</v>
      </c>
      <c r="G14" s="79">
        <f t="shared" si="0"/>
        <v>525000</v>
      </c>
      <c r="H14" s="18"/>
      <c r="I14" s="78"/>
      <c r="J14" s="19" t="s">
        <v>315</v>
      </c>
    </row>
    <row r="15" spans="1:10" s="17" customFormat="1" ht="14.1" customHeight="1" outlineLevel="2">
      <c r="A15" s="76" t="s">
        <v>182</v>
      </c>
      <c r="B15" s="77" t="s">
        <v>179</v>
      </c>
      <c r="C15" s="82" t="s">
        <v>183</v>
      </c>
      <c r="D15" s="78">
        <v>1</v>
      </c>
      <c r="E15" s="82">
        <v>5</v>
      </c>
      <c r="F15" s="79">
        <v>105000</v>
      </c>
      <c r="G15" s="79">
        <f t="shared" si="0"/>
        <v>525000</v>
      </c>
      <c r="H15" s="18" t="s">
        <v>184</v>
      </c>
      <c r="I15" s="78"/>
      <c r="J15" s="19"/>
    </row>
    <row r="16" spans="1:10" s="17" customFormat="1" ht="14.1" customHeight="1" outlineLevel="2">
      <c r="A16" s="81" t="s">
        <v>185</v>
      </c>
      <c r="B16" s="77" t="s">
        <v>179</v>
      </c>
      <c r="C16" s="82" t="s">
        <v>183</v>
      </c>
      <c r="D16" s="78">
        <v>1</v>
      </c>
      <c r="E16" s="82">
        <v>5</v>
      </c>
      <c r="F16" s="79">
        <v>105000</v>
      </c>
      <c r="G16" s="79">
        <f t="shared" si="0"/>
        <v>525000</v>
      </c>
      <c r="H16" s="18" t="s">
        <v>184</v>
      </c>
      <c r="I16" s="78"/>
      <c r="J16" s="19"/>
    </row>
    <row r="17" spans="1:10" s="17" customFormat="1" ht="14.1" customHeight="1" outlineLevel="2">
      <c r="A17" s="76" t="s">
        <v>186</v>
      </c>
      <c r="B17" s="77" t="s">
        <v>179</v>
      </c>
      <c r="C17" s="82" t="s">
        <v>183</v>
      </c>
      <c r="D17" s="78">
        <v>1</v>
      </c>
      <c r="E17" s="82">
        <v>5</v>
      </c>
      <c r="F17" s="79">
        <v>105000</v>
      </c>
      <c r="G17" s="79">
        <f t="shared" si="0"/>
        <v>525000</v>
      </c>
      <c r="H17" s="18" t="s">
        <v>184</v>
      </c>
      <c r="I17" s="78"/>
      <c r="J17" s="19"/>
    </row>
    <row r="18" spans="1:10" s="17" customFormat="1" ht="14.1" customHeight="1" outlineLevel="2">
      <c r="A18" s="81" t="s">
        <v>187</v>
      </c>
      <c r="B18" s="77" t="s">
        <v>179</v>
      </c>
      <c r="C18" s="82" t="s">
        <v>183</v>
      </c>
      <c r="D18" s="78">
        <v>1</v>
      </c>
      <c r="E18" s="82">
        <v>5</v>
      </c>
      <c r="F18" s="79">
        <v>105000</v>
      </c>
      <c r="G18" s="79">
        <f t="shared" si="0"/>
        <v>525000</v>
      </c>
      <c r="H18" s="18" t="s">
        <v>184</v>
      </c>
      <c r="I18" s="78"/>
      <c r="J18" s="19"/>
    </row>
    <row r="19" spans="1:10" s="17" customFormat="1" ht="14.1" customHeight="1" outlineLevel="2">
      <c r="A19" s="81" t="s">
        <v>188</v>
      </c>
      <c r="B19" s="77" t="s">
        <v>179</v>
      </c>
      <c r="C19" s="82" t="s">
        <v>183</v>
      </c>
      <c r="D19" s="78">
        <v>1</v>
      </c>
      <c r="E19" s="82">
        <v>5</v>
      </c>
      <c r="F19" s="79">
        <v>105000</v>
      </c>
      <c r="G19" s="79">
        <f t="shared" si="0"/>
        <v>525000</v>
      </c>
      <c r="H19" s="18" t="s">
        <v>184</v>
      </c>
      <c r="I19" s="78"/>
      <c r="J19" s="19"/>
    </row>
    <row r="20" spans="1:10" s="17" customFormat="1" ht="14.1" customHeight="1" outlineLevel="2">
      <c r="A20" s="81" t="s">
        <v>189</v>
      </c>
      <c r="B20" s="77" t="s">
        <v>179</v>
      </c>
      <c r="C20" s="82" t="s">
        <v>183</v>
      </c>
      <c r="D20" s="78">
        <v>1</v>
      </c>
      <c r="E20" s="82">
        <v>5</v>
      </c>
      <c r="F20" s="79">
        <v>105000</v>
      </c>
      <c r="G20" s="79">
        <f t="shared" si="0"/>
        <v>525000</v>
      </c>
      <c r="H20" s="18"/>
      <c r="I20" s="78"/>
      <c r="J20" s="19" t="s">
        <v>181</v>
      </c>
    </row>
    <row r="21" spans="1:10" s="17" customFormat="1" ht="14.1" customHeight="1" outlineLevel="2">
      <c r="A21" s="81" t="s">
        <v>190</v>
      </c>
      <c r="B21" s="77" t="s">
        <v>179</v>
      </c>
      <c r="C21" s="82" t="s">
        <v>183</v>
      </c>
      <c r="D21" s="78">
        <v>1</v>
      </c>
      <c r="E21" s="82">
        <v>5</v>
      </c>
      <c r="F21" s="79">
        <v>105000</v>
      </c>
      <c r="G21" s="79">
        <f t="shared" si="0"/>
        <v>525000</v>
      </c>
      <c r="H21" s="18" t="s">
        <v>184</v>
      </c>
      <c r="I21" s="78"/>
      <c r="J21" s="83"/>
    </row>
    <row r="22" spans="1:10" s="17" customFormat="1" ht="14.1" customHeight="1" outlineLevel="2">
      <c r="A22" s="81" t="s">
        <v>191</v>
      </c>
      <c r="B22" s="77" t="s">
        <v>179</v>
      </c>
      <c r="C22" s="82" t="s">
        <v>183</v>
      </c>
      <c r="D22" s="78">
        <v>1</v>
      </c>
      <c r="E22" s="82">
        <v>5</v>
      </c>
      <c r="F22" s="79">
        <v>105000</v>
      </c>
      <c r="G22" s="79">
        <f t="shared" si="0"/>
        <v>525000</v>
      </c>
      <c r="H22" s="18" t="s">
        <v>184</v>
      </c>
      <c r="I22" s="82"/>
      <c r="J22" s="83"/>
    </row>
    <row r="23" spans="1:10" s="17" customFormat="1" ht="14.1" customHeight="1" outlineLevel="2">
      <c r="A23" s="76" t="s">
        <v>192</v>
      </c>
      <c r="B23" s="77" t="s">
        <v>179</v>
      </c>
      <c r="C23" s="82" t="s">
        <v>183</v>
      </c>
      <c r="D23" s="78">
        <v>1</v>
      </c>
      <c r="E23" s="82">
        <v>5</v>
      </c>
      <c r="F23" s="79">
        <v>105000</v>
      </c>
      <c r="G23" s="79">
        <f t="shared" si="0"/>
        <v>525000</v>
      </c>
      <c r="H23" s="18" t="s">
        <v>184</v>
      </c>
      <c r="I23" s="78"/>
      <c r="J23" s="19"/>
    </row>
    <row r="24" spans="1:10" s="17" customFormat="1" ht="14.1" customHeight="1" outlineLevel="2">
      <c r="A24" s="81" t="s">
        <v>193</v>
      </c>
      <c r="B24" s="77" t="s">
        <v>179</v>
      </c>
      <c r="C24" s="82" t="s">
        <v>183</v>
      </c>
      <c r="D24" s="78">
        <v>1</v>
      </c>
      <c r="E24" s="82">
        <v>5</v>
      </c>
      <c r="F24" s="79">
        <v>105000</v>
      </c>
      <c r="G24" s="79">
        <f t="shared" si="0"/>
        <v>525000</v>
      </c>
      <c r="H24" s="18" t="s">
        <v>184</v>
      </c>
      <c r="I24" s="78" t="s">
        <v>194</v>
      </c>
      <c r="J24" s="19"/>
    </row>
    <row r="25" spans="1:10" s="17" customFormat="1" ht="14.1" customHeight="1" outlineLevel="2">
      <c r="A25" s="81" t="s">
        <v>195</v>
      </c>
      <c r="B25" s="77" t="s">
        <v>179</v>
      </c>
      <c r="C25" s="82" t="s">
        <v>183</v>
      </c>
      <c r="D25" s="78">
        <v>1</v>
      </c>
      <c r="E25" s="82">
        <v>5</v>
      </c>
      <c r="F25" s="79">
        <v>105000</v>
      </c>
      <c r="G25" s="79">
        <f t="shared" si="0"/>
        <v>525000</v>
      </c>
      <c r="H25" s="18" t="s">
        <v>184</v>
      </c>
      <c r="I25" s="78"/>
      <c r="J25" s="19"/>
    </row>
    <row r="26" spans="1:10" s="17" customFormat="1" ht="14.1" customHeight="1" outlineLevel="2">
      <c r="A26" s="81" t="s">
        <v>196</v>
      </c>
      <c r="B26" s="77" t="s">
        <v>179</v>
      </c>
      <c r="C26" s="77" t="s">
        <v>197</v>
      </c>
      <c r="D26" s="78">
        <v>1</v>
      </c>
      <c r="E26" s="82">
        <v>5</v>
      </c>
      <c r="F26" s="79">
        <v>105000</v>
      </c>
      <c r="G26" s="79">
        <f t="shared" si="0"/>
        <v>525000</v>
      </c>
      <c r="H26" s="18"/>
      <c r="I26" s="78"/>
      <c r="J26" s="19" t="s">
        <v>180</v>
      </c>
    </row>
    <row r="27" spans="1:10" s="17" customFormat="1" ht="14.1" customHeight="1" outlineLevel="2">
      <c r="A27" s="76" t="s">
        <v>198</v>
      </c>
      <c r="B27" s="77" t="s">
        <v>179</v>
      </c>
      <c r="C27" s="82" t="s">
        <v>183</v>
      </c>
      <c r="D27" s="78">
        <v>1</v>
      </c>
      <c r="E27" s="82">
        <v>5</v>
      </c>
      <c r="F27" s="79">
        <v>105000</v>
      </c>
      <c r="G27" s="79">
        <f t="shared" si="0"/>
        <v>525000</v>
      </c>
      <c r="H27" s="18" t="s">
        <v>184</v>
      </c>
      <c r="I27" s="78"/>
      <c r="J27" s="19"/>
    </row>
    <row r="28" spans="1:10" s="17" customFormat="1" ht="14.1" customHeight="1" outlineLevel="2">
      <c r="A28" s="81" t="s">
        <v>199</v>
      </c>
      <c r="B28" s="77" t="s">
        <v>179</v>
      </c>
      <c r="C28" s="82" t="s">
        <v>183</v>
      </c>
      <c r="D28" s="78">
        <v>1</v>
      </c>
      <c r="E28" s="82">
        <v>5</v>
      </c>
      <c r="F28" s="79">
        <v>105000</v>
      </c>
      <c r="G28" s="79">
        <f t="shared" si="0"/>
        <v>525000</v>
      </c>
      <c r="H28" s="18" t="s">
        <v>184</v>
      </c>
      <c r="I28" s="78"/>
      <c r="J28" s="19"/>
    </row>
    <row r="29" spans="1:10" s="17" customFormat="1" ht="14.1" customHeight="1" outlineLevel="2">
      <c r="A29" s="81" t="s">
        <v>200</v>
      </c>
      <c r="B29" s="77" t="s">
        <v>179</v>
      </c>
      <c r="C29" s="82" t="s">
        <v>183</v>
      </c>
      <c r="D29" s="78">
        <v>1</v>
      </c>
      <c r="E29" s="82">
        <v>5</v>
      </c>
      <c r="F29" s="79">
        <v>105000</v>
      </c>
      <c r="G29" s="79">
        <f t="shared" si="0"/>
        <v>525000</v>
      </c>
      <c r="H29" s="18" t="s">
        <v>184</v>
      </c>
      <c r="I29" s="78" t="s">
        <v>194</v>
      </c>
      <c r="J29" s="19"/>
    </row>
    <row r="30" spans="1:10" s="17" customFormat="1" ht="14.1" customHeight="1" outlineLevel="2">
      <c r="A30" s="81" t="s">
        <v>201</v>
      </c>
      <c r="B30" s="77" t="s">
        <v>202</v>
      </c>
      <c r="C30" s="82" t="s">
        <v>183</v>
      </c>
      <c r="D30" s="78">
        <v>1</v>
      </c>
      <c r="E30" s="82">
        <v>5</v>
      </c>
      <c r="F30" s="79">
        <v>105000</v>
      </c>
      <c r="G30" s="79">
        <f t="shared" si="0"/>
        <v>525000</v>
      </c>
      <c r="H30" s="18" t="s">
        <v>184</v>
      </c>
      <c r="I30" s="87" t="s">
        <v>203</v>
      </c>
      <c r="J30" s="19"/>
    </row>
    <row r="31" spans="1:10" s="17" customFormat="1" ht="14.1" customHeight="1" outlineLevel="2">
      <c r="A31" s="84" t="s">
        <v>217</v>
      </c>
      <c r="B31" s="77" t="s">
        <v>316</v>
      </c>
      <c r="C31" s="82" t="s">
        <v>317</v>
      </c>
      <c r="D31" s="78">
        <v>1</v>
      </c>
      <c r="E31" s="78">
        <v>5</v>
      </c>
      <c r="F31" s="80">
        <v>105000</v>
      </c>
      <c r="G31" s="80">
        <f t="shared" ref="G31:G32" si="1">ROUND(F31*E31,2)</f>
        <v>525000</v>
      </c>
      <c r="H31" s="18"/>
      <c r="I31" s="78"/>
      <c r="J31" s="19"/>
    </row>
    <row r="32" spans="1:10" s="17" customFormat="1" ht="14.1" customHeight="1" outlineLevel="2">
      <c r="A32" s="84" t="s">
        <v>218</v>
      </c>
      <c r="B32" s="77" t="s">
        <v>316</v>
      </c>
      <c r="C32" s="82" t="s">
        <v>317</v>
      </c>
      <c r="D32" s="78">
        <v>1</v>
      </c>
      <c r="E32" s="78">
        <v>5</v>
      </c>
      <c r="F32" s="80">
        <v>105000</v>
      </c>
      <c r="G32" s="80">
        <f t="shared" si="1"/>
        <v>525000</v>
      </c>
      <c r="H32" s="18"/>
      <c r="I32" s="78"/>
      <c r="J32" s="19"/>
    </row>
    <row r="33" spans="1:10" s="17" customFormat="1" ht="14.1" customHeight="1" outlineLevel="1">
      <c r="A33" s="84"/>
      <c r="B33" s="77"/>
      <c r="C33" s="85" t="s">
        <v>318</v>
      </c>
      <c r="D33" s="78">
        <f>SUBTOTAL(9,D3:D32)</f>
        <v>34</v>
      </c>
      <c r="E33" s="78">
        <f>SUBTOTAL(9,E3:E32)</f>
        <v>164</v>
      </c>
      <c r="F33" s="80"/>
      <c r="G33" s="80">
        <f>SUBTOTAL(9,G3:G32)</f>
        <v>17220000</v>
      </c>
      <c r="H33" s="18"/>
      <c r="I33" s="78"/>
      <c r="J33" s="19"/>
    </row>
    <row r="34" spans="1:10">
      <c r="F34" s="66"/>
      <c r="G34" s="67"/>
    </row>
    <row r="35" spans="1:10">
      <c r="F35" s="66"/>
      <c r="G35" s="67"/>
    </row>
  </sheetData>
  <autoFilter ref="A2:J33"/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AO22"/>
  <sheetViews>
    <sheetView topLeftCell="B1" workbookViewId="0">
      <pane xSplit="2" ySplit="1" topLeftCell="D2" activePane="bottomRight" state="frozen"/>
      <selection activeCell="N3" sqref="N3"/>
      <selection pane="topRight" activeCell="N3" sqref="N3"/>
      <selection pane="bottomLeft" activeCell="N3" sqref="N3"/>
      <selection pane="bottomRight" activeCell="N3" sqref="N3"/>
    </sheetView>
  </sheetViews>
  <sheetFormatPr defaultColWidth="9" defaultRowHeight="11.25"/>
  <cols>
    <col min="1" max="1" width="8.125" style="20" hidden="1" customWidth="1"/>
    <col min="2" max="2" width="20.375" style="20" customWidth="1"/>
    <col min="3" max="3" width="5.75" style="20" customWidth="1"/>
    <col min="4" max="4" width="9.75" style="20" hidden="1" customWidth="1"/>
    <col min="5" max="18" width="9" style="20" hidden="1" customWidth="1"/>
    <col min="19" max="19" width="9" style="34" hidden="1" customWidth="1"/>
    <col min="20" max="23" width="9" style="20" hidden="1" customWidth="1"/>
    <col min="24" max="24" width="9" style="34" hidden="1" customWidth="1"/>
    <col min="25" max="25" width="8.375" style="20" customWidth="1"/>
    <col min="26" max="26" width="9.625" style="20" customWidth="1"/>
    <col min="27" max="27" width="9.375" style="20" customWidth="1"/>
    <col min="28" max="28" width="12.5" style="20" customWidth="1"/>
    <col min="29" max="29" width="9.875" style="20" customWidth="1"/>
    <col min="30" max="30" width="11.625" style="20" customWidth="1"/>
    <col min="31" max="31" width="10.5" style="20" customWidth="1"/>
    <col min="32" max="32" width="10.875" style="20" customWidth="1"/>
    <col min="33" max="33" width="11.375" style="20" customWidth="1"/>
    <col min="34" max="34" width="11.625" style="20" customWidth="1"/>
    <col min="35" max="35" width="11.375" style="20" customWidth="1"/>
    <col min="36" max="36" width="9.5" style="20" bestFit="1" customWidth="1"/>
    <col min="37" max="37" width="11" style="20" customWidth="1"/>
    <col min="38" max="38" width="12.125" style="20" customWidth="1"/>
    <col min="39" max="39" width="12.5" style="30" customWidth="1"/>
    <col min="40" max="40" width="10.5" style="62" customWidth="1"/>
    <col min="41" max="41" width="13" style="63" bestFit="1" customWidth="1"/>
    <col min="42" max="16384" width="9" style="20"/>
  </cols>
  <sheetData>
    <row r="1" spans="1:41" ht="18.75">
      <c r="A1" s="152" t="s">
        <v>326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  <c r="O1" s="153"/>
      <c r="P1" s="153"/>
      <c r="Q1" s="153"/>
      <c r="R1" s="153"/>
      <c r="S1" s="153"/>
      <c r="T1" s="153"/>
      <c r="U1" s="153"/>
      <c r="V1" s="153"/>
      <c r="W1" s="153"/>
      <c r="X1" s="153"/>
      <c r="Y1" s="153"/>
      <c r="Z1" s="153"/>
      <c r="AA1" s="153"/>
      <c r="AB1" s="153"/>
      <c r="AC1" s="153"/>
      <c r="AD1" s="153"/>
      <c r="AE1" s="153"/>
      <c r="AF1" s="153"/>
      <c r="AG1" s="153"/>
      <c r="AH1" s="153"/>
      <c r="AI1" s="153"/>
      <c r="AJ1" s="153"/>
      <c r="AK1" s="153"/>
      <c r="AL1" s="153"/>
      <c r="AM1" s="153"/>
      <c r="AN1" s="154"/>
      <c r="AO1" s="154"/>
    </row>
    <row r="2" spans="1:41" ht="11.25" customHeight="1">
      <c r="A2" s="155" t="s">
        <v>219</v>
      </c>
      <c r="B2" s="155" t="s">
        <v>220</v>
      </c>
      <c r="C2" s="155" t="s">
        <v>320</v>
      </c>
      <c r="D2" s="155" t="s">
        <v>221</v>
      </c>
      <c r="E2" s="155" t="s">
        <v>222</v>
      </c>
      <c r="F2" s="155"/>
      <c r="G2" s="155"/>
      <c r="H2" s="155"/>
      <c r="I2" s="155"/>
      <c r="J2" s="155" t="s">
        <v>327</v>
      </c>
      <c r="K2" s="155"/>
      <c r="L2" s="155"/>
      <c r="M2" s="155"/>
      <c r="N2" s="155"/>
      <c r="O2" s="156" t="s">
        <v>223</v>
      </c>
      <c r="P2" s="156"/>
      <c r="Q2" s="156"/>
      <c r="R2" s="156"/>
      <c r="S2" s="156"/>
      <c r="T2" s="156" t="s">
        <v>224</v>
      </c>
      <c r="U2" s="156"/>
      <c r="V2" s="156"/>
      <c r="W2" s="156"/>
      <c r="X2" s="156"/>
      <c r="Y2" s="156" t="s">
        <v>225</v>
      </c>
      <c r="Z2" s="156"/>
      <c r="AA2" s="156"/>
      <c r="AB2" s="156"/>
      <c r="AC2" s="156"/>
      <c r="AD2" s="155" t="s">
        <v>328</v>
      </c>
      <c r="AE2" s="155"/>
      <c r="AF2" s="155"/>
      <c r="AG2" s="155"/>
      <c r="AH2" s="155"/>
      <c r="AI2" s="155"/>
      <c r="AJ2" s="155"/>
      <c r="AK2" s="155"/>
      <c r="AL2" s="155"/>
      <c r="AM2" s="155"/>
      <c r="AN2" s="150" t="s">
        <v>329</v>
      </c>
      <c r="AO2" s="150" t="s">
        <v>151</v>
      </c>
    </row>
    <row r="3" spans="1:41" ht="33.75">
      <c r="A3" s="155"/>
      <c r="B3" s="155"/>
      <c r="C3" s="155"/>
      <c r="D3" s="155"/>
      <c r="E3" s="21" t="s">
        <v>226</v>
      </c>
      <c r="F3" s="21" t="s">
        <v>227</v>
      </c>
      <c r="G3" s="21" t="s">
        <v>228</v>
      </c>
      <c r="H3" s="21" t="s">
        <v>229</v>
      </c>
      <c r="I3" s="89" t="s">
        <v>8</v>
      </c>
      <c r="J3" s="21" t="s">
        <v>226</v>
      </c>
      <c r="K3" s="21" t="s">
        <v>227</v>
      </c>
      <c r="L3" s="21" t="s">
        <v>228</v>
      </c>
      <c r="M3" s="21" t="s">
        <v>229</v>
      </c>
      <c r="N3" s="89" t="s">
        <v>8</v>
      </c>
      <c r="O3" s="21" t="s">
        <v>226</v>
      </c>
      <c r="P3" s="21" t="s">
        <v>227</v>
      </c>
      <c r="Q3" s="21" t="s">
        <v>228</v>
      </c>
      <c r="R3" s="21" t="s">
        <v>229</v>
      </c>
      <c r="S3" s="32" t="s">
        <v>8</v>
      </c>
      <c r="T3" s="21" t="s">
        <v>226</v>
      </c>
      <c r="U3" s="21" t="s">
        <v>227</v>
      </c>
      <c r="V3" s="21" t="s">
        <v>228</v>
      </c>
      <c r="W3" s="21" t="s">
        <v>229</v>
      </c>
      <c r="X3" s="32" t="s">
        <v>8</v>
      </c>
      <c r="Y3" s="21" t="s">
        <v>226</v>
      </c>
      <c r="Z3" s="21" t="s">
        <v>227</v>
      </c>
      <c r="AA3" s="21" t="s">
        <v>228</v>
      </c>
      <c r="AB3" s="21" t="s">
        <v>229</v>
      </c>
      <c r="AC3" s="89" t="s">
        <v>8</v>
      </c>
      <c r="AD3" s="21" t="s">
        <v>230</v>
      </c>
      <c r="AE3" s="21" t="s">
        <v>231</v>
      </c>
      <c r="AF3" s="21" t="s">
        <v>232</v>
      </c>
      <c r="AG3" s="21" t="s">
        <v>233</v>
      </c>
      <c r="AH3" s="21" t="s">
        <v>234</v>
      </c>
      <c r="AI3" s="21" t="s">
        <v>330</v>
      </c>
      <c r="AJ3" s="21" t="s">
        <v>331</v>
      </c>
      <c r="AK3" s="21" t="s">
        <v>253</v>
      </c>
      <c r="AL3" s="21" t="s">
        <v>235</v>
      </c>
      <c r="AM3" s="27" t="s">
        <v>332</v>
      </c>
      <c r="AN3" s="151"/>
      <c r="AO3" s="151"/>
    </row>
    <row r="4" spans="1:41" ht="18" customHeight="1">
      <c r="A4" s="22" t="s">
        <v>2</v>
      </c>
      <c r="B4" s="23" t="s">
        <v>237</v>
      </c>
      <c r="C4" s="23" t="s">
        <v>236</v>
      </c>
      <c r="D4" s="24">
        <v>2</v>
      </c>
      <c r="E4" s="29">
        <v>5.5641025641026003</v>
      </c>
      <c r="F4" s="29">
        <v>4</v>
      </c>
      <c r="G4" s="29">
        <v>36.15</v>
      </c>
      <c r="H4" s="29">
        <v>2</v>
      </c>
      <c r="I4" s="25">
        <f t="shared" ref="I4:I20" si="0">SUM(E4:H4)</f>
        <v>47.714102564102603</v>
      </c>
      <c r="J4" s="24">
        <v>3</v>
      </c>
      <c r="K4" s="24">
        <v>0</v>
      </c>
      <c r="L4" s="24">
        <v>5</v>
      </c>
      <c r="M4" s="24">
        <v>0</v>
      </c>
      <c r="N4" s="25">
        <f t="shared" ref="N4:N20" si="1">SUM(J4:M4)</f>
        <v>8</v>
      </c>
      <c r="O4" s="25">
        <f t="shared" ref="O4:R21" si="2">E4+J4</f>
        <v>8.5641025641026012</v>
      </c>
      <c r="P4" s="25">
        <f t="shared" si="2"/>
        <v>4</v>
      </c>
      <c r="Q4" s="25">
        <f t="shared" si="2"/>
        <v>41.15</v>
      </c>
      <c r="R4" s="25">
        <f t="shared" si="2"/>
        <v>2</v>
      </c>
      <c r="S4" s="33">
        <f t="shared" ref="S4:S20" si="3">SUM(O4:R4)</f>
        <v>55.714102564102603</v>
      </c>
      <c r="T4" s="24">
        <v>0</v>
      </c>
      <c r="U4" s="24">
        <v>4</v>
      </c>
      <c r="V4" s="24">
        <v>41</v>
      </c>
      <c r="W4" s="24">
        <v>2</v>
      </c>
      <c r="X4" s="33">
        <f t="shared" ref="X4:X20" si="4">SUM(T4:W4)</f>
        <v>47</v>
      </c>
      <c r="Y4" s="24">
        <v>0</v>
      </c>
      <c r="Z4" s="24">
        <v>4</v>
      </c>
      <c r="AA4" s="24">
        <v>41</v>
      </c>
      <c r="AB4" s="24">
        <v>2</v>
      </c>
      <c r="AC4" s="25">
        <f t="shared" ref="AC4:AC20" si="5">SUM(Y4:AB4)</f>
        <v>47</v>
      </c>
      <c r="AD4" s="25">
        <f t="shared" ref="AD4:AD11" si="6">(Y4*7050+Z4*6485+AA4*5800+AB4*4900)*12</f>
        <v>3282480</v>
      </c>
      <c r="AE4" s="25">
        <f t="shared" ref="AE4:AE20" si="7">AC4*4320</f>
        <v>203040</v>
      </c>
      <c r="AF4" s="25">
        <f t="shared" ref="AF4:AF20" si="8">AC4*6000</f>
        <v>282000</v>
      </c>
      <c r="AG4" s="25">
        <f t="shared" ref="AG4:AG20" si="9">AC4*2400</f>
        <v>112800</v>
      </c>
      <c r="AH4" s="25">
        <f t="shared" ref="AH4:AH20" si="10">AC4*9400</f>
        <v>441800</v>
      </c>
      <c r="AI4" s="25">
        <f t="shared" ref="AI4:AI19" si="11">AC4*800</f>
        <v>37600</v>
      </c>
      <c r="AJ4" s="25">
        <f t="shared" ref="AJ4:AJ21" si="12">D4*50*200</f>
        <v>20000</v>
      </c>
      <c r="AK4" s="25">
        <f t="shared" ref="AK4:AK21" si="13">AC4*960</f>
        <v>45120</v>
      </c>
      <c r="AL4" s="25">
        <f t="shared" ref="AL4:AL20" si="14">ROUND((7384*0.34256*AC4*12),2)</f>
        <v>1426617.15</v>
      </c>
      <c r="AM4" s="25">
        <f t="shared" ref="AM4:AM20" si="15">ROUND(SUM(AD4:AL4),0)</f>
        <v>5851457</v>
      </c>
      <c r="AN4" s="59"/>
      <c r="AO4" s="61">
        <f>AM4+AN4</f>
        <v>5851457</v>
      </c>
    </row>
    <row r="5" spans="1:41" ht="18" customHeight="1">
      <c r="A5" s="22" t="s">
        <v>2</v>
      </c>
      <c r="B5" s="23" t="s">
        <v>238</v>
      </c>
      <c r="C5" s="23" t="s">
        <v>236</v>
      </c>
      <c r="D5" s="24">
        <v>2</v>
      </c>
      <c r="E5" s="29">
        <v>18.316239316239301</v>
      </c>
      <c r="F5" s="29">
        <v>2</v>
      </c>
      <c r="G5" s="29">
        <v>34.674999999999997</v>
      </c>
      <c r="H5" s="29">
        <v>3</v>
      </c>
      <c r="I5" s="25">
        <f t="shared" si="0"/>
        <v>57.991239316239302</v>
      </c>
      <c r="J5" s="24">
        <v>0</v>
      </c>
      <c r="K5" s="24">
        <v>0</v>
      </c>
      <c r="L5" s="24">
        <v>0</v>
      </c>
      <c r="M5" s="24">
        <v>0</v>
      </c>
      <c r="N5" s="25">
        <f t="shared" si="1"/>
        <v>0</v>
      </c>
      <c r="O5" s="25">
        <f t="shared" si="2"/>
        <v>18.316239316239301</v>
      </c>
      <c r="P5" s="25">
        <f t="shared" si="2"/>
        <v>2</v>
      </c>
      <c r="Q5" s="25">
        <f t="shared" si="2"/>
        <v>34.674999999999997</v>
      </c>
      <c r="R5" s="25">
        <f t="shared" si="2"/>
        <v>3</v>
      </c>
      <c r="S5" s="33">
        <f t="shared" si="3"/>
        <v>57.991239316239302</v>
      </c>
      <c r="T5" s="24">
        <v>0</v>
      </c>
      <c r="U5" s="24">
        <v>2</v>
      </c>
      <c r="V5" s="24">
        <v>32</v>
      </c>
      <c r="W5" s="24">
        <v>4</v>
      </c>
      <c r="X5" s="33">
        <f t="shared" si="4"/>
        <v>38</v>
      </c>
      <c r="Y5" s="24">
        <v>0</v>
      </c>
      <c r="Z5" s="24">
        <v>2</v>
      </c>
      <c r="AA5" s="24">
        <v>32</v>
      </c>
      <c r="AB5" s="24">
        <v>4</v>
      </c>
      <c r="AC5" s="25">
        <f t="shared" si="5"/>
        <v>38</v>
      </c>
      <c r="AD5" s="25">
        <f t="shared" si="6"/>
        <v>2618040</v>
      </c>
      <c r="AE5" s="25">
        <f t="shared" si="7"/>
        <v>164160</v>
      </c>
      <c r="AF5" s="25">
        <f t="shared" si="8"/>
        <v>228000</v>
      </c>
      <c r="AG5" s="25">
        <f t="shared" si="9"/>
        <v>91200</v>
      </c>
      <c r="AH5" s="25">
        <f t="shared" si="10"/>
        <v>357200</v>
      </c>
      <c r="AI5" s="25">
        <f t="shared" si="11"/>
        <v>30400</v>
      </c>
      <c r="AJ5" s="25">
        <f t="shared" si="12"/>
        <v>20000</v>
      </c>
      <c r="AK5" s="25">
        <f t="shared" si="13"/>
        <v>36480</v>
      </c>
      <c r="AL5" s="25">
        <f t="shared" si="14"/>
        <v>1153435.1499999999</v>
      </c>
      <c r="AM5" s="25">
        <f t="shared" si="15"/>
        <v>4698915</v>
      </c>
      <c r="AN5" s="59"/>
      <c r="AO5" s="61">
        <f t="shared" ref="AO5:AO21" si="16">AM5+AN5</f>
        <v>4698915</v>
      </c>
    </row>
    <row r="6" spans="1:41" ht="18" customHeight="1">
      <c r="A6" s="22" t="s">
        <v>2</v>
      </c>
      <c r="B6" s="23" t="s">
        <v>239</v>
      </c>
      <c r="C6" s="23" t="s">
        <v>236</v>
      </c>
      <c r="D6" s="24">
        <v>2</v>
      </c>
      <c r="E6" s="29">
        <v>15.6410256410256</v>
      </c>
      <c r="F6" s="29">
        <v>6</v>
      </c>
      <c r="G6" s="29">
        <v>44.0625</v>
      </c>
      <c r="H6" s="29">
        <v>4</v>
      </c>
      <c r="I6" s="25">
        <f t="shared" si="0"/>
        <v>69.703525641025607</v>
      </c>
      <c r="J6" s="24">
        <v>0</v>
      </c>
      <c r="K6" s="24">
        <v>0</v>
      </c>
      <c r="L6" s="24">
        <v>0</v>
      </c>
      <c r="M6" s="24">
        <v>0</v>
      </c>
      <c r="N6" s="25">
        <f t="shared" si="1"/>
        <v>0</v>
      </c>
      <c r="O6" s="25">
        <f t="shared" si="2"/>
        <v>15.6410256410256</v>
      </c>
      <c r="P6" s="25">
        <f t="shared" si="2"/>
        <v>6</v>
      </c>
      <c r="Q6" s="25">
        <f t="shared" si="2"/>
        <v>44.0625</v>
      </c>
      <c r="R6" s="25">
        <f t="shared" si="2"/>
        <v>4</v>
      </c>
      <c r="S6" s="33">
        <f t="shared" si="3"/>
        <v>69.703525641025607</v>
      </c>
      <c r="T6" s="24">
        <v>9</v>
      </c>
      <c r="U6" s="24">
        <v>7</v>
      </c>
      <c r="V6" s="24">
        <v>43</v>
      </c>
      <c r="W6" s="24">
        <v>3</v>
      </c>
      <c r="X6" s="33">
        <f t="shared" si="4"/>
        <v>62</v>
      </c>
      <c r="Y6" s="24">
        <v>9</v>
      </c>
      <c r="Z6" s="24">
        <v>7</v>
      </c>
      <c r="AA6" s="24">
        <v>43</v>
      </c>
      <c r="AB6" s="24">
        <v>3</v>
      </c>
      <c r="AC6" s="25">
        <f t="shared" si="5"/>
        <v>62</v>
      </c>
      <c r="AD6" s="25">
        <f t="shared" si="6"/>
        <v>4475340</v>
      </c>
      <c r="AE6" s="25">
        <f t="shared" si="7"/>
        <v>267840</v>
      </c>
      <c r="AF6" s="25">
        <f t="shared" si="8"/>
        <v>372000</v>
      </c>
      <c r="AG6" s="25">
        <f t="shared" si="9"/>
        <v>148800</v>
      </c>
      <c r="AH6" s="25">
        <f t="shared" si="10"/>
        <v>582800</v>
      </c>
      <c r="AI6" s="25">
        <f t="shared" si="11"/>
        <v>49600</v>
      </c>
      <c r="AJ6" s="25">
        <f t="shared" si="12"/>
        <v>20000</v>
      </c>
      <c r="AK6" s="25">
        <f t="shared" si="13"/>
        <v>59520</v>
      </c>
      <c r="AL6" s="25">
        <f t="shared" si="14"/>
        <v>1881920.5</v>
      </c>
      <c r="AM6" s="25">
        <f t="shared" si="15"/>
        <v>7857821</v>
      </c>
      <c r="AN6" s="59"/>
      <c r="AO6" s="61">
        <f t="shared" si="16"/>
        <v>7857821</v>
      </c>
    </row>
    <row r="7" spans="1:41" ht="18" customHeight="1">
      <c r="A7" s="22" t="s">
        <v>2</v>
      </c>
      <c r="B7" s="23" t="s">
        <v>240</v>
      </c>
      <c r="C7" s="23" t="s">
        <v>236</v>
      </c>
      <c r="D7" s="24">
        <v>2</v>
      </c>
      <c r="E7" s="29">
        <v>2.8290598290597999</v>
      </c>
      <c r="F7" s="29">
        <v>2</v>
      </c>
      <c r="G7" s="29">
        <v>33.75</v>
      </c>
      <c r="H7" s="29">
        <v>2</v>
      </c>
      <c r="I7" s="25">
        <f t="shared" si="0"/>
        <v>40.579059829059801</v>
      </c>
      <c r="J7" s="24">
        <v>2</v>
      </c>
      <c r="K7" s="24">
        <v>1</v>
      </c>
      <c r="L7" s="24">
        <v>2</v>
      </c>
      <c r="M7" s="24">
        <v>0</v>
      </c>
      <c r="N7" s="25">
        <f t="shared" si="1"/>
        <v>5</v>
      </c>
      <c r="O7" s="25">
        <f t="shared" si="2"/>
        <v>4.8290598290597995</v>
      </c>
      <c r="P7" s="25">
        <f t="shared" si="2"/>
        <v>3</v>
      </c>
      <c r="Q7" s="25">
        <f t="shared" si="2"/>
        <v>35.75</v>
      </c>
      <c r="R7" s="25">
        <f t="shared" si="2"/>
        <v>2</v>
      </c>
      <c r="S7" s="33">
        <f t="shared" si="3"/>
        <v>45.579059829059801</v>
      </c>
      <c r="T7" s="24">
        <v>4</v>
      </c>
      <c r="U7" s="24">
        <v>2</v>
      </c>
      <c r="V7" s="24">
        <v>33</v>
      </c>
      <c r="W7" s="24">
        <v>2</v>
      </c>
      <c r="X7" s="33">
        <f t="shared" si="4"/>
        <v>41</v>
      </c>
      <c r="Y7" s="24">
        <v>4</v>
      </c>
      <c r="Z7" s="24">
        <v>2</v>
      </c>
      <c r="AA7" s="24">
        <v>33</v>
      </c>
      <c r="AB7" s="24">
        <v>2</v>
      </c>
      <c r="AC7" s="25">
        <f t="shared" si="5"/>
        <v>41</v>
      </c>
      <c r="AD7" s="25">
        <f t="shared" si="6"/>
        <v>2908440</v>
      </c>
      <c r="AE7" s="25">
        <f t="shared" si="7"/>
        <v>177120</v>
      </c>
      <c r="AF7" s="25">
        <f t="shared" si="8"/>
        <v>246000</v>
      </c>
      <c r="AG7" s="25">
        <f t="shared" si="9"/>
        <v>98400</v>
      </c>
      <c r="AH7" s="25">
        <f t="shared" si="10"/>
        <v>385400</v>
      </c>
      <c r="AI7" s="25">
        <f t="shared" si="11"/>
        <v>32800</v>
      </c>
      <c r="AJ7" s="25">
        <f t="shared" si="12"/>
        <v>20000</v>
      </c>
      <c r="AK7" s="25">
        <f t="shared" si="13"/>
        <v>39360</v>
      </c>
      <c r="AL7" s="25">
        <f t="shared" si="14"/>
        <v>1244495.82</v>
      </c>
      <c r="AM7" s="25">
        <f t="shared" si="15"/>
        <v>5152016</v>
      </c>
      <c r="AN7" s="59"/>
      <c r="AO7" s="61">
        <f t="shared" si="16"/>
        <v>5152016</v>
      </c>
    </row>
    <row r="8" spans="1:41" ht="18" customHeight="1">
      <c r="A8" s="22" t="s">
        <v>2</v>
      </c>
      <c r="B8" s="23" t="s">
        <v>241</v>
      </c>
      <c r="C8" s="23" t="s">
        <v>322</v>
      </c>
      <c r="D8" s="24"/>
      <c r="E8" s="29">
        <v>6.68965517241379</v>
      </c>
      <c r="F8" s="29">
        <v>10</v>
      </c>
      <c r="G8" s="29">
        <v>0</v>
      </c>
      <c r="H8" s="29">
        <v>6</v>
      </c>
      <c r="I8" s="25">
        <f t="shared" si="0"/>
        <v>22.68965517241379</v>
      </c>
      <c r="J8" s="24">
        <v>0</v>
      </c>
      <c r="K8" s="24">
        <v>0</v>
      </c>
      <c r="L8" s="24">
        <v>0</v>
      </c>
      <c r="M8" s="24">
        <v>0</v>
      </c>
      <c r="N8" s="25">
        <f t="shared" si="1"/>
        <v>0</v>
      </c>
      <c r="O8" s="25">
        <f t="shared" si="2"/>
        <v>6.68965517241379</v>
      </c>
      <c r="P8" s="25">
        <f t="shared" si="2"/>
        <v>10</v>
      </c>
      <c r="Q8" s="25">
        <f t="shared" si="2"/>
        <v>0</v>
      </c>
      <c r="R8" s="25">
        <f t="shared" si="2"/>
        <v>6</v>
      </c>
      <c r="S8" s="33">
        <f t="shared" si="3"/>
        <v>22.68965517241379</v>
      </c>
      <c r="T8" s="24">
        <v>0</v>
      </c>
      <c r="U8" s="24">
        <v>2</v>
      </c>
      <c r="V8" s="24">
        <v>0</v>
      </c>
      <c r="W8" s="24">
        <v>8</v>
      </c>
      <c r="X8" s="33">
        <f t="shared" si="4"/>
        <v>10</v>
      </c>
      <c r="Y8" s="24">
        <v>0</v>
      </c>
      <c r="Z8" s="24">
        <v>2</v>
      </c>
      <c r="AA8" s="24">
        <v>0</v>
      </c>
      <c r="AB8" s="24">
        <v>8</v>
      </c>
      <c r="AC8" s="25">
        <f t="shared" si="5"/>
        <v>10</v>
      </c>
      <c r="AD8" s="25">
        <f t="shared" si="6"/>
        <v>626040</v>
      </c>
      <c r="AE8" s="25">
        <f t="shared" si="7"/>
        <v>43200</v>
      </c>
      <c r="AF8" s="25">
        <f t="shared" si="8"/>
        <v>60000</v>
      </c>
      <c r="AG8" s="25">
        <f t="shared" si="9"/>
        <v>24000</v>
      </c>
      <c r="AH8" s="25">
        <f t="shared" si="10"/>
        <v>94000</v>
      </c>
      <c r="AI8" s="25">
        <f t="shared" si="11"/>
        <v>8000</v>
      </c>
      <c r="AJ8" s="25">
        <f t="shared" si="12"/>
        <v>0</v>
      </c>
      <c r="AK8" s="25">
        <f t="shared" si="13"/>
        <v>9600</v>
      </c>
      <c r="AL8" s="25">
        <f t="shared" si="14"/>
        <v>303535.56</v>
      </c>
      <c r="AM8" s="25">
        <f t="shared" si="15"/>
        <v>1168376</v>
      </c>
      <c r="AN8" s="59">
        <v>98406.25</v>
      </c>
      <c r="AO8" s="59">
        <f t="shared" si="16"/>
        <v>1266782.25</v>
      </c>
    </row>
    <row r="9" spans="1:41" s="26" customFormat="1" ht="18" customHeight="1">
      <c r="A9" s="22" t="s">
        <v>2</v>
      </c>
      <c r="B9" s="23" t="s">
        <v>242</v>
      </c>
      <c r="C9" s="23" t="s">
        <v>322</v>
      </c>
      <c r="D9" s="24"/>
      <c r="E9" s="29">
        <v>46.275862068965999</v>
      </c>
      <c r="F9" s="29">
        <v>11</v>
      </c>
      <c r="G9" s="29">
        <v>0</v>
      </c>
      <c r="H9" s="29">
        <v>6</v>
      </c>
      <c r="I9" s="25">
        <f t="shared" si="0"/>
        <v>63.275862068965999</v>
      </c>
      <c r="J9" s="24">
        <v>10</v>
      </c>
      <c r="K9" s="24">
        <v>0</v>
      </c>
      <c r="L9" s="24">
        <v>0</v>
      </c>
      <c r="M9" s="24">
        <v>0</v>
      </c>
      <c r="N9" s="25">
        <f t="shared" si="1"/>
        <v>10</v>
      </c>
      <c r="O9" s="25">
        <f t="shared" si="2"/>
        <v>56.275862068965999</v>
      </c>
      <c r="P9" s="25">
        <f t="shared" si="2"/>
        <v>11</v>
      </c>
      <c r="Q9" s="25">
        <f t="shared" si="2"/>
        <v>0</v>
      </c>
      <c r="R9" s="25">
        <f t="shared" si="2"/>
        <v>6</v>
      </c>
      <c r="S9" s="33">
        <f t="shared" si="3"/>
        <v>73.275862068966006</v>
      </c>
      <c r="T9" s="24">
        <v>1</v>
      </c>
      <c r="U9" s="24">
        <v>5</v>
      </c>
      <c r="V9" s="24">
        <v>1</v>
      </c>
      <c r="W9" s="24">
        <v>6</v>
      </c>
      <c r="X9" s="33">
        <f t="shared" si="4"/>
        <v>13</v>
      </c>
      <c r="Y9" s="24">
        <v>1</v>
      </c>
      <c r="Z9" s="24">
        <v>5</v>
      </c>
      <c r="AA9" s="24">
        <v>1</v>
      </c>
      <c r="AB9" s="24">
        <v>6</v>
      </c>
      <c r="AC9" s="25">
        <f t="shared" si="5"/>
        <v>13</v>
      </c>
      <c r="AD9" s="25">
        <f t="shared" si="6"/>
        <v>896100</v>
      </c>
      <c r="AE9" s="25">
        <f t="shared" si="7"/>
        <v>56160</v>
      </c>
      <c r="AF9" s="25">
        <f t="shared" si="8"/>
        <v>78000</v>
      </c>
      <c r="AG9" s="25">
        <f t="shared" si="9"/>
        <v>31200</v>
      </c>
      <c r="AH9" s="25">
        <f t="shared" si="10"/>
        <v>122200</v>
      </c>
      <c r="AI9" s="25">
        <f t="shared" si="11"/>
        <v>10400</v>
      </c>
      <c r="AJ9" s="25">
        <f t="shared" si="12"/>
        <v>0</v>
      </c>
      <c r="AK9" s="25">
        <f t="shared" si="13"/>
        <v>12480</v>
      </c>
      <c r="AL9" s="25">
        <f t="shared" si="14"/>
        <v>394596.23</v>
      </c>
      <c r="AM9" s="25">
        <f t="shared" si="15"/>
        <v>1601136</v>
      </c>
      <c r="AN9" s="60">
        <v>68976.25</v>
      </c>
      <c r="AO9" s="59">
        <f t="shared" si="16"/>
        <v>1670112.25</v>
      </c>
    </row>
    <row r="10" spans="1:41" s="26" customFormat="1" ht="18" customHeight="1">
      <c r="A10" s="22" t="s">
        <v>2</v>
      </c>
      <c r="B10" s="23" t="s">
        <v>243</v>
      </c>
      <c r="C10" s="23" t="s">
        <v>322</v>
      </c>
      <c r="D10" s="24"/>
      <c r="E10" s="29">
        <v>6.5517241379310001</v>
      </c>
      <c r="F10" s="29">
        <v>9.5</v>
      </c>
      <c r="G10" s="29">
        <v>0</v>
      </c>
      <c r="H10" s="29">
        <v>5.5</v>
      </c>
      <c r="I10" s="25">
        <f t="shared" si="0"/>
        <v>21.551724137931</v>
      </c>
      <c r="J10" s="24">
        <v>0</v>
      </c>
      <c r="K10" s="24">
        <v>0</v>
      </c>
      <c r="L10" s="24">
        <v>0</v>
      </c>
      <c r="M10" s="24">
        <v>2</v>
      </c>
      <c r="N10" s="25">
        <f t="shared" si="1"/>
        <v>2</v>
      </c>
      <c r="O10" s="25">
        <f t="shared" si="2"/>
        <v>6.5517241379310001</v>
      </c>
      <c r="P10" s="25">
        <f t="shared" si="2"/>
        <v>9.5</v>
      </c>
      <c r="Q10" s="25">
        <f t="shared" si="2"/>
        <v>0</v>
      </c>
      <c r="R10" s="25">
        <f t="shared" si="2"/>
        <v>7.5</v>
      </c>
      <c r="S10" s="33">
        <f t="shared" si="3"/>
        <v>23.551724137931</v>
      </c>
      <c r="T10" s="24">
        <v>10</v>
      </c>
      <c r="U10" s="24">
        <v>5</v>
      </c>
      <c r="V10" s="24">
        <v>0</v>
      </c>
      <c r="W10" s="24">
        <v>6</v>
      </c>
      <c r="X10" s="33">
        <f t="shared" si="4"/>
        <v>21</v>
      </c>
      <c r="Y10" s="24">
        <v>10</v>
      </c>
      <c r="Z10" s="24">
        <v>5</v>
      </c>
      <c r="AA10" s="24">
        <v>0</v>
      </c>
      <c r="AB10" s="24">
        <v>6</v>
      </c>
      <c r="AC10" s="25">
        <f t="shared" si="5"/>
        <v>21</v>
      </c>
      <c r="AD10" s="25">
        <f t="shared" si="6"/>
        <v>1587900</v>
      </c>
      <c r="AE10" s="25">
        <f t="shared" si="7"/>
        <v>90720</v>
      </c>
      <c r="AF10" s="25">
        <f t="shared" si="8"/>
        <v>126000</v>
      </c>
      <c r="AG10" s="25">
        <f t="shared" si="9"/>
        <v>50400</v>
      </c>
      <c r="AH10" s="25">
        <f t="shared" si="10"/>
        <v>197400</v>
      </c>
      <c r="AI10" s="25">
        <f t="shared" si="11"/>
        <v>16800</v>
      </c>
      <c r="AJ10" s="25">
        <f t="shared" si="12"/>
        <v>0</v>
      </c>
      <c r="AK10" s="25">
        <f t="shared" si="13"/>
        <v>20160</v>
      </c>
      <c r="AL10" s="25">
        <f t="shared" si="14"/>
        <v>637424.68999999994</v>
      </c>
      <c r="AM10" s="25">
        <f t="shared" si="15"/>
        <v>2726805</v>
      </c>
      <c r="AN10" s="60">
        <v>66087.5</v>
      </c>
      <c r="AO10" s="59">
        <f t="shared" si="16"/>
        <v>2792892.5</v>
      </c>
    </row>
    <row r="11" spans="1:41" ht="18" customHeight="1">
      <c r="A11" s="22" t="s">
        <v>2</v>
      </c>
      <c r="B11" s="23" t="s">
        <v>244</v>
      </c>
      <c r="C11" s="23" t="s">
        <v>322</v>
      </c>
      <c r="D11" s="24"/>
      <c r="E11" s="29">
        <v>28.862068965517</v>
      </c>
      <c r="F11" s="29">
        <v>12</v>
      </c>
      <c r="G11" s="29">
        <v>0</v>
      </c>
      <c r="H11" s="29">
        <v>8</v>
      </c>
      <c r="I11" s="25">
        <f t="shared" si="0"/>
        <v>48.862068965516997</v>
      </c>
      <c r="J11" s="24">
        <v>0</v>
      </c>
      <c r="K11" s="24">
        <v>0</v>
      </c>
      <c r="L11" s="24">
        <v>0</v>
      </c>
      <c r="M11" s="24">
        <v>2</v>
      </c>
      <c r="N11" s="25">
        <f t="shared" si="1"/>
        <v>2</v>
      </c>
      <c r="O11" s="25">
        <f t="shared" si="2"/>
        <v>28.862068965517</v>
      </c>
      <c r="P11" s="25">
        <f t="shared" si="2"/>
        <v>12</v>
      </c>
      <c r="Q11" s="25">
        <f t="shared" si="2"/>
        <v>0</v>
      </c>
      <c r="R11" s="25">
        <f t="shared" si="2"/>
        <v>10</v>
      </c>
      <c r="S11" s="33">
        <f t="shared" si="3"/>
        <v>50.862068965516997</v>
      </c>
      <c r="T11" s="24">
        <v>0</v>
      </c>
      <c r="U11" s="24">
        <v>3</v>
      </c>
      <c r="V11" s="24">
        <v>0</v>
      </c>
      <c r="W11" s="24">
        <v>9</v>
      </c>
      <c r="X11" s="33">
        <f t="shared" si="4"/>
        <v>12</v>
      </c>
      <c r="Y11" s="24">
        <v>0</v>
      </c>
      <c r="Z11" s="24">
        <v>3</v>
      </c>
      <c r="AA11" s="24">
        <v>0</v>
      </c>
      <c r="AB11" s="24">
        <v>9</v>
      </c>
      <c r="AC11" s="25">
        <f t="shared" si="5"/>
        <v>12</v>
      </c>
      <c r="AD11" s="25">
        <f t="shared" si="6"/>
        <v>762660</v>
      </c>
      <c r="AE11" s="25">
        <f t="shared" si="7"/>
        <v>51840</v>
      </c>
      <c r="AF11" s="25">
        <f t="shared" si="8"/>
        <v>72000</v>
      </c>
      <c r="AG11" s="25">
        <f t="shared" si="9"/>
        <v>28800</v>
      </c>
      <c r="AH11" s="25">
        <f t="shared" si="10"/>
        <v>112800</v>
      </c>
      <c r="AI11" s="25">
        <f t="shared" si="11"/>
        <v>9600</v>
      </c>
      <c r="AJ11" s="25">
        <f t="shared" si="12"/>
        <v>0</v>
      </c>
      <c r="AK11" s="25">
        <f t="shared" si="13"/>
        <v>11520</v>
      </c>
      <c r="AL11" s="25">
        <f t="shared" si="14"/>
        <v>364242.68</v>
      </c>
      <c r="AM11" s="25">
        <f t="shared" si="15"/>
        <v>1413463</v>
      </c>
      <c r="AN11" s="59">
        <v>125152</v>
      </c>
      <c r="AO11" s="59">
        <f t="shared" si="16"/>
        <v>1538615</v>
      </c>
    </row>
    <row r="12" spans="1:41" s="26" customFormat="1" ht="18" customHeight="1">
      <c r="A12" s="22" t="s">
        <v>2</v>
      </c>
      <c r="B12" s="23" t="s">
        <v>245</v>
      </c>
      <c r="C12" s="23" t="s">
        <v>168</v>
      </c>
      <c r="D12" s="24"/>
      <c r="E12" s="29">
        <v>14.764705882352899</v>
      </c>
      <c r="F12" s="29">
        <v>10.5</v>
      </c>
      <c r="G12" s="29">
        <v>0</v>
      </c>
      <c r="H12" s="29">
        <v>6</v>
      </c>
      <c r="I12" s="25">
        <f t="shared" si="0"/>
        <v>31.264705882352899</v>
      </c>
      <c r="J12" s="24">
        <v>3</v>
      </c>
      <c r="K12" s="24">
        <v>2</v>
      </c>
      <c r="L12" s="24">
        <v>0</v>
      </c>
      <c r="M12" s="24">
        <v>4</v>
      </c>
      <c r="N12" s="25">
        <f t="shared" si="1"/>
        <v>9</v>
      </c>
      <c r="O12" s="25">
        <f t="shared" si="2"/>
        <v>17.764705882352899</v>
      </c>
      <c r="P12" s="25">
        <f t="shared" si="2"/>
        <v>12.5</v>
      </c>
      <c r="Q12" s="25">
        <f t="shared" si="2"/>
        <v>0</v>
      </c>
      <c r="R12" s="25">
        <f t="shared" si="2"/>
        <v>10</v>
      </c>
      <c r="S12" s="33">
        <f t="shared" si="3"/>
        <v>40.264705882352899</v>
      </c>
      <c r="T12" s="24">
        <v>5</v>
      </c>
      <c r="U12" s="24">
        <v>2</v>
      </c>
      <c r="V12" s="24">
        <v>0</v>
      </c>
      <c r="W12" s="24">
        <v>9</v>
      </c>
      <c r="X12" s="33">
        <f t="shared" si="4"/>
        <v>16</v>
      </c>
      <c r="Y12" s="24">
        <v>5</v>
      </c>
      <c r="Z12" s="24">
        <v>2</v>
      </c>
      <c r="AA12" s="24">
        <v>0</v>
      </c>
      <c r="AB12" s="24">
        <v>9</v>
      </c>
      <c r="AC12" s="25">
        <f t="shared" si="5"/>
        <v>16</v>
      </c>
      <c r="AD12" s="25">
        <f t="shared" ref="AD12:AD14" si="17">(Y12*9230+Z12*7215+AA12*5800+AB12*5100)*12</f>
        <v>1277760</v>
      </c>
      <c r="AE12" s="25">
        <f t="shared" si="7"/>
        <v>69120</v>
      </c>
      <c r="AF12" s="25">
        <f t="shared" si="8"/>
        <v>96000</v>
      </c>
      <c r="AG12" s="25">
        <f t="shared" si="9"/>
        <v>38400</v>
      </c>
      <c r="AH12" s="25">
        <f t="shared" ref="AH12:AH14" si="18">Y12*15400+(Z12+AA12+AB12)*9400</f>
        <v>180400</v>
      </c>
      <c r="AI12" s="25">
        <f t="shared" si="11"/>
        <v>12800</v>
      </c>
      <c r="AJ12" s="25">
        <f t="shared" si="12"/>
        <v>0</v>
      </c>
      <c r="AK12" s="25">
        <f t="shared" si="13"/>
        <v>15360</v>
      </c>
      <c r="AL12" s="25">
        <f t="shared" si="14"/>
        <v>485656.9</v>
      </c>
      <c r="AM12" s="25">
        <f t="shared" si="15"/>
        <v>2175497</v>
      </c>
      <c r="AN12" s="60">
        <v>118953.5</v>
      </c>
      <c r="AO12" s="59">
        <f t="shared" si="16"/>
        <v>2294450.5</v>
      </c>
    </row>
    <row r="13" spans="1:41" ht="18" customHeight="1">
      <c r="A13" s="22" t="s">
        <v>2</v>
      </c>
      <c r="B13" s="23" t="s">
        <v>246</v>
      </c>
      <c r="C13" s="23" t="s">
        <v>168</v>
      </c>
      <c r="D13" s="24"/>
      <c r="E13" s="29">
        <v>11.773109243697499</v>
      </c>
      <c r="F13" s="29">
        <v>10.5</v>
      </c>
      <c r="G13" s="29">
        <v>0</v>
      </c>
      <c r="H13" s="29">
        <v>6</v>
      </c>
      <c r="I13" s="25">
        <f t="shared" si="0"/>
        <v>28.273109243697498</v>
      </c>
      <c r="J13" s="24">
        <v>0</v>
      </c>
      <c r="K13" s="24">
        <v>1</v>
      </c>
      <c r="L13" s="24">
        <v>0</v>
      </c>
      <c r="M13" s="24">
        <v>0</v>
      </c>
      <c r="N13" s="25">
        <f t="shared" si="1"/>
        <v>1</v>
      </c>
      <c r="O13" s="25">
        <f t="shared" si="2"/>
        <v>11.773109243697499</v>
      </c>
      <c r="P13" s="25">
        <f t="shared" si="2"/>
        <v>11.5</v>
      </c>
      <c r="Q13" s="25">
        <f t="shared" si="2"/>
        <v>0</v>
      </c>
      <c r="R13" s="25">
        <f t="shared" si="2"/>
        <v>6</v>
      </c>
      <c r="S13" s="33">
        <f t="shared" si="3"/>
        <v>29.273109243697498</v>
      </c>
      <c r="T13" s="24">
        <v>2</v>
      </c>
      <c r="U13" s="24">
        <v>2</v>
      </c>
      <c r="V13" s="24">
        <v>0</v>
      </c>
      <c r="W13" s="24">
        <v>9</v>
      </c>
      <c r="X13" s="33">
        <f t="shared" si="4"/>
        <v>13</v>
      </c>
      <c r="Y13" s="24">
        <v>2</v>
      </c>
      <c r="Z13" s="24">
        <v>2</v>
      </c>
      <c r="AA13" s="24">
        <v>0</v>
      </c>
      <c r="AB13" s="24">
        <v>9</v>
      </c>
      <c r="AC13" s="25">
        <f t="shared" si="5"/>
        <v>13</v>
      </c>
      <c r="AD13" s="25">
        <f t="shared" si="17"/>
        <v>945480</v>
      </c>
      <c r="AE13" s="25">
        <f t="shared" si="7"/>
        <v>56160</v>
      </c>
      <c r="AF13" s="25">
        <f t="shared" si="8"/>
        <v>78000</v>
      </c>
      <c r="AG13" s="25">
        <f t="shared" si="9"/>
        <v>31200</v>
      </c>
      <c r="AH13" s="25">
        <f t="shared" si="18"/>
        <v>134200</v>
      </c>
      <c r="AI13" s="25">
        <f t="shared" si="11"/>
        <v>10400</v>
      </c>
      <c r="AJ13" s="25">
        <f t="shared" si="12"/>
        <v>0</v>
      </c>
      <c r="AK13" s="25">
        <f t="shared" si="13"/>
        <v>12480</v>
      </c>
      <c r="AL13" s="25">
        <f t="shared" si="14"/>
        <v>394596.23</v>
      </c>
      <c r="AM13" s="25">
        <f t="shared" si="15"/>
        <v>1662516</v>
      </c>
      <c r="AN13" s="59">
        <v>70970</v>
      </c>
      <c r="AO13" s="59">
        <f t="shared" si="16"/>
        <v>1733486</v>
      </c>
    </row>
    <row r="14" spans="1:41" s="26" customFormat="1" ht="18" customHeight="1">
      <c r="A14" s="22" t="s">
        <v>2</v>
      </c>
      <c r="B14" s="23" t="s">
        <v>247</v>
      </c>
      <c r="C14" s="23" t="s">
        <v>168</v>
      </c>
      <c r="D14" s="24"/>
      <c r="E14" s="29">
        <v>34.563025210084</v>
      </c>
      <c r="F14" s="29">
        <v>11</v>
      </c>
      <c r="G14" s="29">
        <v>0</v>
      </c>
      <c r="H14" s="29">
        <v>6</v>
      </c>
      <c r="I14" s="25">
        <f t="shared" si="0"/>
        <v>51.563025210084</v>
      </c>
      <c r="J14" s="24">
        <v>5</v>
      </c>
      <c r="K14" s="24">
        <v>4</v>
      </c>
      <c r="L14" s="24">
        <v>0</v>
      </c>
      <c r="M14" s="24">
        <v>2</v>
      </c>
      <c r="N14" s="25">
        <f t="shared" si="1"/>
        <v>11</v>
      </c>
      <c r="O14" s="25">
        <f t="shared" si="2"/>
        <v>39.563025210084</v>
      </c>
      <c r="P14" s="25">
        <f t="shared" si="2"/>
        <v>15</v>
      </c>
      <c r="Q14" s="25">
        <f t="shared" si="2"/>
        <v>0</v>
      </c>
      <c r="R14" s="25">
        <f t="shared" si="2"/>
        <v>8</v>
      </c>
      <c r="S14" s="33">
        <f t="shared" si="3"/>
        <v>62.563025210084</v>
      </c>
      <c r="T14" s="24">
        <v>1</v>
      </c>
      <c r="U14" s="24">
        <v>10</v>
      </c>
      <c r="V14" s="24">
        <v>0</v>
      </c>
      <c r="W14" s="24">
        <v>11</v>
      </c>
      <c r="X14" s="33">
        <f t="shared" si="4"/>
        <v>22</v>
      </c>
      <c r="Y14" s="24">
        <v>1</v>
      </c>
      <c r="Z14" s="24">
        <v>10</v>
      </c>
      <c r="AA14" s="24">
        <v>0</v>
      </c>
      <c r="AB14" s="24">
        <v>11</v>
      </c>
      <c r="AC14" s="25">
        <f t="shared" si="5"/>
        <v>22</v>
      </c>
      <c r="AD14" s="25">
        <f t="shared" si="17"/>
        <v>1649760</v>
      </c>
      <c r="AE14" s="25">
        <f t="shared" si="7"/>
        <v>95040</v>
      </c>
      <c r="AF14" s="25">
        <f t="shared" si="8"/>
        <v>132000</v>
      </c>
      <c r="AG14" s="25">
        <f t="shared" si="9"/>
        <v>52800</v>
      </c>
      <c r="AH14" s="25">
        <f t="shared" si="18"/>
        <v>212800</v>
      </c>
      <c r="AI14" s="25">
        <f t="shared" si="11"/>
        <v>17600</v>
      </c>
      <c r="AJ14" s="25">
        <f t="shared" si="12"/>
        <v>0</v>
      </c>
      <c r="AK14" s="25">
        <f t="shared" si="13"/>
        <v>21120</v>
      </c>
      <c r="AL14" s="25">
        <f t="shared" si="14"/>
        <v>667778.24</v>
      </c>
      <c r="AM14" s="25">
        <f t="shared" si="15"/>
        <v>2848898</v>
      </c>
      <c r="AN14" s="60">
        <v>16383.75</v>
      </c>
      <c r="AO14" s="59">
        <f t="shared" si="16"/>
        <v>2865281.75</v>
      </c>
    </row>
    <row r="15" spans="1:41" ht="18" customHeight="1">
      <c r="A15" s="22" t="s">
        <v>2</v>
      </c>
      <c r="B15" s="23" t="s">
        <v>248</v>
      </c>
      <c r="C15" s="23" t="s">
        <v>236</v>
      </c>
      <c r="D15" s="24">
        <v>2</v>
      </c>
      <c r="E15" s="29">
        <v>5.8461538461537996</v>
      </c>
      <c r="F15" s="29">
        <v>3</v>
      </c>
      <c r="G15" s="29">
        <v>24.412500000000001</v>
      </c>
      <c r="H15" s="29">
        <v>2</v>
      </c>
      <c r="I15" s="25">
        <f t="shared" si="0"/>
        <v>35.258653846153805</v>
      </c>
      <c r="J15" s="24">
        <v>0</v>
      </c>
      <c r="K15" s="24">
        <v>0</v>
      </c>
      <c r="L15" s="24">
        <v>0</v>
      </c>
      <c r="M15" s="24">
        <v>0</v>
      </c>
      <c r="N15" s="25">
        <f t="shared" si="1"/>
        <v>0</v>
      </c>
      <c r="O15" s="25">
        <f t="shared" si="2"/>
        <v>5.8461538461537996</v>
      </c>
      <c r="P15" s="25">
        <f t="shared" si="2"/>
        <v>3</v>
      </c>
      <c r="Q15" s="25">
        <f t="shared" si="2"/>
        <v>24.412500000000001</v>
      </c>
      <c r="R15" s="25">
        <f t="shared" si="2"/>
        <v>2</v>
      </c>
      <c r="S15" s="33">
        <f t="shared" si="3"/>
        <v>35.258653846153805</v>
      </c>
      <c r="T15" s="24">
        <v>7</v>
      </c>
      <c r="U15" s="24">
        <v>4</v>
      </c>
      <c r="V15" s="24">
        <v>25</v>
      </c>
      <c r="W15" s="24">
        <v>2</v>
      </c>
      <c r="X15" s="33">
        <f t="shared" si="4"/>
        <v>38</v>
      </c>
      <c r="Y15" s="24">
        <v>5.8461538461537996</v>
      </c>
      <c r="Z15" s="24">
        <v>3</v>
      </c>
      <c r="AA15" s="24">
        <v>24.412500000000001</v>
      </c>
      <c r="AB15" s="24">
        <v>2</v>
      </c>
      <c r="AC15" s="25">
        <f t="shared" si="5"/>
        <v>35.258653846153805</v>
      </c>
      <c r="AD15" s="25">
        <f>(Y15*7050+Z15*6485+AA15*5800+AB15*4900)*12</f>
        <v>2544754.6153846113</v>
      </c>
      <c r="AE15" s="25">
        <f t="shared" si="7"/>
        <v>152317.38461538445</v>
      </c>
      <c r="AF15" s="25">
        <f t="shared" si="8"/>
        <v>211551.92307692283</v>
      </c>
      <c r="AG15" s="25">
        <f t="shared" si="9"/>
        <v>84620.769230769132</v>
      </c>
      <c r="AH15" s="25">
        <f t="shared" si="10"/>
        <v>331431.34615384578</v>
      </c>
      <c r="AI15" s="25">
        <f t="shared" si="11"/>
        <v>28206.923076923045</v>
      </c>
      <c r="AJ15" s="25">
        <f t="shared" si="12"/>
        <v>20000</v>
      </c>
      <c r="AK15" s="25">
        <f t="shared" si="13"/>
        <v>33848.307692307651</v>
      </c>
      <c r="AL15" s="25">
        <f t="shared" si="14"/>
        <v>1070225.54</v>
      </c>
      <c r="AM15" s="25">
        <f t="shared" si="15"/>
        <v>4476957</v>
      </c>
      <c r="AN15" s="59"/>
      <c r="AO15" s="61">
        <f t="shared" si="16"/>
        <v>4476957</v>
      </c>
    </row>
    <row r="16" spans="1:41" ht="18" customHeight="1">
      <c r="A16" s="22" t="s">
        <v>2</v>
      </c>
      <c r="B16" s="23" t="s">
        <v>334</v>
      </c>
      <c r="C16" s="23" t="s">
        <v>322</v>
      </c>
      <c r="D16" s="24"/>
      <c r="E16" s="29">
        <v>11.965517241379301</v>
      </c>
      <c r="F16" s="29">
        <v>9.5</v>
      </c>
      <c r="G16" s="29">
        <v>0</v>
      </c>
      <c r="H16" s="29">
        <v>5.5</v>
      </c>
      <c r="I16" s="25">
        <f t="shared" si="0"/>
        <v>26.965517241379303</v>
      </c>
      <c r="J16" s="24">
        <v>0</v>
      </c>
      <c r="K16" s="24">
        <v>0</v>
      </c>
      <c r="L16" s="24">
        <v>0</v>
      </c>
      <c r="M16" s="24">
        <v>2</v>
      </c>
      <c r="N16" s="25">
        <f t="shared" si="1"/>
        <v>2</v>
      </c>
      <c r="O16" s="25">
        <f t="shared" si="2"/>
        <v>11.965517241379301</v>
      </c>
      <c r="P16" s="25">
        <f t="shared" si="2"/>
        <v>9.5</v>
      </c>
      <c r="Q16" s="25">
        <f t="shared" si="2"/>
        <v>0</v>
      </c>
      <c r="R16" s="25">
        <f t="shared" si="2"/>
        <v>7.5</v>
      </c>
      <c r="S16" s="33">
        <f t="shared" si="3"/>
        <v>28.965517241379303</v>
      </c>
      <c r="T16" s="24">
        <v>3</v>
      </c>
      <c r="U16" s="24">
        <v>8</v>
      </c>
      <c r="V16" s="24">
        <v>0</v>
      </c>
      <c r="W16" s="24">
        <v>6</v>
      </c>
      <c r="X16" s="33">
        <f t="shared" si="4"/>
        <v>17</v>
      </c>
      <c r="Y16" s="24">
        <v>3</v>
      </c>
      <c r="Z16" s="24">
        <v>8</v>
      </c>
      <c r="AA16" s="24">
        <v>0</v>
      </c>
      <c r="AB16" s="24">
        <v>6</v>
      </c>
      <c r="AC16" s="25">
        <f t="shared" si="5"/>
        <v>17</v>
      </c>
      <c r="AD16" s="25">
        <f>(Y16*7050+Z16*6485+AA16*5800+AB16*4900)*12</f>
        <v>1229160</v>
      </c>
      <c r="AE16" s="25">
        <f t="shared" si="7"/>
        <v>73440</v>
      </c>
      <c r="AF16" s="25">
        <f t="shared" si="8"/>
        <v>102000</v>
      </c>
      <c r="AG16" s="25">
        <f t="shared" si="9"/>
        <v>40800</v>
      </c>
      <c r="AH16" s="25">
        <f t="shared" si="10"/>
        <v>159800</v>
      </c>
      <c r="AI16" s="25">
        <f t="shared" si="11"/>
        <v>13600</v>
      </c>
      <c r="AJ16" s="25">
        <f t="shared" si="12"/>
        <v>0</v>
      </c>
      <c r="AK16" s="25">
        <f t="shared" si="13"/>
        <v>16320</v>
      </c>
      <c r="AL16" s="25">
        <f t="shared" si="14"/>
        <v>516010.46</v>
      </c>
      <c r="AM16" s="25">
        <f t="shared" si="15"/>
        <v>2151130</v>
      </c>
      <c r="AN16" s="59">
        <v>67830</v>
      </c>
      <c r="AO16" s="59">
        <f t="shared" si="16"/>
        <v>2218960</v>
      </c>
    </row>
    <row r="17" spans="1:41" ht="18" customHeight="1">
      <c r="A17" s="22" t="s">
        <v>2</v>
      </c>
      <c r="B17" s="23" t="s">
        <v>249</v>
      </c>
      <c r="C17" s="23" t="s">
        <v>236</v>
      </c>
      <c r="D17" s="24">
        <v>2</v>
      </c>
      <c r="E17" s="29">
        <v>14.1111111111111</v>
      </c>
      <c r="F17" s="29">
        <v>4</v>
      </c>
      <c r="G17" s="29">
        <v>24.012499999999999</v>
      </c>
      <c r="H17" s="29">
        <v>3</v>
      </c>
      <c r="I17" s="25">
        <f t="shared" si="0"/>
        <v>45.123611111111103</v>
      </c>
      <c r="J17" s="24">
        <v>6</v>
      </c>
      <c r="K17" s="24">
        <v>1</v>
      </c>
      <c r="L17" s="24">
        <v>5</v>
      </c>
      <c r="M17" s="24">
        <v>1</v>
      </c>
      <c r="N17" s="25">
        <f t="shared" si="1"/>
        <v>13</v>
      </c>
      <c r="O17" s="25">
        <f t="shared" si="2"/>
        <v>20.1111111111111</v>
      </c>
      <c r="P17" s="25">
        <f t="shared" si="2"/>
        <v>5</v>
      </c>
      <c r="Q17" s="25">
        <f t="shared" si="2"/>
        <v>29.012499999999999</v>
      </c>
      <c r="R17" s="25">
        <f t="shared" si="2"/>
        <v>4</v>
      </c>
      <c r="S17" s="33">
        <f t="shared" si="3"/>
        <v>58.123611111111103</v>
      </c>
      <c r="T17" s="24">
        <v>3</v>
      </c>
      <c r="U17" s="24">
        <v>5</v>
      </c>
      <c r="V17" s="24">
        <v>24</v>
      </c>
      <c r="W17" s="24">
        <v>3</v>
      </c>
      <c r="X17" s="33">
        <f t="shared" si="4"/>
        <v>35</v>
      </c>
      <c r="Y17" s="24">
        <v>3</v>
      </c>
      <c r="Z17" s="24">
        <v>5</v>
      </c>
      <c r="AA17" s="24">
        <v>24</v>
      </c>
      <c r="AB17" s="24">
        <v>3</v>
      </c>
      <c r="AC17" s="25">
        <f t="shared" si="5"/>
        <v>35</v>
      </c>
      <c r="AD17" s="25">
        <f>(Y17*7050+Z17*6485+AA17*5800+AB17*4900)*12</f>
        <v>2489700</v>
      </c>
      <c r="AE17" s="25">
        <f t="shared" si="7"/>
        <v>151200</v>
      </c>
      <c r="AF17" s="25">
        <f t="shared" si="8"/>
        <v>210000</v>
      </c>
      <c r="AG17" s="25">
        <f t="shared" si="9"/>
        <v>84000</v>
      </c>
      <c r="AH17" s="25">
        <f t="shared" si="10"/>
        <v>329000</v>
      </c>
      <c r="AI17" s="25">
        <f t="shared" si="11"/>
        <v>28000</v>
      </c>
      <c r="AJ17" s="25">
        <f t="shared" si="12"/>
        <v>20000</v>
      </c>
      <c r="AK17" s="25">
        <f t="shared" si="13"/>
        <v>33600</v>
      </c>
      <c r="AL17" s="25">
        <f t="shared" si="14"/>
        <v>1062374.48</v>
      </c>
      <c r="AM17" s="25">
        <f t="shared" si="15"/>
        <v>4407874</v>
      </c>
      <c r="AN17" s="59"/>
      <c r="AO17" s="61">
        <f t="shared" si="16"/>
        <v>4407874</v>
      </c>
    </row>
    <row r="18" spans="1:41" s="26" customFormat="1" ht="18" customHeight="1">
      <c r="A18" s="22" t="s">
        <v>2</v>
      </c>
      <c r="B18" s="23" t="s">
        <v>250</v>
      </c>
      <c r="C18" s="23" t="s">
        <v>236</v>
      </c>
      <c r="D18" s="24">
        <v>1</v>
      </c>
      <c r="E18" s="29">
        <v>5.0940170940170999</v>
      </c>
      <c r="F18" s="29">
        <v>3</v>
      </c>
      <c r="G18" s="29">
        <v>16.962499999999999</v>
      </c>
      <c r="H18" s="29">
        <v>2</v>
      </c>
      <c r="I18" s="25">
        <f t="shared" si="0"/>
        <v>27.056517094017099</v>
      </c>
      <c r="J18" s="24">
        <v>1</v>
      </c>
      <c r="K18" s="24">
        <v>0</v>
      </c>
      <c r="L18" s="24">
        <v>0</v>
      </c>
      <c r="M18" s="24">
        <v>0</v>
      </c>
      <c r="N18" s="25">
        <f t="shared" si="1"/>
        <v>1</v>
      </c>
      <c r="O18" s="25">
        <f t="shared" si="2"/>
        <v>6.0940170940170999</v>
      </c>
      <c r="P18" s="25">
        <f t="shared" si="2"/>
        <v>3</v>
      </c>
      <c r="Q18" s="25">
        <f t="shared" si="2"/>
        <v>16.962499999999999</v>
      </c>
      <c r="R18" s="25">
        <f t="shared" si="2"/>
        <v>2</v>
      </c>
      <c r="S18" s="33">
        <f t="shared" si="3"/>
        <v>28.056517094017099</v>
      </c>
      <c r="T18" s="24">
        <v>0</v>
      </c>
      <c r="U18" s="24">
        <v>3</v>
      </c>
      <c r="V18" s="24">
        <v>17</v>
      </c>
      <c r="W18" s="24">
        <v>2</v>
      </c>
      <c r="X18" s="33">
        <f t="shared" si="4"/>
        <v>22</v>
      </c>
      <c r="Y18" s="24">
        <v>0</v>
      </c>
      <c r="Z18" s="24">
        <v>3</v>
      </c>
      <c r="AA18" s="24">
        <v>17</v>
      </c>
      <c r="AB18" s="24">
        <v>2</v>
      </c>
      <c r="AC18" s="25">
        <f t="shared" si="5"/>
        <v>22</v>
      </c>
      <c r="AD18" s="25">
        <f>(Y18*7050+Z18*6485+AA18*5800+AB18*4900)*12</f>
        <v>1534260</v>
      </c>
      <c r="AE18" s="25">
        <f t="shared" si="7"/>
        <v>95040</v>
      </c>
      <c r="AF18" s="25">
        <f t="shared" si="8"/>
        <v>132000</v>
      </c>
      <c r="AG18" s="25">
        <f t="shared" si="9"/>
        <v>52800</v>
      </c>
      <c r="AH18" s="25">
        <f t="shared" si="10"/>
        <v>206800</v>
      </c>
      <c r="AI18" s="25">
        <f t="shared" si="11"/>
        <v>17600</v>
      </c>
      <c r="AJ18" s="25">
        <f t="shared" si="12"/>
        <v>10000</v>
      </c>
      <c r="AK18" s="25">
        <f t="shared" si="13"/>
        <v>21120</v>
      </c>
      <c r="AL18" s="25">
        <f t="shared" si="14"/>
        <v>667778.24</v>
      </c>
      <c r="AM18" s="25">
        <f t="shared" si="15"/>
        <v>2737398</v>
      </c>
      <c r="AN18" s="60"/>
      <c r="AO18" s="61">
        <f t="shared" si="16"/>
        <v>2737398</v>
      </c>
    </row>
    <row r="19" spans="1:41" ht="18" customHeight="1">
      <c r="A19" s="22" t="s">
        <v>2</v>
      </c>
      <c r="B19" s="23" t="s">
        <v>251</v>
      </c>
      <c r="C19" s="23" t="s">
        <v>333</v>
      </c>
      <c r="D19" s="24"/>
      <c r="E19" s="29">
        <v>6</v>
      </c>
      <c r="F19" s="29">
        <v>11</v>
      </c>
      <c r="G19" s="29">
        <v>0</v>
      </c>
      <c r="H19" s="29">
        <v>8</v>
      </c>
      <c r="I19" s="25">
        <f t="shared" si="0"/>
        <v>25</v>
      </c>
      <c r="J19" s="24">
        <v>0</v>
      </c>
      <c r="K19" s="24">
        <v>0</v>
      </c>
      <c r="L19" s="24">
        <v>0</v>
      </c>
      <c r="M19" s="24">
        <v>0</v>
      </c>
      <c r="N19" s="25">
        <f t="shared" si="1"/>
        <v>0</v>
      </c>
      <c r="O19" s="25">
        <f t="shared" si="2"/>
        <v>6</v>
      </c>
      <c r="P19" s="25">
        <f t="shared" si="2"/>
        <v>11</v>
      </c>
      <c r="Q19" s="25">
        <f t="shared" si="2"/>
        <v>0</v>
      </c>
      <c r="R19" s="25">
        <f t="shared" si="2"/>
        <v>8</v>
      </c>
      <c r="S19" s="33">
        <f t="shared" si="3"/>
        <v>25</v>
      </c>
      <c r="T19" s="24">
        <v>5</v>
      </c>
      <c r="U19" s="24">
        <v>9</v>
      </c>
      <c r="V19" s="24">
        <v>1</v>
      </c>
      <c r="W19" s="24">
        <v>10</v>
      </c>
      <c r="X19" s="33">
        <f t="shared" si="4"/>
        <v>25</v>
      </c>
      <c r="Y19" s="24">
        <v>5</v>
      </c>
      <c r="Z19" s="24">
        <v>9</v>
      </c>
      <c r="AA19" s="24">
        <v>1</v>
      </c>
      <c r="AB19" s="24">
        <v>10</v>
      </c>
      <c r="AC19" s="25">
        <f t="shared" si="5"/>
        <v>25</v>
      </c>
      <c r="AD19" s="25">
        <f>(Y19*9230+Z19*7215+AA19*5800+AB19*5100)*12</f>
        <v>2014620</v>
      </c>
      <c r="AE19" s="25">
        <f t="shared" si="7"/>
        <v>108000</v>
      </c>
      <c r="AF19" s="25">
        <f t="shared" si="8"/>
        <v>150000</v>
      </c>
      <c r="AG19" s="25">
        <f t="shared" si="9"/>
        <v>60000</v>
      </c>
      <c r="AH19" s="25">
        <f>Y19*15400+(Z19+AA19+AB19)*9400</f>
        <v>265000</v>
      </c>
      <c r="AI19" s="25">
        <f t="shared" si="11"/>
        <v>20000</v>
      </c>
      <c r="AJ19" s="25">
        <f t="shared" si="12"/>
        <v>0</v>
      </c>
      <c r="AK19" s="25">
        <f t="shared" si="13"/>
        <v>24000</v>
      </c>
      <c r="AL19" s="25">
        <f t="shared" si="14"/>
        <v>758838.91</v>
      </c>
      <c r="AM19" s="25">
        <f t="shared" si="15"/>
        <v>3400459</v>
      </c>
      <c r="AN19" s="59">
        <v>63959.5</v>
      </c>
      <c r="AO19" s="59">
        <f t="shared" si="16"/>
        <v>3464418.5</v>
      </c>
    </row>
    <row r="20" spans="1:41" ht="18" customHeight="1">
      <c r="A20" s="22" t="s">
        <v>2</v>
      </c>
      <c r="B20" s="23" t="s">
        <v>169</v>
      </c>
      <c r="C20" s="23" t="s">
        <v>236</v>
      </c>
      <c r="D20" s="24">
        <v>2</v>
      </c>
      <c r="E20" s="29">
        <v>14.452991452991499</v>
      </c>
      <c r="F20" s="29">
        <v>6</v>
      </c>
      <c r="G20" s="29">
        <v>25.0625</v>
      </c>
      <c r="H20" s="29">
        <v>2</v>
      </c>
      <c r="I20" s="25">
        <f t="shared" si="0"/>
        <v>47.515491452991498</v>
      </c>
      <c r="J20" s="24">
        <v>0</v>
      </c>
      <c r="K20" s="24">
        <v>0</v>
      </c>
      <c r="L20" s="24">
        <v>3</v>
      </c>
      <c r="M20" s="24">
        <v>0</v>
      </c>
      <c r="N20" s="25">
        <f t="shared" si="1"/>
        <v>3</v>
      </c>
      <c r="O20" s="25">
        <f>E20+J20</f>
        <v>14.452991452991499</v>
      </c>
      <c r="P20" s="25">
        <f>F20+K20</f>
        <v>6</v>
      </c>
      <c r="Q20" s="25">
        <f>G20+L20</f>
        <v>28.0625</v>
      </c>
      <c r="R20" s="25">
        <f>H20+M20</f>
        <v>2</v>
      </c>
      <c r="S20" s="33">
        <f t="shared" si="3"/>
        <v>50.515491452991498</v>
      </c>
      <c r="T20" s="24">
        <v>14</v>
      </c>
      <c r="U20" s="24">
        <v>6</v>
      </c>
      <c r="V20" s="24">
        <v>25</v>
      </c>
      <c r="W20" s="24">
        <v>2</v>
      </c>
      <c r="X20" s="33">
        <f t="shared" si="4"/>
        <v>47</v>
      </c>
      <c r="Y20" s="24">
        <v>14</v>
      </c>
      <c r="Z20" s="24">
        <v>6</v>
      </c>
      <c r="AA20" s="24">
        <v>25</v>
      </c>
      <c r="AB20" s="24">
        <v>2</v>
      </c>
      <c r="AC20" s="25">
        <f t="shared" si="5"/>
        <v>47</v>
      </c>
      <c r="AD20" s="25">
        <f>(Y20*7050+Z20*6485+AA20*5800+AB20*4900)*12</f>
        <v>3508920</v>
      </c>
      <c r="AE20" s="25">
        <f t="shared" si="7"/>
        <v>203040</v>
      </c>
      <c r="AF20" s="25">
        <f t="shared" si="8"/>
        <v>282000</v>
      </c>
      <c r="AG20" s="25">
        <f t="shared" si="9"/>
        <v>112800</v>
      </c>
      <c r="AH20" s="25">
        <f t="shared" si="10"/>
        <v>441800</v>
      </c>
      <c r="AI20" s="25">
        <f>AC20*800</f>
        <v>37600</v>
      </c>
      <c r="AJ20" s="25">
        <f>D20*50*200</f>
        <v>20000</v>
      </c>
      <c r="AK20" s="25">
        <f>AC20*960</f>
        <v>45120</v>
      </c>
      <c r="AL20" s="25">
        <f t="shared" si="14"/>
        <v>1426617.15</v>
      </c>
      <c r="AM20" s="25">
        <f t="shared" si="15"/>
        <v>6077897</v>
      </c>
      <c r="AN20" s="59"/>
      <c r="AO20" s="61">
        <f t="shared" si="16"/>
        <v>6077897</v>
      </c>
    </row>
    <row r="21" spans="1:41" ht="18" customHeight="1">
      <c r="A21" s="22" t="s">
        <v>2</v>
      </c>
      <c r="B21" s="23" t="s">
        <v>335</v>
      </c>
      <c r="C21" s="23" t="s">
        <v>168</v>
      </c>
      <c r="D21" s="24"/>
      <c r="E21" s="29">
        <v>21</v>
      </c>
      <c r="F21" s="29">
        <v>9</v>
      </c>
      <c r="G21" s="29">
        <v>0</v>
      </c>
      <c r="H21" s="29">
        <v>5</v>
      </c>
      <c r="I21" s="25">
        <f t="shared" ref="I21" si="19">SUM(E21:H21)</f>
        <v>35</v>
      </c>
      <c r="J21" s="24">
        <v>10</v>
      </c>
      <c r="K21" s="24">
        <v>1</v>
      </c>
      <c r="L21" s="24">
        <v>0</v>
      </c>
      <c r="M21" s="24">
        <v>0</v>
      </c>
      <c r="N21" s="25">
        <f t="shared" ref="N21" si="20">SUM(J21:M21)</f>
        <v>11</v>
      </c>
      <c r="O21" s="25">
        <f t="shared" si="2"/>
        <v>31</v>
      </c>
      <c r="P21" s="25">
        <f t="shared" si="2"/>
        <v>10</v>
      </c>
      <c r="Q21" s="25">
        <f t="shared" si="2"/>
        <v>0</v>
      </c>
      <c r="R21" s="25">
        <f t="shared" si="2"/>
        <v>5</v>
      </c>
      <c r="S21" s="33">
        <f t="shared" ref="S21" si="21">SUM(O21:R21)</f>
        <v>46</v>
      </c>
      <c r="T21" s="24">
        <v>10</v>
      </c>
      <c r="U21" s="24">
        <v>7</v>
      </c>
      <c r="V21" s="24">
        <v>1</v>
      </c>
      <c r="W21" s="24">
        <v>4</v>
      </c>
      <c r="X21" s="33">
        <f t="shared" ref="X21" si="22">SUM(T21:W21)</f>
        <v>22</v>
      </c>
      <c r="Y21" s="24">
        <v>10</v>
      </c>
      <c r="Z21" s="24">
        <v>7</v>
      </c>
      <c r="AA21" s="24">
        <v>1</v>
      </c>
      <c r="AB21" s="24">
        <v>4</v>
      </c>
      <c r="AC21" s="25">
        <f t="shared" ref="AC21" si="23">SUM(Y21:AB21)</f>
        <v>22</v>
      </c>
      <c r="AD21" s="25">
        <f>(Y21*9230+Z21*7215+AA21*5800+AB21*5100)*12</f>
        <v>2028060</v>
      </c>
      <c r="AE21" s="25">
        <f t="shared" ref="AE21" si="24">AC21*4320</f>
        <v>95040</v>
      </c>
      <c r="AF21" s="25">
        <f t="shared" ref="AF21" si="25">AC21*6000</f>
        <v>132000</v>
      </c>
      <c r="AG21" s="25">
        <f t="shared" ref="AG21" si="26">AC21*2400</f>
        <v>52800</v>
      </c>
      <c r="AH21" s="25">
        <f>Y21*15400+(Z21+AA21+AB21)*9400</f>
        <v>266800</v>
      </c>
      <c r="AI21" s="25">
        <f t="shared" ref="AI21" si="27">AC21*800</f>
        <v>17600</v>
      </c>
      <c r="AJ21" s="25">
        <f t="shared" si="12"/>
        <v>0</v>
      </c>
      <c r="AK21" s="25">
        <f t="shared" si="13"/>
        <v>21120</v>
      </c>
      <c r="AL21" s="25">
        <f t="shared" ref="AL21" si="28">ROUND((7384*0.34256*AC21*12),2)</f>
        <v>667778.24</v>
      </c>
      <c r="AM21" s="25">
        <f t="shared" ref="AM21" si="29">ROUND(SUM(AD21:AL21),0)</f>
        <v>3281198</v>
      </c>
      <c r="AN21" s="59">
        <v>45124</v>
      </c>
      <c r="AO21" s="59">
        <f t="shared" si="16"/>
        <v>3326322</v>
      </c>
    </row>
    <row r="22" spans="1:41" s="28" customFormat="1" ht="18" customHeight="1">
      <c r="A22" s="88"/>
      <c r="B22" s="88" t="s">
        <v>252</v>
      </c>
      <c r="C22" s="88"/>
      <c r="D22" s="27">
        <f>SUM(D4:D21)</f>
        <v>15</v>
      </c>
      <c r="E22" s="27">
        <f t="shared" ref="E22:AO22" si="30">SUM(E4:E21)</f>
        <v>270.30036877704231</v>
      </c>
      <c r="F22" s="27">
        <f t="shared" si="30"/>
        <v>134</v>
      </c>
      <c r="G22" s="27">
        <f t="shared" si="30"/>
        <v>239.08749999999998</v>
      </c>
      <c r="H22" s="27">
        <f t="shared" si="30"/>
        <v>82</v>
      </c>
      <c r="I22" s="27">
        <f t="shared" si="30"/>
        <v>725.38786877704217</v>
      </c>
      <c r="J22" s="27">
        <f t="shared" si="30"/>
        <v>40</v>
      </c>
      <c r="K22" s="27">
        <f t="shared" si="30"/>
        <v>10</v>
      </c>
      <c r="L22" s="27">
        <f t="shared" si="30"/>
        <v>15</v>
      </c>
      <c r="M22" s="27">
        <f t="shared" si="30"/>
        <v>13</v>
      </c>
      <c r="N22" s="27">
        <f t="shared" si="30"/>
        <v>78</v>
      </c>
      <c r="O22" s="27">
        <f t="shared" si="30"/>
        <v>310.30036877704231</v>
      </c>
      <c r="P22" s="27">
        <f t="shared" si="30"/>
        <v>144</v>
      </c>
      <c r="Q22" s="27">
        <f t="shared" si="30"/>
        <v>254.08749999999998</v>
      </c>
      <c r="R22" s="27">
        <f t="shared" si="30"/>
        <v>95</v>
      </c>
      <c r="S22" s="27">
        <f t="shared" si="30"/>
        <v>803.38786877704217</v>
      </c>
      <c r="T22" s="27">
        <f t="shared" si="30"/>
        <v>74</v>
      </c>
      <c r="U22" s="27">
        <f t="shared" si="30"/>
        <v>86</v>
      </c>
      <c r="V22" s="27">
        <f t="shared" si="30"/>
        <v>243</v>
      </c>
      <c r="W22" s="27">
        <f t="shared" si="30"/>
        <v>98</v>
      </c>
      <c r="X22" s="27">
        <f t="shared" si="30"/>
        <v>501</v>
      </c>
      <c r="Y22" s="27">
        <f t="shared" si="30"/>
        <v>72.846153846153797</v>
      </c>
      <c r="Z22" s="27">
        <f t="shared" si="30"/>
        <v>85</v>
      </c>
      <c r="AA22" s="27">
        <f t="shared" si="30"/>
        <v>242.41249999999999</v>
      </c>
      <c r="AB22" s="27">
        <f t="shared" si="30"/>
        <v>98</v>
      </c>
      <c r="AC22" s="27">
        <f t="shared" si="30"/>
        <v>498.25865384615383</v>
      </c>
      <c r="AD22" s="27">
        <f t="shared" si="30"/>
        <v>36379474.615384609</v>
      </c>
      <c r="AE22" s="27">
        <f t="shared" si="30"/>
        <v>2152477.3846153845</v>
      </c>
      <c r="AF22" s="27">
        <f t="shared" si="30"/>
        <v>2989551.923076923</v>
      </c>
      <c r="AG22" s="27">
        <f t="shared" si="30"/>
        <v>1195820.769230769</v>
      </c>
      <c r="AH22" s="27">
        <f t="shared" si="30"/>
        <v>4821631.346153846</v>
      </c>
      <c r="AI22" s="27">
        <f t="shared" si="30"/>
        <v>398606.92307692306</v>
      </c>
      <c r="AJ22" s="27">
        <f t="shared" si="30"/>
        <v>150000</v>
      </c>
      <c r="AK22" s="27">
        <f t="shared" si="30"/>
        <v>478328.30769230763</v>
      </c>
      <c r="AL22" s="27">
        <f t="shared" si="30"/>
        <v>15123922.170000004</v>
      </c>
      <c r="AM22" s="27">
        <f t="shared" si="30"/>
        <v>63689813</v>
      </c>
      <c r="AN22" s="27">
        <f t="shared" si="30"/>
        <v>741842.75</v>
      </c>
      <c r="AO22" s="27">
        <f t="shared" si="30"/>
        <v>64431655.75</v>
      </c>
    </row>
  </sheetData>
  <autoFilter ref="A2:AN22">
    <filterColumn colId="4" showButton="0"/>
    <filterColumn colId="5" showButton="0"/>
    <filterColumn colId="6" showButton="0"/>
    <filterColumn colId="7" showButton="0"/>
    <filterColumn colId="9" showButton="0"/>
    <filterColumn colId="10" showButton="0"/>
    <filterColumn colId="11" showButton="0"/>
    <filterColumn colId="12" showButton="0"/>
    <filterColumn colId="14" showButton="0"/>
    <filterColumn colId="15" showButton="0"/>
    <filterColumn colId="16" showButton="0"/>
    <filterColumn colId="17" showButton="0"/>
    <filterColumn colId="19" showButton="0"/>
    <filterColumn colId="20" showButton="0"/>
    <filterColumn colId="21" showButton="0"/>
    <filterColumn colId="22" showButton="0"/>
    <filterColumn colId="24" showButton="0"/>
    <filterColumn colId="25" showButton="0"/>
    <filterColumn colId="26" showButton="0"/>
    <filterColumn colId="27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</autoFilter>
  <mergeCells count="13">
    <mergeCell ref="AN2:AN3"/>
    <mergeCell ref="AO2:AO3"/>
    <mergeCell ref="A1:AO1"/>
    <mergeCell ref="AD2:AM2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E13"/>
  <sheetViews>
    <sheetView workbookViewId="0">
      <selection activeCell="N3" sqref="N3"/>
    </sheetView>
  </sheetViews>
  <sheetFormatPr defaultRowHeight="13.5" outlineLevelRow="2"/>
  <cols>
    <col min="1" max="1" width="9.625" style="98" customWidth="1"/>
    <col min="2" max="2" width="30" style="98" customWidth="1"/>
    <col min="3" max="5" width="15.625" style="98" customWidth="1"/>
    <col min="6" max="16384" width="9" style="98"/>
  </cols>
  <sheetData>
    <row r="1" spans="1:5" ht="35.25" customHeight="1">
      <c r="A1" s="157" t="s">
        <v>363</v>
      </c>
      <c r="B1" s="157"/>
      <c r="C1" s="157"/>
      <c r="D1" s="158"/>
      <c r="E1" s="158"/>
    </row>
    <row r="2" spans="1:5" s="100" customFormat="1" ht="18" customHeight="1">
      <c r="A2" s="94" t="s">
        <v>364</v>
      </c>
      <c r="B2" s="99" t="s">
        <v>365</v>
      </c>
      <c r="C2" s="99" t="s">
        <v>366</v>
      </c>
      <c r="D2" s="97" t="s">
        <v>367</v>
      </c>
      <c r="E2" s="97" t="s">
        <v>368</v>
      </c>
    </row>
    <row r="3" spans="1:5" ht="18" customHeight="1" outlineLevel="2">
      <c r="A3" s="101" t="s">
        <v>369</v>
      </c>
      <c r="B3" s="102" t="s">
        <v>142</v>
      </c>
      <c r="C3" s="103">
        <v>115139.5</v>
      </c>
      <c r="D3" s="104">
        <v>125152</v>
      </c>
      <c r="E3" s="104">
        <f t="shared" ref="E3:E12" si="0">C3-D3</f>
        <v>-10012.5</v>
      </c>
    </row>
    <row r="4" spans="1:5" ht="18" customHeight="1" outlineLevel="2">
      <c r="A4" s="101" t="s">
        <v>369</v>
      </c>
      <c r="B4" s="102" t="s">
        <v>143</v>
      </c>
      <c r="C4" s="103">
        <v>54769</v>
      </c>
      <c r="D4" s="104">
        <v>66087.5</v>
      </c>
      <c r="E4" s="104">
        <f t="shared" si="0"/>
        <v>-11318.5</v>
      </c>
    </row>
    <row r="5" spans="1:5" ht="18" customHeight="1" outlineLevel="2">
      <c r="A5" s="101" t="s">
        <v>369</v>
      </c>
      <c r="B5" s="102" t="s">
        <v>144</v>
      </c>
      <c r="C5" s="103">
        <v>70194.25</v>
      </c>
      <c r="D5" s="104">
        <v>98406.25</v>
      </c>
      <c r="E5" s="104">
        <f t="shared" si="0"/>
        <v>-28212</v>
      </c>
    </row>
    <row r="6" spans="1:5" ht="18" customHeight="1" outlineLevel="2">
      <c r="A6" s="101" t="s">
        <v>369</v>
      </c>
      <c r="B6" s="102" t="s">
        <v>145</v>
      </c>
      <c r="C6" s="103">
        <v>189595.75</v>
      </c>
      <c r="D6" s="104">
        <v>68976.25</v>
      </c>
      <c r="E6" s="104">
        <f t="shared" si="0"/>
        <v>120619.5</v>
      </c>
    </row>
    <row r="7" spans="1:5" ht="18" customHeight="1" outlineLevel="2">
      <c r="A7" s="101" t="s">
        <v>369</v>
      </c>
      <c r="B7" s="102" t="s">
        <v>354</v>
      </c>
      <c r="C7" s="103">
        <v>24225</v>
      </c>
      <c r="D7" s="104">
        <v>67830</v>
      </c>
      <c r="E7" s="104">
        <f t="shared" si="0"/>
        <v>-43605</v>
      </c>
    </row>
    <row r="8" spans="1:5" ht="18" customHeight="1" outlineLevel="2">
      <c r="A8" s="101" t="s">
        <v>369</v>
      </c>
      <c r="B8" s="102" t="s">
        <v>141</v>
      </c>
      <c r="C8" s="103">
        <v>38527</v>
      </c>
      <c r="D8" s="104">
        <v>63959.5</v>
      </c>
      <c r="E8" s="104">
        <f t="shared" si="0"/>
        <v>-25432.5</v>
      </c>
    </row>
    <row r="9" spans="1:5" ht="18" customHeight="1" outlineLevel="2">
      <c r="A9" s="101" t="s">
        <v>369</v>
      </c>
      <c r="B9" s="106" t="s">
        <v>146</v>
      </c>
      <c r="C9" s="103">
        <v>68616.25</v>
      </c>
      <c r="D9" s="104">
        <v>45124</v>
      </c>
      <c r="E9" s="104">
        <f t="shared" si="0"/>
        <v>23492.25</v>
      </c>
    </row>
    <row r="10" spans="1:5" ht="18" customHeight="1" outlineLevel="2">
      <c r="A10" s="101" t="s">
        <v>369</v>
      </c>
      <c r="B10" s="102" t="s">
        <v>138</v>
      </c>
      <c r="C10" s="103">
        <v>111379</v>
      </c>
      <c r="D10" s="104">
        <v>118953.5</v>
      </c>
      <c r="E10" s="104">
        <f t="shared" si="0"/>
        <v>-7574.5</v>
      </c>
    </row>
    <row r="11" spans="1:5" ht="18" customHeight="1" outlineLevel="2">
      <c r="A11" s="101" t="s">
        <v>369</v>
      </c>
      <c r="B11" s="102" t="s">
        <v>139</v>
      </c>
      <c r="C11" s="103">
        <v>21568</v>
      </c>
      <c r="D11" s="104">
        <v>70970</v>
      </c>
      <c r="E11" s="104">
        <f t="shared" si="0"/>
        <v>-49402</v>
      </c>
    </row>
    <row r="12" spans="1:5" ht="18" customHeight="1" outlineLevel="2">
      <c r="A12" s="101" t="s">
        <v>369</v>
      </c>
      <c r="B12" s="102" t="s">
        <v>140</v>
      </c>
      <c r="C12" s="103">
        <v>33544</v>
      </c>
      <c r="D12" s="104">
        <v>16383.75</v>
      </c>
      <c r="E12" s="104">
        <f t="shared" si="0"/>
        <v>17160.25</v>
      </c>
    </row>
    <row r="13" spans="1:5" ht="18" customHeight="1" outlineLevel="1">
      <c r="A13" s="105" t="s">
        <v>148</v>
      </c>
      <c r="B13" s="102"/>
      <c r="C13" s="103">
        <f>SUBTOTAL(9,C3:C12)</f>
        <v>727557.75</v>
      </c>
      <c r="D13" s="104">
        <f>SUBTOTAL(9,D3:D12)</f>
        <v>741842.75</v>
      </c>
      <c r="E13" s="104">
        <f>SUBTOTAL(9,E3:E12)</f>
        <v>-14285</v>
      </c>
    </row>
  </sheetData>
  <mergeCells count="1">
    <mergeCell ref="A1:E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9</vt:i4>
      </vt:variant>
      <vt:variant>
        <vt:lpstr>命名范围</vt:lpstr>
      </vt:variant>
      <vt:variant>
        <vt:i4>9</vt:i4>
      </vt:variant>
    </vt:vector>
  </HeadingPairs>
  <TitlesOfParts>
    <vt:vector size="18" baseType="lpstr">
      <vt:lpstr>浦江镇</vt:lpstr>
      <vt:lpstr>浦江</vt:lpstr>
      <vt:lpstr>清算2024年绩效</vt:lpstr>
      <vt:lpstr>补缴年金</vt:lpstr>
      <vt:lpstr>残疾就业保障</vt:lpstr>
      <vt:lpstr>社区教育</vt:lpstr>
      <vt:lpstr>保安经费</vt:lpstr>
      <vt:lpstr>补充公用经费</vt:lpstr>
      <vt:lpstr>清算补充公用经费</vt:lpstr>
      <vt:lpstr>保安经费!Print_Area</vt:lpstr>
      <vt:lpstr>补充公用经费!Print_Area</vt:lpstr>
      <vt:lpstr>残疾就业保障!Print_Area</vt:lpstr>
      <vt:lpstr>浦江!Print_Area</vt:lpstr>
      <vt:lpstr>社区教育!Print_Area</vt:lpstr>
      <vt:lpstr>保安经费!Print_Titles</vt:lpstr>
      <vt:lpstr>补充公用经费!Print_Titles</vt:lpstr>
      <vt:lpstr>残疾就业保障!Print_Titles</vt:lpstr>
      <vt:lpstr>浦江!Print_Titles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2025-01-02T06:09:08Z</cp:lastPrinted>
  <dcterms:created xsi:type="dcterms:W3CDTF">2022-11-10T02:18:00Z</dcterms:created>
  <dcterms:modified xsi:type="dcterms:W3CDTF">2025-02-17T05:51:25Z</dcterms:modified>
</cp:coreProperties>
</file>