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华漕镇" sheetId="82" r:id="rId1"/>
    <sheet name="基本支出" sheetId="63" state="hidden" r:id="rId2"/>
    <sheet name="莘庄" sheetId="54" state="hidden" r:id="rId3"/>
    <sheet name="吴泾" sheetId="55" state="hidden" r:id="rId4"/>
    <sheet name="七宝" sheetId="61" state="hidden" r:id="rId5"/>
    <sheet name="马桥" sheetId="59" state="hidden" r:id="rId6"/>
    <sheet name="华漕" sheetId="58" state="hidden" r:id="rId7"/>
    <sheet name="颛桥" sheetId="57" state="hidden" r:id="rId8"/>
    <sheet name="虹桥" sheetId="56" state="hidden" r:id="rId9"/>
    <sheet name="清算2024年绩效" sheetId="64" state="hidden" r:id="rId10"/>
    <sheet name="2024年绩效增量" sheetId="68" state="hidden" r:id="rId11"/>
    <sheet name="补缴年金" sheetId="67" state="hidden" r:id="rId12"/>
    <sheet name="残疾就业保障" sheetId="31" state="hidden" r:id="rId13"/>
    <sheet name="社区教育" sheetId="43" state="hidden" r:id="rId14"/>
    <sheet name="保安经费" sheetId="33" state="hidden" r:id="rId15"/>
    <sheet name="补充公用经费" sheetId="32" state="hidden" r:id="rId16"/>
    <sheet name="清算补充公用经费" sheetId="65" state="hidden" r:id="rId17"/>
    <sheet name="Sheet1" sheetId="66" state="hidden" r:id="rId18"/>
    <sheet name="抚恤金" sheetId="75" state="hidden" r:id="rId19"/>
    <sheet name="中小学教育补充" sheetId="70" state="hidden" r:id="rId20"/>
    <sheet name="2025年设备购置与更新" sheetId="74" state="hidden" r:id="rId21"/>
    <sheet name="2025年校舍维修" sheetId="76" state="hidden" r:id="rId22"/>
    <sheet name="2024年校舍维修尾款" sheetId="73" state="hidden" r:id="rId23"/>
    <sheet name="保安经费追加" sheetId="81" state="hidden" r:id="rId24"/>
  </sheets>
  <definedNames>
    <definedName name="_xlnm._FilterDatabase" localSheetId="20" hidden="1">'2025年设备购置与更新'!$A$2:$N$9</definedName>
    <definedName name="_xlnm._FilterDatabase" localSheetId="14" hidden="1">保安经费!$A$2:$J$182</definedName>
    <definedName name="_xlnm._FilterDatabase" localSheetId="15" hidden="1">补充公用经费!$A$2:$AN$116</definedName>
    <definedName name="_xlnm._FilterDatabase" localSheetId="12" hidden="1">残疾就业保障!$A$2:$E$122</definedName>
    <definedName name="_xlnm._FilterDatabase" localSheetId="19" hidden="1">中小学教育补充!$A$2:$L$10</definedName>
    <definedName name="_xlnm.Print_Area" localSheetId="22">'2024年校舍维修尾款'!$A$1:$K$4</definedName>
    <definedName name="_xlnm.Print_Area" localSheetId="20">'2025年设备购置与更新'!$A$1:$L$9</definedName>
    <definedName name="_xlnm.Print_Area" localSheetId="21">'2025年校舍维修'!$A$1:$J$66</definedName>
    <definedName name="_xlnm.Print_Area" localSheetId="14">保安经费!$A$1:$J$183</definedName>
    <definedName name="_xlnm.Print_Area" localSheetId="23">保安经费追加!$A$1:$H$4</definedName>
    <definedName name="_xlnm.Print_Area" localSheetId="15">补充公用经费!$A$1:$AO$116</definedName>
    <definedName name="_xlnm.Print_Area" localSheetId="12">残疾就业保障!$A$1:$E$122</definedName>
    <definedName name="_xlnm.Print_Area" localSheetId="8">虹桥!$A$1:$P$72</definedName>
    <definedName name="_xlnm.Print_Area" localSheetId="6">华漕!$A$1:$O$72</definedName>
    <definedName name="_xlnm.Print_Area" localSheetId="1">基本支出!$A$1:$N$71</definedName>
    <definedName name="_xlnm.Print_Area" localSheetId="5">马桥!$A$1:$Q$72</definedName>
    <definedName name="_xlnm.Print_Area" localSheetId="4">七宝!$A$1:$Y$72</definedName>
    <definedName name="_xlnm.Print_Area" localSheetId="13">社区教育!$A$1:$C$13</definedName>
    <definedName name="_xlnm.Print_Area" localSheetId="2">莘庄!$A$1:$K$72</definedName>
    <definedName name="_xlnm.Print_Area" localSheetId="3">吴泾!$A$1:$K$72</definedName>
    <definedName name="_xlnm.Print_Area" localSheetId="19">中小学教育补充!$A$1:$J$10</definedName>
    <definedName name="_xlnm.Print_Area" localSheetId="7">颛桥!$A$1:$T$72</definedName>
    <definedName name="_xlnm.Print_Titles" localSheetId="22">'2024年校舍维修尾款'!$1:$2</definedName>
    <definedName name="_xlnm.Print_Titles" localSheetId="20">'2025年设备购置与更新'!$1:$2</definedName>
    <definedName name="_xlnm.Print_Titles" localSheetId="21">'2025年校舍维修'!$1:$3</definedName>
    <definedName name="_xlnm.Print_Titles" localSheetId="14">保安经费!$1:$2</definedName>
    <definedName name="_xlnm.Print_Titles" localSheetId="23">保安经费追加!$1:$2</definedName>
    <definedName name="_xlnm.Print_Titles" localSheetId="15">补充公用经费!$1:$3</definedName>
    <definedName name="_xlnm.Print_Titles" localSheetId="12">残疾就业保障!$1:$2</definedName>
    <definedName name="_xlnm.Print_Titles" localSheetId="8">虹桥!$1:$3</definedName>
    <definedName name="_xlnm.Print_Titles" localSheetId="6">华漕!$1:$3</definedName>
    <definedName name="_xlnm.Print_Titles" localSheetId="1">基本支出!$1:$2</definedName>
    <definedName name="_xlnm.Print_Titles" localSheetId="5">马桥!$1:$3</definedName>
    <definedName name="_xlnm.Print_Titles" localSheetId="4">七宝!$1:$3</definedName>
    <definedName name="_xlnm.Print_Titles" localSheetId="2">莘庄!$1:$3</definedName>
    <definedName name="_xlnm.Print_Titles" localSheetId="3">吴泾!$1:$3</definedName>
    <definedName name="_xlnm.Print_Titles" localSheetId="19">中小学教育补充!$1:$2</definedName>
    <definedName name="_xlnm.Print_Titles" localSheetId="7">颛桥!$1:$3</definedName>
  </definedNames>
  <calcPr calcId="124519"/>
</workbook>
</file>

<file path=xl/calcChain.xml><?xml version="1.0" encoding="utf-8"?>
<calcChain xmlns="http://schemas.openxmlformats.org/spreadsheetml/2006/main">
  <c r="D9" i="82"/>
  <c r="E9"/>
  <c r="F9"/>
  <c r="G9"/>
  <c r="C9"/>
  <c r="C8"/>
  <c r="C7"/>
  <c r="C6"/>
  <c r="C5"/>
  <c r="C4"/>
  <c r="F8" l="1"/>
  <c r="E8"/>
  <c r="G7"/>
  <c r="E6"/>
  <c r="G5"/>
  <c r="E5"/>
  <c r="G4" l="1"/>
  <c r="E4"/>
  <c r="E7"/>
  <c r="G6"/>
  <c r="G8"/>
  <c r="H4" i="81" l="1"/>
  <c r="J6" i="70"/>
  <c r="J5"/>
  <c r="J4"/>
  <c r="I66" i="76" l="1"/>
  <c r="J30"/>
  <c r="J24"/>
  <c r="J16"/>
  <c r="J11"/>
  <c r="J4"/>
  <c r="J66" l="1"/>
  <c r="C6" i="75" l="1"/>
  <c r="K8" i="74" l="1"/>
  <c r="K7"/>
  <c r="K6"/>
  <c r="K5"/>
  <c r="K4"/>
  <c r="K9" l="1"/>
  <c r="J4" i="73" l="1"/>
  <c r="H4"/>
  <c r="G4"/>
  <c r="F4"/>
  <c r="E4"/>
  <c r="D4"/>
  <c r="I3"/>
  <c r="K3" s="1"/>
  <c r="K4" s="1"/>
  <c r="I4"/>
  <c r="J3" i="70"/>
  <c r="J10" s="1"/>
  <c r="E60" i="65"/>
  <c r="D60"/>
  <c r="C60"/>
  <c r="E59"/>
  <c r="D59"/>
  <c r="C59"/>
  <c r="E58"/>
  <c r="E57"/>
  <c r="E56"/>
  <c r="E55"/>
  <c r="E54"/>
  <c r="E53"/>
  <c r="D53"/>
  <c r="C53"/>
  <c r="E52"/>
  <c r="E51"/>
  <c r="E50"/>
  <c r="E49"/>
  <c r="E48"/>
  <c r="E47"/>
  <c r="E46"/>
  <c r="E45"/>
  <c r="E44"/>
  <c r="D44"/>
  <c r="C44"/>
  <c r="E43"/>
  <c r="E42"/>
  <c r="E41"/>
  <c r="E40"/>
  <c r="D40"/>
  <c r="C40"/>
  <c r="E39"/>
  <c r="E38"/>
  <c r="E37"/>
  <c r="E36"/>
  <c r="D36"/>
  <c r="C36"/>
  <c r="E35"/>
  <c r="E34"/>
  <c r="E33"/>
  <c r="E32"/>
  <c r="E31"/>
  <c r="E30"/>
  <c r="E29"/>
  <c r="D29"/>
  <c r="C29"/>
  <c r="E28"/>
  <c r="E27"/>
  <c r="E26"/>
  <c r="E25"/>
  <c r="E24"/>
  <c r="E23"/>
  <c r="E22"/>
  <c r="E21"/>
  <c r="E20"/>
  <c r="E19"/>
  <c r="E18"/>
  <c r="D18"/>
  <c r="C18"/>
  <c r="E17"/>
  <c r="E16"/>
  <c r="E15"/>
  <c r="E14"/>
  <c r="E13"/>
  <c r="E12"/>
  <c r="E11"/>
  <c r="E10"/>
  <c r="E9"/>
  <c r="E8"/>
  <c r="E7"/>
  <c r="D7"/>
  <c r="C7"/>
  <c r="E6"/>
  <c r="E5"/>
  <c r="E4"/>
  <c r="D4"/>
  <c r="C4"/>
  <c r="E3"/>
  <c r="AO116" i="32"/>
  <c r="AN116"/>
  <c r="AM116"/>
  <c r="AL116"/>
  <c r="AK116"/>
  <c r="AJ116"/>
  <c r="AI116"/>
  <c r="AH116"/>
  <c r="AG116"/>
  <c r="AF116"/>
  <c r="AE116"/>
  <c r="AD116"/>
  <c r="AC116"/>
  <c r="AB116"/>
  <c r="AA116"/>
  <c r="Z116"/>
  <c r="Y116"/>
  <c r="X116"/>
  <c r="W116"/>
  <c r="V116"/>
  <c r="U116"/>
  <c r="T116"/>
  <c r="S116"/>
  <c r="R116"/>
  <c r="Q116"/>
  <c r="P116"/>
  <c r="O116"/>
  <c r="N116"/>
  <c r="M116"/>
  <c r="L116"/>
  <c r="K116"/>
  <c r="J116"/>
  <c r="I116"/>
  <c r="H116"/>
  <c r="G116"/>
  <c r="F116"/>
  <c r="E116"/>
  <c r="D116"/>
  <c r="AO115"/>
  <c r="AN115"/>
  <c r="AM115"/>
  <c r="AL115"/>
  <c r="AK115"/>
  <c r="AJ115"/>
  <c r="AI115"/>
  <c r="AH115"/>
  <c r="AG115"/>
  <c r="AF115"/>
  <c r="AE115"/>
  <c r="AD115"/>
  <c r="AC115"/>
  <c r="AB115"/>
  <c r="AA115"/>
  <c r="Z115"/>
  <c r="Y115"/>
  <c r="X115"/>
  <c r="W115"/>
  <c r="V115"/>
  <c r="U115"/>
  <c r="T115"/>
  <c r="S115"/>
  <c r="R115"/>
  <c r="Q115"/>
  <c r="P115"/>
  <c r="O115"/>
  <c r="N115"/>
  <c r="M115"/>
  <c r="L115"/>
  <c r="K115"/>
  <c r="J115"/>
  <c r="I115"/>
  <c r="H115"/>
  <c r="G115"/>
  <c r="F115"/>
  <c r="E115"/>
  <c r="D115"/>
  <c r="AO114"/>
  <c r="AM114"/>
  <c r="AL114"/>
  <c r="AK114"/>
  <c r="AJ114"/>
  <c r="AI114"/>
  <c r="AH114"/>
  <c r="AG114"/>
  <c r="AF114"/>
  <c r="AE114"/>
  <c r="AD114"/>
  <c r="AC114"/>
  <c r="X114"/>
  <c r="S114"/>
  <c r="R114"/>
  <c r="Q114"/>
  <c r="P114"/>
  <c r="O114"/>
  <c r="N114"/>
  <c r="I114"/>
  <c r="AO113"/>
  <c r="AM113"/>
  <c r="AL113"/>
  <c r="AK113"/>
  <c r="AJ113"/>
  <c r="AI113"/>
  <c r="AH113"/>
  <c r="AG113"/>
  <c r="AF113"/>
  <c r="AE113"/>
  <c r="AD113"/>
  <c r="AC113"/>
  <c r="X113"/>
  <c r="S113"/>
  <c r="R113"/>
  <c r="Q113"/>
  <c r="P113"/>
  <c r="O113"/>
  <c r="N113"/>
  <c r="I113"/>
  <c r="AO112"/>
  <c r="AM112"/>
  <c r="AL112"/>
  <c r="AK112"/>
  <c r="AJ112"/>
  <c r="AI112"/>
  <c r="AH112"/>
  <c r="AG112"/>
  <c r="AF112"/>
  <c r="AE112"/>
  <c r="AD112"/>
  <c r="AC112"/>
  <c r="X112"/>
  <c r="S112"/>
  <c r="R112"/>
  <c r="Q112"/>
  <c r="P112"/>
  <c r="O112"/>
  <c r="N112"/>
  <c r="I112"/>
  <c r="AO111"/>
  <c r="AM111"/>
  <c r="AL111"/>
  <c r="AK111"/>
  <c r="AJ111"/>
  <c r="AI111"/>
  <c r="AH111"/>
  <c r="AG111"/>
  <c r="AF111"/>
  <c r="AE111"/>
  <c r="AD111"/>
  <c r="AC111"/>
  <c r="X111"/>
  <c r="S111"/>
  <c r="R111"/>
  <c r="Q111"/>
  <c r="P111"/>
  <c r="O111"/>
  <c r="N111"/>
  <c r="I111"/>
  <c r="AO110"/>
  <c r="AM110"/>
  <c r="AL110"/>
  <c r="AK110"/>
  <c r="AJ110"/>
  <c r="AI110"/>
  <c r="AH110"/>
  <c r="AG110"/>
  <c r="AF110"/>
  <c r="AE110"/>
  <c r="AD110"/>
  <c r="AC110"/>
  <c r="X110"/>
  <c r="S110"/>
  <c r="R110"/>
  <c r="Q110"/>
  <c r="P110"/>
  <c r="O110"/>
  <c r="N110"/>
  <c r="I110"/>
  <c r="AO109"/>
  <c r="AM109"/>
  <c r="AL109"/>
  <c r="AK109"/>
  <c r="AJ109"/>
  <c r="AI109"/>
  <c r="AH109"/>
  <c r="AG109"/>
  <c r="AF109"/>
  <c r="AE109"/>
  <c r="AD109"/>
  <c r="AC109"/>
  <c r="X109"/>
  <c r="S109"/>
  <c r="R109"/>
  <c r="Q109"/>
  <c r="P109"/>
  <c r="O109"/>
  <c r="N109"/>
  <c r="I109"/>
  <c r="AO108"/>
  <c r="AM108"/>
  <c r="AL108"/>
  <c r="AK108"/>
  <c r="AJ108"/>
  <c r="AI108"/>
  <c r="AH108"/>
  <c r="AG108"/>
  <c r="AF108"/>
  <c r="AE108"/>
  <c r="AD108"/>
  <c r="AC108"/>
  <c r="X108"/>
  <c r="S108"/>
  <c r="R108"/>
  <c r="Q108"/>
  <c r="P108"/>
  <c r="O108"/>
  <c r="N108"/>
  <c r="I108"/>
  <c r="AO107"/>
  <c r="AM107"/>
  <c r="AL107"/>
  <c r="AK107"/>
  <c r="AJ107"/>
  <c r="AI107"/>
  <c r="AH107"/>
  <c r="AG107"/>
  <c r="AF107"/>
  <c r="AE107"/>
  <c r="AD107"/>
  <c r="AC107"/>
  <c r="X107"/>
  <c r="S107"/>
  <c r="R107"/>
  <c r="Q107"/>
  <c r="P107"/>
  <c r="O107"/>
  <c r="N107"/>
  <c r="I107"/>
  <c r="AO106"/>
  <c r="AM106"/>
  <c r="AL106"/>
  <c r="AK106"/>
  <c r="AJ106"/>
  <c r="AI106"/>
  <c r="AH106"/>
  <c r="AG106"/>
  <c r="AF106"/>
  <c r="AE106"/>
  <c r="AD106"/>
  <c r="AC106"/>
  <c r="X106"/>
  <c r="S106"/>
  <c r="R106"/>
  <c r="Q106"/>
  <c r="P106"/>
  <c r="O106"/>
  <c r="N106"/>
  <c r="I106"/>
  <c r="AO105"/>
  <c r="AM105"/>
  <c r="AL105"/>
  <c r="AK105"/>
  <c r="AJ105"/>
  <c r="AI105"/>
  <c r="AH105"/>
  <c r="AG105"/>
  <c r="AF105"/>
  <c r="AE105"/>
  <c r="AD105"/>
  <c r="AC105"/>
  <c r="X105"/>
  <c r="S105"/>
  <c r="R105"/>
  <c r="Q105"/>
  <c r="P105"/>
  <c r="O105"/>
  <c r="N105"/>
  <c r="I105"/>
  <c r="AO104"/>
  <c r="AM104"/>
  <c r="AL104"/>
  <c r="AK104"/>
  <c r="AJ104"/>
  <c r="AI104"/>
  <c r="AH104"/>
  <c r="AG104"/>
  <c r="AF104"/>
  <c r="AE104"/>
  <c r="AD104"/>
  <c r="AC104"/>
  <c r="X104"/>
  <c r="S104"/>
  <c r="R104"/>
  <c r="Q104"/>
  <c r="P104"/>
  <c r="O104"/>
  <c r="N104"/>
  <c r="I104"/>
  <c r="AO103"/>
  <c r="AM103"/>
  <c r="AL103"/>
  <c r="AK103"/>
  <c r="AJ103"/>
  <c r="AI103"/>
  <c r="AH103"/>
  <c r="AG103"/>
  <c r="AF103"/>
  <c r="AE103"/>
  <c r="AD103"/>
  <c r="AC103"/>
  <c r="X103"/>
  <c r="S103"/>
  <c r="R103"/>
  <c r="Q103"/>
  <c r="P103"/>
  <c r="O103"/>
  <c r="N103"/>
  <c r="I103"/>
  <c r="AO102"/>
  <c r="AM102"/>
  <c r="AL102"/>
  <c r="AK102"/>
  <c r="AJ102"/>
  <c r="AI102"/>
  <c r="AH102"/>
  <c r="AG102"/>
  <c r="AF102"/>
  <c r="AE102"/>
  <c r="AD102"/>
  <c r="AC102"/>
  <c r="X102"/>
  <c r="S102"/>
  <c r="R102"/>
  <c r="Q102"/>
  <c r="P102"/>
  <c r="O102"/>
  <c r="N102"/>
  <c r="I102"/>
  <c r="AO101"/>
  <c r="AM101"/>
  <c r="AL101"/>
  <c r="AK101"/>
  <c r="AJ101"/>
  <c r="AI101"/>
  <c r="AH101"/>
  <c r="AG101"/>
  <c r="AF101"/>
  <c r="AE101"/>
  <c r="AD101"/>
  <c r="AC101"/>
  <c r="X101"/>
  <c r="S101"/>
  <c r="R101"/>
  <c r="Q101"/>
  <c r="P101"/>
  <c r="O101"/>
  <c r="N101"/>
  <c r="I101"/>
  <c r="AO100"/>
  <c r="AN100"/>
  <c r="AM100"/>
  <c r="AL100"/>
  <c r="AK100"/>
  <c r="AJ100"/>
  <c r="AI100"/>
  <c r="AH100"/>
  <c r="AG100"/>
  <c r="AF100"/>
  <c r="AE100"/>
  <c r="AD100"/>
  <c r="AC100"/>
  <c r="AB100"/>
  <c r="AA100"/>
  <c r="Z100"/>
  <c r="Y100"/>
  <c r="X100"/>
  <c r="W100"/>
  <c r="V100"/>
  <c r="U100"/>
  <c r="T100"/>
  <c r="S100"/>
  <c r="R100"/>
  <c r="Q100"/>
  <c r="P100"/>
  <c r="O100"/>
  <c r="N100"/>
  <c r="M100"/>
  <c r="L100"/>
  <c r="K100"/>
  <c r="J100"/>
  <c r="I100"/>
  <c r="H100"/>
  <c r="G100"/>
  <c r="F100"/>
  <c r="E100"/>
  <c r="D100"/>
  <c r="AO99"/>
  <c r="AM99"/>
  <c r="AL99"/>
  <c r="AK99"/>
  <c r="AJ99"/>
  <c r="AI99"/>
  <c r="AH99"/>
  <c r="AG99"/>
  <c r="AF99"/>
  <c r="AE99"/>
  <c r="AD99"/>
  <c r="AC99"/>
  <c r="X99"/>
  <c r="S99"/>
  <c r="R99"/>
  <c r="Q99"/>
  <c r="P99"/>
  <c r="O99"/>
  <c r="N99"/>
  <c r="I99"/>
  <c r="AO98"/>
  <c r="AM98"/>
  <c r="AL98"/>
  <c r="AK98"/>
  <c r="AJ98"/>
  <c r="AI98"/>
  <c r="AH98"/>
  <c r="AG98"/>
  <c r="AF98"/>
  <c r="AE98"/>
  <c r="AD98"/>
  <c r="AC98"/>
  <c r="X98"/>
  <c r="S98"/>
  <c r="R98"/>
  <c r="Q98"/>
  <c r="P98"/>
  <c r="O98"/>
  <c r="N98"/>
  <c r="I98"/>
  <c r="AO97"/>
  <c r="AM97"/>
  <c r="AL97"/>
  <c r="AK97"/>
  <c r="AJ97"/>
  <c r="AI97"/>
  <c r="AH97"/>
  <c r="AG97"/>
  <c r="AF97"/>
  <c r="AE97"/>
  <c r="AD97"/>
  <c r="AC97"/>
  <c r="X97"/>
  <c r="S97"/>
  <c r="R97"/>
  <c r="Q97"/>
  <c r="P97"/>
  <c r="O97"/>
  <c r="N97"/>
  <c r="I97"/>
  <c r="AO96"/>
  <c r="AM96"/>
  <c r="AL96"/>
  <c r="AK96"/>
  <c r="AJ96"/>
  <c r="AI96"/>
  <c r="AH96"/>
  <c r="AG96"/>
  <c r="AF96"/>
  <c r="AE96"/>
  <c r="AD96"/>
  <c r="AC96"/>
  <c r="X96"/>
  <c r="S96"/>
  <c r="R96"/>
  <c r="Q96"/>
  <c r="P96"/>
  <c r="O96"/>
  <c r="N96"/>
  <c r="I96"/>
  <c r="AO95"/>
  <c r="AN95"/>
  <c r="AM95"/>
  <c r="AL95"/>
  <c r="AK95"/>
  <c r="AJ95"/>
  <c r="AI95"/>
  <c r="AH95"/>
  <c r="AG95"/>
  <c r="AF95"/>
  <c r="AE95"/>
  <c r="AD95"/>
  <c r="AC95"/>
  <c r="AB95"/>
  <c r="AA95"/>
  <c r="Z95"/>
  <c r="Y95"/>
  <c r="X95"/>
  <c r="W95"/>
  <c r="V95"/>
  <c r="U95"/>
  <c r="T95"/>
  <c r="S95"/>
  <c r="R95"/>
  <c r="Q95"/>
  <c r="P95"/>
  <c r="O95"/>
  <c r="N95"/>
  <c r="M95"/>
  <c r="L95"/>
  <c r="K95"/>
  <c r="J95"/>
  <c r="I95"/>
  <c r="H95"/>
  <c r="G95"/>
  <c r="F95"/>
  <c r="E95"/>
  <c r="D95"/>
  <c r="AO94"/>
  <c r="AM94"/>
  <c r="AL94"/>
  <c r="AK94"/>
  <c r="AJ94"/>
  <c r="AI94"/>
  <c r="AH94"/>
  <c r="AG94"/>
  <c r="AF94"/>
  <c r="AE94"/>
  <c r="AD94"/>
  <c r="AC94"/>
  <c r="X94"/>
  <c r="S94"/>
  <c r="R94"/>
  <c r="Q94"/>
  <c r="P94"/>
  <c r="O94"/>
  <c r="N94"/>
  <c r="I94"/>
  <c r="AO93"/>
  <c r="AM93"/>
  <c r="AL93"/>
  <c r="AK93"/>
  <c r="AJ93"/>
  <c r="AI93"/>
  <c r="AH93"/>
  <c r="AG93"/>
  <c r="AF93"/>
  <c r="AE93"/>
  <c r="AD93"/>
  <c r="AC93"/>
  <c r="X93"/>
  <c r="S93"/>
  <c r="R93"/>
  <c r="Q93"/>
  <c r="P93"/>
  <c r="O93"/>
  <c r="N93"/>
  <c r="I93"/>
  <c r="AO92"/>
  <c r="AM92"/>
  <c r="AL92"/>
  <c r="AK92"/>
  <c r="AJ92"/>
  <c r="AI92"/>
  <c r="AH92"/>
  <c r="AG92"/>
  <c r="AF92"/>
  <c r="AE92"/>
  <c r="AD92"/>
  <c r="AC92"/>
  <c r="X92"/>
  <c r="S92"/>
  <c r="R92"/>
  <c r="Q92"/>
  <c r="P92"/>
  <c r="O92"/>
  <c r="N92"/>
  <c r="I92"/>
  <c r="AO91"/>
  <c r="AM91"/>
  <c r="AL91"/>
  <c r="AK91"/>
  <c r="AJ91"/>
  <c r="AI91"/>
  <c r="AH91"/>
  <c r="AG91"/>
  <c r="AF91"/>
  <c r="AE91"/>
  <c r="AD91"/>
  <c r="AC91"/>
  <c r="X91"/>
  <c r="S91"/>
  <c r="R91"/>
  <c r="Q91"/>
  <c r="P91"/>
  <c r="O91"/>
  <c r="N91"/>
  <c r="I91"/>
  <c r="AO90"/>
  <c r="AN90"/>
  <c r="AM90"/>
  <c r="AL90"/>
  <c r="AK90"/>
  <c r="AJ90"/>
  <c r="AI90"/>
  <c r="AH90"/>
  <c r="AG90"/>
  <c r="AF90"/>
  <c r="AE90"/>
  <c r="AD90"/>
  <c r="AC90"/>
  <c r="AB90"/>
  <c r="AA90"/>
  <c r="Z90"/>
  <c r="Y90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D90"/>
  <c r="AO89"/>
  <c r="AM89"/>
  <c r="AL89"/>
  <c r="AK89"/>
  <c r="AJ89"/>
  <c r="AI89"/>
  <c r="AH89"/>
  <c r="AG89"/>
  <c r="AF89"/>
  <c r="AE89"/>
  <c r="AD89"/>
  <c r="AC89"/>
  <c r="X89"/>
  <c r="S89"/>
  <c r="R89"/>
  <c r="Q89"/>
  <c r="P89"/>
  <c r="O89"/>
  <c r="N89"/>
  <c r="I89"/>
  <c r="AO88"/>
  <c r="AM88"/>
  <c r="AL88"/>
  <c r="AK88"/>
  <c r="AJ88"/>
  <c r="AI88"/>
  <c r="AH88"/>
  <c r="AG88"/>
  <c r="AF88"/>
  <c r="AE88"/>
  <c r="AD88"/>
  <c r="AC88"/>
  <c r="X88"/>
  <c r="S88"/>
  <c r="R88"/>
  <c r="Q88"/>
  <c r="P88"/>
  <c r="O88"/>
  <c r="N88"/>
  <c r="I88"/>
  <c r="AO87"/>
  <c r="AM87"/>
  <c r="AL87"/>
  <c r="AK87"/>
  <c r="AJ87"/>
  <c r="AI87"/>
  <c r="AH87"/>
  <c r="AG87"/>
  <c r="AF87"/>
  <c r="AE87"/>
  <c r="AD87"/>
  <c r="AC87"/>
  <c r="X87"/>
  <c r="S87"/>
  <c r="R87"/>
  <c r="Q87"/>
  <c r="P87"/>
  <c r="O87"/>
  <c r="N87"/>
  <c r="I87"/>
  <c r="AO86"/>
  <c r="AM86"/>
  <c r="AL86"/>
  <c r="AK86"/>
  <c r="AJ86"/>
  <c r="AI86"/>
  <c r="AH86"/>
  <c r="AG86"/>
  <c r="AF86"/>
  <c r="AE86"/>
  <c r="AD86"/>
  <c r="AC86"/>
  <c r="X86"/>
  <c r="S86"/>
  <c r="R86"/>
  <c r="Q86"/>
  <c r="P86"/>
  <c r="O86"/>
  <c r="N86"/>
  <c r="I86"/>
  <c r="AO85"/>
  <c r="AM85"/>
  <c r="AL85"/>
  <c r="AK85"/>
  <c r="AJ85"/>
  <c r="AI85"/>
  <c r="AH85"/>
  <c r="AG85"/>
  <c r="AF85"/>
  <c r="AE85"/>
  <c r="AD85"/>
  <c r="AC85"/>
  <c r="X85"/>
  <c r="S85"/>
  <c r="R85"/>
  <c r="Q85"/>
  <c r="P85"/>
  <c r="O85"/>
  <c r="N85"/>
  <c r="I85"/>
  <c r="AO84"/>
  <c r="AM84"/>
  <c r="AL84"/>
  <c r="AK84"/>
  <c r="AJ84"/>
  <c r="AI84"/>
  <c r="AH84"/>
  <c r="AG84"/>
  <c r="AF84"/>
  <c r="AE84"/>
  <c r="AD84"/>
  <c r="AC84"/>
  <c r="X84"/>
  <c r="S84"/>
  <c r="R84"/>
  <c r="Q84"/>
  <c r="P84"/>
  <c r="O84"/>
  <c r="N84"/>
  <c r="I84"/>
  <c r="AO83"/>
  <c r="AM83"/>
  <c r="AL83"/>
  <c r="AK83"/>
  <c r="AJ83"/>
  <c r="AI83"/>
  <c r="AH83"/>
  <c r="AG83"/>
  <c r="AF83"/>
  <c r="AE83"/>
  <c r="AD83"/>
  <c r="AC83"/>
  <c r="X83"/>
  <c r="S83"/>
  <c r="R83"/>
  <c r="Q83"/>
  <c r="P83"/>
  <c r="O83"/>
  <c r="N83"/>
  <c r="I83"/>
  <c r="AO82"/>
  <c r="AM82"/>
  <c r="AL82"/>
  <c r="AK82"/>
  <c r="AJ82"/>
  <c r="AI82"/>
  <c r="AH82"/>
  <c r="AG82"/>
  <c r="AF82"/>
  <c r="AE82"/>
  <c r="AD82"/>
  <c r="AC82"/>
  <c r="X82"/>
  <c r="S82"/>
  <c r="R82"/>
  <c r="Q82"/>
  <c r="P82"/>
  <c r="O82"/>
  <c r="N82"/>
  <c r="I82"/>
  <c r="AO81"/>
  <c r="AM81"/>
  <c r="AL81"/>
  <c r="AK81"/>
  <c r="AJ81"/>
  <c r="AI81"/>
  <c r="AH81"/>
  <c r="AG81"/>
  <c r="AF81"/>
  <c r="AE81"/>
  <c r="AD81"/>
  <c r="AC81"/>
  <c r="X81"/>
  <c r="S81"/>
  <c r="R81"/>
  <c r="Q81"/>
  <c r="P81"/>
  <c r="O81"/>
  <c r="N81"/>
  <c r="I81"/>
  <c r="AO80"/>
  <c r="AM80"/>
  <c r="AL80"/>
  <c r="AK80"/>
  <c r="AJ80"/>
  <c r="AI80"/>
  <c r="AH80"/>
  <c r="AG80"/>
  <c r="AF80"/>
  <c r="AE80"/>
  <c r="AD80"/>
  <c r="AC80"/>
  <c r="X80"/>
  <c r="S80"/>
  <c r="R80"/>
  <c r="Q80"/>
  <c r="P80"/>
  <c r="O80"/>
  <c r="N80"/>
  <c r="I80"/>
  <c r="AO79"/>
  <c r="AM79"/>
  <c r="AL79"/>
  <c r="AK79"/>
  <c r="AJ79"/>
  <c r="AI79"/>
  <c r="AH79"/>
  <c r="AG79"/>
  <c r="AF79"/>
  <c r="AE79"/>
  <c r="AD79"/>
  <c r="AC79"/>
  <c r="X79"/>
  <c r="S79"/>
  <c r="R79"/>
  <c r="Q79"/>
  <c r="P79"/>
  <c r="O79"/>
  <c r="N79"/>
  <c r="I79"/>
  <c r="AO78"/>
  <c r="AM78"/>
  <c r="AL78"/>
  <c r="AK78"/>
  <c r="AJ78"/>
  <c r="AI78"/>
  <c r="AH78"/>
  <c r="AG78"/>
  <c r="AF78"/>
  <c r="AE78"/>
  <c r="AD78"/>
  <c r="AC78"/>
  <c r="X78"/>
  <c r="S78"/>
  <c r="R78"/>
  <c r="Q78"/>
  <c r="P78"/>
  <c r="O78"/>
  <c r="N78"/>
  <c r="I78"/>
  <c r="AO77"/>
  <c r="AM77"/>
  <c r="AL77"/>
  <c r="AK77"/>
  <c r="AJ77"/>
  <c r="AI77"/>
  <c r="AH77"/>
  <c r="AG77"/>
  <c r="AF77"/>
  <c r="AE77"/>
  <c r="AD77"/>
  <c r="AC77"/>
  <c r="X77"/>
  <c r="S77"/>
  <c r="R77"/>
  <c r="Q77"/>
  <c r="P77"/>
  <c r="O77"/>
  <c r="N77"/>
  <c r="I77"/>
  <c r="AO76"/>
  <c r="AM76"/>
  <c r="AL76"/>
  <c r="AK76"/>
  <c r="AJ76"/>
  <c r="AI76"/>
  <c r="AH76"/>
  <c r="AG76"/>
  <c r="AF76"/>
  <c r="AE76"/>
  <c r="AD76"/>
  <c r="AC76"/>
  <c r="X76"/>
  <c r="S76"/>
  <c r="R76"/>
  <c r="Q76"/>
  <c r="P76"/>
  <c r="O76"/>
  <c r="N76"/>
  <c r="I76"/>
  <c r="AO75"/>
  <c r="AM75"/>
  <c r="AL75"/>
  <c r="AK75"/>
  <c r="AJ75"/>
  <c r="AI75"/>
  <c r="AH75"/>
  <c r="AG75"/>
  <c r="AF75"/>
  <c r="AE75"/>
  <c r="AD75"/>
  <c r="AC75"/>
  <c r="X75"/>
  <c r="S75"/>
  <c r="R75"/>
  <c r="Q75"/>
  <c r="P75"/>
  <c r="O75"/>
  <c r="N75"/>
  <c r="I75"/>
  <c r="AO74"/>
  <c r="AM74"/>
  <c r="AL74"/>
  <c r="AK74"/>
  <c r="AJ74"/>
  <c r="AI74"/>
  <c r="AH74"/>
  <c r="AG74"/>
  <c r="AF74"/>
  <c r="AE74"/>
  <c r="AD74"/>
  <c r="AC74"/>
  <c r="X74"/>
  <c r="S74"/>
  <c r="R74"/>
  <c r="Q74"/>
  <c r="P74"/>
  <c r="O74"/>
  <c r="N74"/>
  <c r="I74"/>
  <c r="AO73"/>
  <c r="AM73"/>
  <c r="AL73"/>
  <c r="AK73"/>
  <c r="AJ73"/>
  <c r="AI73"/>
  <c r="AH73"/>
  <c r="AG73"/>
  <c r="AF73"/>
  <c r="AE73"/>
  <c r="AD73"/>
  <c r="AC73"/>
  <c r="X73"/>
  <c r="S73"/>
  <c r="R73"/>
  <c r="Q73"/>
  <c r="P73"/>
  <c r="O73"/>
  <c r="N73"/>
  <c r="I73"/>
  <c r="AO72"/>
  <c r="AM72"/>
  <c r="AL72"/>
  <c r="AK72"/>
  <c r="AJ72"/>
  <c r="AI72"/>
  <c r="AH72"/>
  <c r="AG72"/>
  <c r="AF72"/>
  <c r="AE72"/>
  <c r="AD72"/>
  <c r="AC72"/>
  <c r="X72"/>
  <c r="S72"/>
  <c r="R72"/>
  <c r="Q72"/>
  <c r="P72"/>
  <c r="O72"/>
  <c r="N72"/>
  <c r="I72"/>
  <c r="AO71"/>
  <c r="AM71"/>
  <c r="AL71"/>
  <c r="AK71"/>
  <c r="AJ71"/>
  <c r="AI71"/>
  <c r="AH71"/>
  <c r="AG71"/>
  <c r="AF71"/>
  <c r="AE71"/>
  <c r="AD71"/>
  <c r="AC71"/>
  <c r="X71"/>
  <c r="S71"/>
  <c r="R71"/>
  <c r="Q71"/>
  <c r="P71"/>
  <c r="O71"/>
  <c r="N71"/>
  <c r="I71"/>
  <c r="AO70"/>
  <c r="AN70"/>
  <c r="AM70"/>
  <c r="AL70"/>
  <c r="AK70"/>
  <c r="AJ70"/>
  <c r="AI70"/>
  <c r="AH70"/>
  <c r="AG70"/>
  <c r="AF70"/>
  <c r="AE70"/>
  <c r="AD70"/>
  <c r="AC70"/>
  <c r="AB70"/>
  <c r="AA70"/>
  <c r="Z70"/>
  <c r="Y70"/>
  <c r="X70"/>
  <c r="W70"/>
  <c r="V70"/>
  <c r="U70"/>
  <c r="T70"/>
  <c r="S70"/>
  <c r="R70"/>
  <c r="Q70"/>
  <c r="P70"/>
  <c r="O70"/>
  <c r="N70"/>
  <c r="M70"/>
  <c r="L70"/>
  <c r="K70"/>
  <c r="J70"/>
  <c r="I70"/>
  <c r="H70"/>
  <c r="G70"/>
  <c r="F70"/>
  <c r="E70"/>
  <c r="D70"/>
  <c r="AO69"/>
  <c r="AM69"/>
  <c r="AL69"/>
  <c r="AK69"/>
  <c r="AJ69"/>
  <c r="AI69"/>
  <c r="AH69"/>
  <c r="AG69"/>
  <c r="AF69"/>
  <c r="AE69"/>
  <c r="AD69"/>
  <c r="AC69"/>
  <c r="X69"/>
  <c r="S69"/>
  <c r="R69"/>
  <c r="Q69"/>
  <c r="P69"/>
  <c r="O69"/>
  <c r="N69"/>
  <c r="I69"/>
  <c r="AO68"/>
  <c r="AM68"/>
  <c r="AL68"/>
  <c r="AK68"/>
  <c r="AJ68"/>
  <c r="AI68"/>
  <c r="AH68"/>
  <c r="AG68"/>
  <c r="AF68"/>
  <c r="AE68"/>
  <c r="AD68"/>
  <c r="AC68"/>
  <c r="X68"/>
  <c r="S68"/>
  <c r="R68"/>
  <c r="Q68"/>
  <c r="P68"/>
  <c r="O68"/>
  <c r="N68"/>
  <c r="I68"/>
  <c r="AO67"/>
  <c r="AM67"/>
  <c r="AL67"/>
  <c r="AK67"/>
  <c r="AJ67"/>
  <c r="AI67"/>
  <c r="AH67"/>
  <c r="AG67"/>
  <c r="AF67"/>
  <c r="AE67"/>
  <c r="AD67"/>
  <c r="AC67"/>
  <c r="X67"/>
  <c r="S67"/>
  <c r="R67"/>
  <c r="Q67"/>
  <c r="P67"/>
  <c r="O67"/>
  <c r="N67"/>
  <c r="I67"/>
  <c r="AO66"/>
  <c r="AM66"/>
  <c r="AL66"/>
  <c r="AK66"/>
  <c r="AJ66"/>
  <c r="AI66"/>
  <c r="AH66"/>
  <c r="AG66"/>
  <c r="AF66"/>
  <c r="AE66"/>
  <c r="AD66"/>
  <c r="AC66"/>
  <c r="X66"/>
  <c r="S66"/>
  <c r="R66"/>
  <c r="Q66"/>
  <c r="P66"/>
  <c r="O66"/>
  <c r="N66"/>
  <c r="I66"/>
  <c r="AO65"/>
  <c r="AM65"/>
  <c r="AL65"/>
  <c r="AK65"/>
  <c r="AJ65"/>
  <c r="AI65"/>
  <c r="AH65"/>
  <c r="AG65"/>
  <c r="AF65"/>
  <c r="AE65"/>
  <c r="AD65"/>
  <c r="AC65"/>
  <c r="X65"/>
  <c r="S65"/>
  <c r="R65"/>
  <c r="Q65"/>
  <c r="P65"/>
  <c r="O65"/>
  <c r="N65"/>
  <c r="I65"/>
  <c r="AO64"/>
  <c r="AM64"/>
  <c r="AL64"/>
  <c r="AK64"/>
  <c r="AJ64"/>
  <c r="AI64"/>
  <c r="AH64"/>
  <c r="AG64"/>
  <c r="AF64"/>
  <c r="AE64"/>
  <c r="AD64"/>
  <c r="AC64"/>
  <c r="X64"/>
  <c r="S64"/>
  <c r="R64"/>
  <c r="Q64"/>
  <c r="P64"/>
  <c r="O64"/>
  <c r="N64"/>
  <c r="I64"/>
  <c r="AO63"/>
  <c r="AM63"/>
  <c r="AL63"/>
  <c r="AK63"/>
  <c r="AJ63"/>
  <c r="AI63"/>
  <c r="AH63"/>
  <c r="AG63"/>
  <c r="AF63"/>
  <c r="AE63"/>
  <c r="AD63"/>
  <c r="AC63"/>
  <c r="X63"/>
  <c r="S63"/>
  <c r="R63"/>
  <c r="Q63"/>
  <c r="P63"/>
  <c r="O63"/>
  <c r="N63"/>
  <c r="I63"/>
  <c r="AO62"/>
  <c r="AM62"/>
  <c r="AL62"/>
  <c r="AK62"/>
  <c r="AJ62"/>
  <c r="AI62"/>
  <c r="AH62"/>
  <c r="AG62"/>
  <c r="AF62"/>
  <c r="AE62"/>
  <c r="AD62"/>
  <c r="AC62"/>
  <c r="X62"/>
  <c r="S62"/>
  <c r="R62"/>
  <c r="Q62"/>
  <c r="P62"/>
  <c r="O62"/>
  <c r="N62"/>
  <c r="I62"/>
  <c r="AO61"/>
  <c r="AM61"/>
  <c r="AL61"/>
  <c r="AK61"/>
  <c r="AJ61"/>
  <c r="AI61"/>
  <c r="AH61"/>
  <c r="AG61"/>
  <c r="AF61"/>
  <c r="AE61"/>
  <c r="AD61"/>
  <c r="AC61"/>
  <c r="X61"/>
  <c r="S61"/>
  <c r="R61"/>
  <c r="Q61"/>
  <c r="P61"/>
  <c r="O61"/>
  <c r="N61"/>
  <c r="I61"/>
  <c r="AO60"/>
  <c r="AM60"/>
  <c r="AL60"/>
  <c r="AK60"/>
  <c r="AJ60"/>
  <c r="AI60"/>
  <c r="AH60"/>
  <c r="AG60"/>
  <c r="AF60"/>
  <c r="AE60"/>
  <c r="AD60"/>
  <c r="AC60"/>
  <c r="X60"/>
  <c r="S60"/>
  <c r="R60"/>
  <c r="Q60"/>
  <c r="P60"/>
  <c r="O60"/>
  <c r="N60"/>
  <c r="I60"/>
  <c r="AO59"/>
  <c r="AM59"/>
  <c r="AL59"/>
  <c r="AK59"/>
  <c r="AJ59"/>
  <c r="AI59"/>
  <c r="AH59"/>
  <c r="AG59"/>
  <c r="AF59"/>
  <c r="AE59"/>
  <c r="AD59"/>
  <c r="AC59"/>
  <c r="X59"/>
  <c r="S59"/>
  <c r="R59"/>
  <c r="Q59"/>
  <c r="P59"/>
  <c r="O59"/>
  <c r="N59"/>
  <c r="I59"/>
  <c r="AO58"/>
  <c r="AM58"/>
  <c r="AL58"/>
  <c r="AK58"/>
  <c r="AJ58"/>
  <c r="AI58"/>
  <c r="AH58"/>
  <c r="AG58"/>
  <c r="AF58"/>
  <c r="AE58"/>
  <c r="AD58"/>
  <c r="AC58"/>
  <c r="X58"/>
  <c r="S58"/>
  <c r="R58"/>
  <c r="Q58"/>
  <c r="P58"/>
  <c r="O58"/>
  <c r="N58"/>
  <c r="I58"/>
  <c r="AO57"/>
  <c r="AM57"/>
  <c r="AL57"/>
  <c r="AK57"/>
  <c r="AJ57"/>
  <c r="AI57"/>
  <c r="AH57"/>
  <c r="AG57"/>
  <c r="AF57"/>
  <c r="AE57"/>
  <c r="AD57"/>
  <c r="AC57"/>
  <c r="X57"/>
  <c r="S57"/>
  <c r="R57"/>
  <c r="Q57"/>
  <c r="P57"/>
  <c r="O57"/>
  <c r="N57"/>
  <c r="I57"/>
  <c r="AO56"/>
  <c r="AM56"/>
  <c r="AL56"/>
  <c r="AK56"/>
  <c r="AJ56"/>
  <c r="AI56"/>
  <c r="AH56"/>
  <c r="AG56"/>
  <c r="AF56"/>
  <c r="AE56"/>
  <c r="AD56"/>
  <c r="AC56"/>
  <c r="X56"/>
  <c r="S56"/>
  <c r="R56"/>
  <c r="Q56"/>
  <c r="P56"/>
  <c r="O56"/>
  <c r="N56"/>
  <c r="I56"/>
  <c r="AO55"/>
  <c r="AM55"/>
  <c r="AL55"/>
  <c r="AK55"/>
  <c r="AJ55"/>
  <c r="AI55"/>
  <c r="AH55"/>
  <c r="AG55"/>
  <c r="AF55"/>
  <c r="AE55"/>
  <c r="AD55"/>
  <c r="AC55"/>
  <c r="X55"/>
  <c r="S55"/>
  <c r="R55"/>
  <c r="Q55"/>
  <c r="P55"/>
  <c r="O55"/>
  <c r="N55"/>
  <c r="I55"/>
  <c r="AO54"/>
  <c r="AM54"/>
  <c r="AL54"/>
  <c r="AK54"/>
  <c r="AJ54"/>
  <c r="AI54"/>
  <c r="AH54"/>
  <c r="AG54"/>
  <c r="AF54"/>
  <c r="AE54"/>
  <c r="AD54"/>
  <c r="AC54"/>
  <c r="X54"/>
  <c r="S54"/>
  <c r="R54"/>
  <c r="Q54"/>
  <c r="P54"/>
  <c r="O54"/>
  <c r="N54"/>
  <c r="I54"/>
  <c r="AO53"/>
  <c r="AM53"/>
  <c r="AL53"/>
  <c r="AK53"/>
  <c r="AJ53"/>
  <c r="AI53"/>
  <c r="AH53"/>
  <c r="AG53"/>
  <c r="AF53"/>
  <c r="AE53"/>
  <c r="AD53"/>
  <c r="AC53"/>
  <c r="X53"/>
  <c r="S53"/>
  <c r="R53"/>
  <c r="Q53"/>
  <c r="P53"/>
  <c r="O53"/>
  <c r="N53"/>
  <c r="I53"/>
  <c r="AO52"/>
  <c r="AM52"/>
  <c r="AL52"/>
  <c r="AK52"/>
  <c r="AJ52"/>
  <c r="AI52"/>
  <c r="AH52"/>
  <c r="AG52"/>
  <c r="AF52"/>
  <c r="AE52"/>
  <c r="AD52"/>
  <c r="AC52"/>
  <c r="X52"/>
  <c r="S52"/>
  <c r="R52"/>
  <c r="Q52"/>
  <c r="P52"/>
  <c r="O52"/>
  <c r="N52"/>
  <c r="I52"/>
  <c r="AO51"/>
  <c r="AN51"/>
  <c r="AM51"/>
  <c r="AL51"/>
  <c r="AK51"/>
  <c r="AJ51"/>
  <c r="AI51"/>
  <c r="AH51"/>
  <c r="AG51"/>
  <c r="AF51"/>
  <c r="AE51"/>
  <c r="AD51"/>
  <c r="AC51"/>
  <c r="AB51"/>
  <c r="AA51"/>
  <c r="Z51"/>
  <c r="Y51"/>
  <c r="X51"/>
  <c r="W51"/>
  <c r="V51"/>
  <c r="U51"/>
  <c r="T51"/>
  <c r="S51"/>
  <c r="R51"/>
  <c r="Q51"/>
  <c r="P51"/>
  <c r="O51"/>
  <c r="N51"/>
  <c r="M51"/>
  <c r="L51"/>
  <c r="K51"/>
  <c r="J51"/>
  <c r="I51"/>
  <c r="H51"/>
  <c r="G51"/>
  <c r="F51"/>
  <c r="E51"/>
  <c r="D51"/>
  <c r="AO50"/>
  <c r="AM50"/>
  <c r="AL50"/>
  <c r="AK50"/>
  <c r="AJ50"/>
  <c r="AI50"/>
  <c r="AH50"/>
  <c r="AG50"/>
  <c r="AF50"/>
  <c r="AE50"/>
  <c r="AD50"/>
  <c r="AC50"/>
  <c r="X50"/>
  <c r="S50"/>
  <c r="R50"/>
  <c r="Q50"/>
  <c r="P50"/>
  <c r="O50"/>
  <c r="N50"/>
  <c r="I50"/>
  <c r="AO49"/>
  <c r="AM49"/>
  <c r="AL49"/>
  <c r="AK49"/>
  <c r="AJ49"/>
  <c r="AI49"/>
  <c r="AH49"/>
  <c r="AG49"/>
  <c r="AF49"/>
  <c r="AE49"/>
  <c r="AD49"/>
  <c r="AC49"/>
  <c r="X49"/>
  <c r="S49"/>
  <c r="R49"/>
  <c r="Q49"/>
  <c r="P49"/>
  <c r="O49"/>
  <c r="N49"/>
  <c r="I49"/>
  <c r="AO48"/>
  <c r="AM48"/>
  <c r="AL48"/>
  <c r="AK48"/>
  <c r="AJ48"/>
  <c r="AI48"/>
  <c r="AH48"/>
  <c r="AG48"/>
  <c r="AF48"/>
  <c r="AE48"/>
  <c r="AD48"/>
  <c r="AC48"/>
  <c r="X48"/>
  <c r="S48"/>
  <c r="R48"/>
  <c r="Q48"/>
  <c r="P48"/>
  <c r="O48"/>
  <c r="N48"/>
  <c r="I48"/>
  <c r="AO47"/>
  <c r="AM47"/>
  <c r="AL47"/>
  <c r="AK47"/>
  <c r="AJ47"/>
  <c r="AI47"/>
  <c r="AH47"/>
  <c r="AG47"/>
  <c r="AF47"/>
  <c r="AE47"/>
  <c r="AD47"/>
  <c r="AC47"/>
  <c r="X47"/>
  <c r="S47"/>
  <c r="R47"/>
  <c r="Q47"/>
  <c r="P47"/>
  <c r="O47"/>
  <c r="N47"/>
  <c r="I47"/>
  <c r="AO46"/>
  <c r="AM46"/>
  <c r="AL46"/>
  <c r="AK46"/>
  <c r="AJ46"/>
  <c r="AI46"/>
  <c r="AH46"/>
  <c r="AG46"/>
  <c r="AF46"/>
  <c r="AE46"/>
  <c r="AD46"/>
  <c r="AC46"/>
  <c r="X46"/>
  <c r="S46"/>
  <c r="R46"/>
  <c r="Q46"/>
  <c r="P46"/>
  <c r="O46"/>
  <c r="N46"/>
  <c r="I46"/>
  <c r="AO45"/>
  <c r="AM45"/>
  <c r="AL45"/>
  <c r="AK45"/>
  <c r="AJ45"/>
  <c r="AI45"/>
  <c r="AH45"/>
  <c r="AG45"/>
  <c r="AF45"/>
  <c r="AE45"/>
  <c r="AD45"/>
  <c r="AC45"/>
  <c r="X45"/>
  <c r="S45"/>
  <c r="R45"/>
  <c r="Q45"/>
  <c r="P45"/>
  <c r="O45"/>
  <c r="N45"/>
  <c r="I45"/>
  <c r="AO44"/>
  <c r="AM44"/>
  <c r="AL44"/>
  <c r="AK44"/>
  <c r="AJ44"/>
  <c r="AI44"/>
  <c r="AH44"/>
  <c r="AG44"/>
  <c r="AF44"/>
  <c r="AE44"/>
  <c r="AD44"/>
  <c r="AC44"/>
  <c r="X44"/>
  <c r="S44"/>
  <c r="R44"/>
  <c r="Q44"/>
  <c r="P44"/>
  <c r="O44"/>
  <c r="N44"/>
  <c r="I44"/>
  <c r="AO43"/>
  <c r="AM43"/>
  <c r="AL43"/>
  <c r="AK43"/>
  <c r="AJ43"/>
  <c r="AI43"/>
  <c r="AH43"/>
  <c r="AG43"/>
  <c r="AF43"/>
  <c r="AE43"/>
  <c r="AD43"/>
  <c r="AC43"/>
  <c r="X43"/>
  <c r="S43"/>
  <c r="R43"/>
  <c r="Q43"/>
  <c r="P43"/>
  <c r="O43"/>
  <c r="N43"/>
  <c r="I43"/>
  <c r="AO42"/>
  <c r="AM42"/>
  <c r="AL42"/>
  <c r="AK42"/>
  <c r="AJ42"/>
  <c r="AI42"/>
  <c r="AH42"/>
  <c r="AG42"/>
  <c r="AF42"/>
  <c r="AE42"/>
  <c r="AD42"/>
  <c r="AC42"/>
  <c r="X42"/>
  <c r="S42"/>
  <c r="R42"/>
  <c r="Q42"/>
  <c r="P42"/>
  <c r="O42"/>
  <c r="N42"/>
  <c r="I42"/>
  <c r="AO41"/>
  <c r="AM41"/>
  <c r="AL41"/>
  <c r="AK41"/>
  <c r="AJ41"/>
  <c r="AI41"/>
  <c r="AH41"/>
  <c r="AG41"/>
  <c r="AF41"/>
  <c r="AE41"/>
  <c r="AD41"/>
  <c r="AC41"/>
  <c r="X41"/>
  <c r="S41"/>
  <c r="R41"/>
  <c r="Q41"/>
  <c r="P41"/>
  <c r="O41"/>
  <c r="N41"/>
  <c r="I41"/>
  <c r="AO40"/>
  <c r="AM40"/>
  <c r="AL40"/>
  <c r="AK40"/>
  <c r="AJ40"/>
  <c r="AI40"/>
  <c r="AH40"/>
  <c r="AG40"/>
  <c r="AF40"/>
  <c r="AE40"/>
  <c r="AD40"/>
  <c r="AC40"/>
  <c r="X40"/>
  <c r="S40"/>
  <c r="R40"/>
  <c r="Q40"/>
  <c r="P40"/>
  <c r="O40"/>
  <c r="N40"/>
  <c r="I40"/>
  <c r="AO39"/>
  <c r="AM39"/>
  <c r="AL39"/>
  <c r="AK39"/>
  <c r="AJ39"/>
  <c r="AI39"/>
  <c r="AH39"/>
  <c r="AG39"/>
  <c r="AF39"/>
  <c r="AE39"/>
  <c r="AD39"/>
  <c r="AC39"/>
  <c r="X39"/>
  <c r="S39"/>
  <c r="R39"/>
  <c r="Q39"/>
  <c r="P39"/>
  <c r="O39"/>
  <c r="N39"/>
  <c r="I39"/>
  <c r="AO38"/>
  <c r="AM38"/>
  <c r="AL38"/>
  <c r="AK38"/>
  <c r="AJ38"/>
  <c r="AI38"/>
  <c r="AH38"/>
  <c r="AG38"/>
  <c r="AF38"/>
  <c r="AE38"/>
  <c r="AD38"/>
  <c r="AC38"/>
  <c r="X38"/>
  <c r="S38"/>
  <c r="R38"/>
  <c r="Q38"/>
  <c r="P38"/>
  <c r="O38"/>
  <c r="N38"/>
  <c r="I38"/>
  <c r="AO37"/>
  <c r="AM37"/>
  <c r="AL37"/>
  <c r="AK37"/>
  <c r="AJ37"/>
  <c r="AI37"/>
  <c r="AH37"/>
  <c r="AG37"/>
  <c r="AF37"/>
  <c r="AE37"/>
  <c r="AD37"/>
  <c r="AC37"/>
  <c r="X37"/>
  <c r="S37"/>
  <c r="R37"/>
  <c r="Q37"/>
  <c r="P37"/>
  <c r="O37"/>
  <c r="N37"/>
  <c r="I37"/>
  <c r="AO36"/>
  <c r="AM36"/>
  <c r="AL36"/>
  <c r="AK36"/>
  <c r="AJ36"/>
  <c r="AI36"/>
  <c r="AH36"/>
  <c r="AG36"/>
  <c r="AF36"/>
  <c r="AE36"/>
  <c r="AD36"/>
  <c r="AC36"/>
  <c r="X36"/>
  <c r="S36"/>
  <c r="R36"/>
  <c r="Q36"/>
  <c r="P36"/>
  <c r="O36"/>
  <c r="N36"/>
  <c r="I36"/>
  <c r="AO35"/>
  <c r="AN35"/>
  <c r="AM35"/>
  <c r="AL35"/>
  <c r="AK35"/>
  <c r="AJ35"/>
  <c r="AI35"/>
  <c r="AH35"/>
  <c r="AG35"/>
  <c r="AF35"/>
  <c r="AE35"/>
  <c r="AD35"/>
  <c r="AC35"/>
  <c r="AB35"/>
  <c r="AA35"/>
  <c r="Z35"/>
  <c r="Y35"/>
  <c r="X35"/>
  <c r="W35"/>
  <c r="V35"/>
  <c r="U35"/>
  <c r="T35"/>
  <c r="S35"/>
  <c r="R35"/>
  <c r="Q35"/>
  <c r="P35"/>
  <c r="O35"/>
  <c r="N35"/>
  <c r="M35"/>
  <c r="L35"/>
  <c r="K35"/>
  <c r="J35"/>
  <c r="I35"/>
  <c r="H35"/>
  <c r="G35"/>
  <c r="F35"/>
  <c r="E35"/>
  <c r="D35"/>
  <c r="AO34"/>
  <c r="AM34"/>
  <c r="AL34"/>
  <c r="AK34"/>
  <c r="AJ34"/>
  <c r="AI34"/>
  <c r="AH34"/>
  <c r="AG34"/>
  <c r="AF34"/>
  <c r="AE34"/>
  <c r="AD34"/>
  <c r="AC34"/>
  <c r="X34"/>
  <c r="S34"/>
  <c r="R34"/>
  <c r="Q34"/>
  <c r="P34"/>
  <c r="O34"/>
  <c r="N34"/>
  <c r="I34"/>
  <c r="AO33"/>
  <c r="AM33"/>
  <c r="AL33"/>
  <c r="AK33"/>
  <c r="AJ33"/>
  <c r="AI33"/>
  <c r="AH33"/>
  <c r="AG33"/>
  <c r="AF33"/>
  <c r="AE33"/>
  <c r="AD33"/>
  <c r="AC33"/>
  <c r="X33"/>
  <c r="S33"/>
  <c r="R33"/>
  <c r="Q33"/>
  <c r="P33"/>
  <c r="O33"/>
  <c r="N33"/>
  <c r="I33"/>
  <c r="AO32"/>
  <c r="AM32"/>
  <c r="AL32"/>
  <c r="AK32"/>
  <c r="AJ32"/>
  <c r="AI32"/>
  <c r="AH32"/>
  <c r="AG32"/>
  <c r="AF32"/>
  <c r="AE32"/>
  <c r="AD32"/>
  <c r="AC32"/>
  <c r="X32"/>
  <c r="S32"/>
  <c r="R32"/>
  <c r="Q32"/>
  <c r="P32"/>
  <c r="O32"/>
  <c r="N32"/>
  <c r="I32"/>
  <c r="AO31"/>
  <c r="AM31"/>
  <c r="AL31"/>
  <c r="AK31"/>
  <c r="AJ31"/>
  <c r="AI31"/>
  <c r="AH31"/>
  <c r="AG31"/>
  <c r="AF31"/>
  <c r="AE31"/>
  <c r="AD31"/>
  <c r="AC31"/>
  <c r="X31"/>
  <c r="S31"/>
  <c r="R31"/>
  <c r="Q31"/>
  <c r="P31"/>
  <c r="O31"/>
  <c r="N31"/>
  <c r="I31"/>
  <c r="AO30"/>
  <c r="AM30"/>
  <c r="AL30"/>
  <c r="AK30"/>
  <c r="AJ30"/>
  <c r="AI30"/>
  <c r="AH30"/>
  <c r="AG30"/>
  <c r="AF30"/>
  <c r="AE30"/>
  <c r="AD30"/>
  <c r="AC30"/>
  <c r="X30"/>
  <c r="S30"/>
  <c r="R30"/>
  <c r="Q30"/>
  <c r="P30"/>
  <c r="O30"/>
  <c r="N30"/>
  <c r="I30"/>
  <c r="AO29"/>
  <c r="AM29"/>
  <c r="AL29"/>
  <c r="AK29"/>
  <c r="AJ29"/>
  <c r="AI29"/>
  <c r="AH29"/>
  <c r="AG29"/>
  <c r="AF29"/>
  <c r="AE29"/>
  <c r="AD29"/>
  <c r="AC29"/>
  <c r="X29"/>
  <c r="S29"/>
  <c r="R29"/>
  <c r="Q29"/>
  <c r="P29"/>
  <c r="O29"/>
  <c r="N29"/>
  <c r="I29"/>
  <c r="AO28"/>
  <c r="AM28"/>
  <c r="AL28"/>
  <c r="AK28"/>
  <c r="AJ28"/>
  <c r="AI28"/>
  <c r="AH28"/>
  <c r="AG28"/>
  <c r="AF28"/>
  <c r="AE28"/>
  <c r="AD28"/>
  <c r="AC28"/>
  <c r="X28"/>
  <c r="S28"/>
  <c r="R28"/>
  <c r="Q28"/>
  <c r="P28"/>
  <c r="O28"/>
  <c r="N28"/>
  <c r="I28"/>
  <c r="AO27"/>
  <c r="AM27"/>
  <c r="AL27"/>
  <c r="AK27"/>
  <c r="AJ27"/>
  <c r="AI27"/>
  <c r="AH27"/>
  <c r="AG27"/>
  <c r="AF27"/>
  <c r="AE27"/>
  <c r="AD27"/>
  <c r="AC27"/>
  <c r="X27"/>
  <c r="S27"/>
  <c r="R27"/>
  <c r="Q27"/>
  <c r="P27"/>
  <c r="O27"/>
  <c r="N27"/>
  <c r="I27"/>
  <c r="AO26"/>
  <c r="AM26"/>
  <c r="AL26"/>
  <c r="AK26"/>
  <c r="AJ26"/>
  <c r="AI26"/>
  <c r="AH26"/>
  <c r="AG26"/>
  <c r="AF26"/>
  <c r="AE26"/>
  <c r="AD26"/>
  <c r="AC26"/>
  <c r="X26"/>
  <c r="S26"/>
  <c r="R26"/>
  <c r="Q26"/>
  <c r="P26"/>
  <c r="O26"/>
  <c r="N26"/>
  <c r="I26"/>
  <c r="AO25"/>
  <c r="AM25"/>
  <c r="AL25"/>
  <c r="AK25"/>
  <c r="AJ25"/>
  <c r="AI25"/>
  <c r="AH25"/>
  <c r="AG25"/>
  <c r="AF25"/>
  <c r="AE25"/>
  <c r="AD25"/>
  <c r="AC25"/>
  <c r="X25"/>
  <c r="S25"/>
  <c r="R25"/>
  <c r="Q25"/>
  <c r="P25"/>
  <c r="O25"/>
  <c r="N25"/>
  <c r="I25"/>
  <c r="AO24"/>
  <c r="AM24"/>
  <c r="AL24"/>
  <c r="AK24"/>
  <c r="AJ24"/>
  <c r="AI24"/>
  <c r="AH24"/>
  <c r="AG24"/>
  <c r="AF24"/>
  <c r="AE24"/>
  <c r="AD24"/>
  <c r="AC24"/>
  <c r="X24"/>
  <c r="S24"/>
  <c r="R24"/>
  <c r="Q24"/>
  <c r="P24"/>
  <c r="O24"/>
  <c r="N24"/>
  <c r="I24"/>
  <c r="AO23"/>
  <c r="AN23"/>
  <c r="AM23"/>
  <c r="AL23"/>
  <c r="AK23"/>
  <c r="AJ23"/>
  <c r="AI23"/>
  <c r="AH23"/>
  <c r="AG23"/>
  <c r="AF23"/>
  <c r="AE23"/>
  <c r="AD23"/>
  <c r="AC23"/>
  <c r="AB23"/>
  <c r="AA23"/>
  <c r="Z23"/>
  <c r="Y23"/>
  <c r="X23"/>
  <c r="W23"/>
  <c r="V23"/>
  <c r="U23"/>
  <c r="T23"/>
  <c r="S23"/>
  <c r="R23"/>
  <c r="Q23"/>
  <c r="P23"/>
  <c r="O23"/>
  <c r="N23"/>
  <c r="M23"/>
  <c r="L23"/>
  <c r="K23"/>
  <c r="J23"/>
  <c r="I23"/>
  <c r="H23"/>
  <c r="G23"/>
  <c r="F23"/>
  <c r="E23"/>
  <c r="D23"/>
  <c r="AO22"/>
  <c r="AM22"/>
  <c r="AL22"/>
  <c r="AK22"/>
  <c r="AJ22"/>
  <c r="AI22"/>
  <c r="AH22"/>
  <c r="AG22"/>
  <c r="AF22"/>
  <c r="AE22"/>
  <c r="AD22"/>
  <c r="AC22"/>
  <c r="X22"/>
  <c r="S22"/>
  <c r="R22"/>
  <c r="Q22"/>
  <c r="P22"/>
  <c r="O22"/>
  <c r="N22"/>
  <c r="I22"/>
  <c r="AO21"/>
  <c r="AM21"/>
  <c r="AL21"/>
  <c r="AK21"/>
  <c r="AJ21"/>
  <c r="AI21"/>
  <c r="AH21"/>
  <c r="AG21"/>
  <c r="AF21"/>
  <c r="AE21"/>
  <c r="AD21"/>
  <c r="AC21"/>
  <c r="X21"/>
  <c r="S21"/>
  <c r="R21"/>
  <c r="Q21"/>
  <c r="P21"/>
  <c r="O21"/>
  <c r="N21"/>
  <c r="I21"/>
  <c r="AO20"/>
  <c r="AM20"/>
  <c r="AL20"/>
  <c r="AK20"/>
  <c r="AJ20"/>
  <c r="AI20"/>
  <c r="AH20"/>
  <c r="AG20"/>
  <c r="AF20"/>
  <c r="AE20"/>
  <c r="AD20"/>
  <c r="AC20"/>
  <c r="X20"/>
  <c r="S20"/>
  <c r="R20"/>
  <c r="Q20"/>
  <c r="P20"/>
  <c r="O20"/>
  <c r="N20"/>
  <c r="I20"/>
  <c r="AO19"/>
  <c r="AM19"/>
  <c r="AL19"/>
  <c r="AK19"/>
  <c r="AJ19"/>
  <c r="AI19"/>
  <c r="AH19"/>
  <c r="AG19"/>
  <c r="AF19"/>
  <c r="AE19"/>
  <c r="AD19"/>
  <c r="AC19"/>
  <c r="X19"/>
  <c r="S19"/>
  <c r="R19"/>
  <c r="Q19"/>
  <c r="P19"/>
  <c r="O19"/>
  <c r="N19"/>
  <c r="I19"/>
  <c r="AO18"/>
  <c r="AM18"/>
  <c r="AL18"/>
  <c r="AK18"/>
  <c r="AJ18"/>
  <c r="AI18"/>
  <c r="AH18"/>
  <c r="AG18"/>
  <c r="AF18"/>
  <c r="AE18"/>
  <c r="AD18"/>
  <c r="AC18"/>
  <c r="X18"/>
  <c r="S18"/>
  <c r="R18"/>
  <c r="Q18"/>
  <c r="P18"/>
  <c r="O18"/>
  <c r="N18"/>
  <c r="I18"/>
  <c r="AO17"/>
  <c r="AM17"/>
  <c r="AL17"/>
  <c r="AK17"/>
  <c r="AJ17"/>
  <c r="AI17"/>
  <c r="AH17"/>
  <c r="AG17"/>
  <c r="AF17"/>
  <c r="AE17"/>
  <c r="AD17"/>
  <c r="AC17"/>
  <c r="X17"/>
  <c r="S17"/>
  <c r="R17"/>
  <c r="Q17"/>
  <c r="P17"/>
  <c r="O17"/>
  <c r="N17"/>
  <c r="I17"/>
  <c r="AO16"/>
  <c r="AM16"/>
  <c r="AL16"/>
  <c r="AK16"/>
  <c r="AJ16"/>
  <c r="AI16"/>
  <c r="AH16"/>
  <c r="AG16"/>
  <c r="AF16"/>
  <c r="AE16"/>
  <c r="AD16"/>
  <c r="AC16"/>
  <c r="X16"/>
  <c r="S16"/>
  <c r="R16"/>
  <c r="Q16"/>
  <c r="P16"/>
  <c r="O16"/>
  <c r="N16"/>
  <c r="I16"/>
  <c r="AO15"/>
  <c r="AM15"/>
  <c r="AL15"/>
  <c r="AK15"/>
  <c r="AJ15"/>
  <c r="AI15"/>
  <c r="AH15"/>
  <c r="AG15"/>
  <c r="AF15"/>
  <c r="AE15"/>
  <c r="AD15"/>
  <c r="AC15"/>
  <c r="X15"/>
  <c r="S15"/>
  <c r="R15"/>
  <c r="Q15"/>
  <c r="P15"/>
  <c r="O15"/>
  <c r="N15"/>
  <c r="I15"/>
  <c r="AO14"/>
  <c r="AN14"/>
  <c r="AM14"/>
  <c r="AL14"/>
  <c r="AK14"/>
  <c r="AJ14"/>
  <c r="AI14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AO13"/>
  <c r="AM13"/>
  <c r="AL13"/>
  <c r="AK13"/>
  <c r="AJ13"/>
  <c r="AI13"/>
  <c r="AH13"/>
  <c r="AG13"/>
  <c r="AF13"/>
  <c r="AE13"/>
  <c r="AD13"/>
  <c r="AC13"/>
  <c r="X13"/>
  <c r="S13"/>
  <c r="R13"/>
  <c r="Q13"/>
  <c r="P13"/>
  <c r="O13"/>
  <c r="N13"/>
  <c r="I13"/>
  <c r="AO12"/>
  <c r="AM12"/>
  <c r="AL12"/>
  <c r="AK12"/>
  <c r="AJ12"/>
  <c r="AI12"/>
  <c r="AH12"/>
  <c r="AG12"/>
  <c r="AF12"/>
  <c r="AE12"/>
  <c r="AD12"/>
  <c r="AC12"/>
  <c r="X12"/>
  <c r="S12"/>
  <c r="R12"/>
  <c r="Q12"/>
  <c r="P12"/>
  <c r="O12"/>
  <c r="N12"/>
  <c r="I12"/>
  <c r="AO11"/>
  <c r="AM11"/>
  <c r="AL11"/>
  <c r="AK11"/>
  <c r="AJ11"/>
  <c r="AI11"/>
  <c r="AH11"/>
  <c r="AG11"/>
  <c r="AF11"/>
  <c r="AE11"/>
  <c r="AD11"/>
  <c r="AC11"/>
  <c r="X11"/>
  <c r="S11"/>
  <c r="R11"/>
  <c r="Q11"/>
  <c r="P11"/>
  <c r="O11"/>
  <c r="N11"/>
  <c r="I11"/>
  <c r="AO10"/>
  <c r="AM10"/>
  <c r="AL10"/>
  <c r="AK10"/>
  <c r="AJ10"/>
  <c r="AI10"/>
  <c r="AH10"/>
  <c r="AG10"/>
  <c r="AF10"/>
  <c r="AE10"/>
  <c r="AD10"/>
  <c r="AC10"/>
  <c r="X10"/>
  <c r="S10"/>
  <c r="R10"/>
  <c r="Q10"/>
  <c r="P10"/>
  <c r="O10"/>
  <c r="N10"/>
  <c r="I10"/>
  <c r="AO9"/>
  <c r="AM9"/>
  <c r="AL9"/>
  <c r="AK9"/>
  <c r="AJ9"/>
  <c r="AI9"/>
  <c r="AH9"/>
  <c r="AG9"/>
  <c r="AF9"/>
  <c r="AE9"/>
  <c r="AD9"/>
  <c r="AC9"/>
  <c r="X9"/>
  <c r="S9"/>
  <c r="R9"/>
  <c r="Q9"/>
  <c r="P9"/>
  <c r="O9"/>
  <c r="N9"/>
  <c r="I9"/>
  <c r="AO8"/>
  <c r="AM8"/>
  <c r="AL8"/>
  <c r="AK8"/>
  <c r="AJ8"/>
  <c r="AI8"/>
  <c r="AH8"/>
  <c r="AG8"/>
  <c r="AF8"/>
  <c r="AE8"/>
  <c r="AD8"/>
  <c r="AC8"/>
  <c r="X8"/>
  <c r="S8"/>
  <c r="R8"/>
  <c r="Q8"/>
  <c r="P8"/>
  <c r="O8"/>
  <c r="N8"/>
  <c r="I8"/>
  <c r="AO7"/>
  <c r="AM7"/>
  <c r="AL7"/>
  <c r="AK7"/>
  <c r="AJ7"/>
  <c r="AI7"/>
  <c r="AH7"/>
  <c r="AG7"/>
  <c r="AF7"/>
  <c r="AE7"/>
  <c r="AD7"/>
  <c r="AC7"/>
  <c r="X7"/>
  <c r="S7"/>
  <c r="R7"/>
  <c r="Q7"/>
  <c r="P7"/>
  <c r="O7"/>
  <c r="N7"/>
  <c r="I7"/>
  <c r="AO6"/>
  <c r="AM6"/>
  <c r="AL6"/>
  <c r="AK6"/>
  <c r="AJ6"/>
  <c r="AI6"/>
  <c r="AH6"/>
  <c r="AG6"/>
  <c r="AF6"/>
  <c r="AE6"/>
  <c r="AD6"/>
  <c r="AC6"/>
  <c r="X6"/>
  <c r="S6"/>
  <c r="R6"/>
  <c r="Q6"/>
  <c r="P6"/>
  <c r="O6"/>
  <c r="N6"/>
  <c r="I6"/>
  <c r="AO5"/>
  <c r="AM5"/>
  <c r="AL5"/>
  <c r="AK5"/>
  <c r="AJ5"/>
  <c r="AI5"/>
  <c r="AH5"/>
  <c r="AG5"/>
  <c r="AF5"/>
  <c r="AE5"/>
  <c r="AD5"/>
  <c r="AC5"/>
  <c r="X5"/>
  <c r="S5"/>
  <c r="R5"/>
  <c r="Q5"/>
  <c r="P5"/>
  <c r="O5"/>
  <c r="N5"/>
  <c r="I5"/>
  <c r="AO4"/>
  <c r="AM4"/>
  <c r="AL4"/>
  <c r="AK4"/>
  <c r="AJ4"/>
  <c r="AI4"/>
  <c r="AH4"/>
  <c r="AG4"/>
  <c r="AF4"/>
  <c r="AE4"/>
  <c r="AD4"/>
  <c r="AC4"/>
  <c r="X4"/>
  <c r="S4"/>
  <c r="R4"/>
  <c r="Q4"/>
  <c r="P4"/>
  <c r="O4"/>
  <c r="N4"/>
  <c r="I4"/>
  <c r="G183" i="33"/>
  <c r="E183"/>
  <c r="D183"/>
  <c r="G182"/>
  <c r="E182"/>
  <c r="D182"/>
  <c r="G181"/>
  <c r="G180"/>
  <c r="G179"/>
  <c r="G178"/>
  <c r="G177"/>
  <c r="G176"/>
  <c r="G175"/>
  <c r="G174"/>
  <c r="G173"/>
  <c r="E173"/>
  <c r="D173"/>
  <c r="G172"/>
  <c r="G171"/>
  <c r="G170"/>
  <c r="G169"/>
  <c r="G168"/>
  <c r="G167"/>
  <c r="G166"/>
  <c r="G165"/>
  <c r="G164"/>
  <c r="G163"/>
  <c r="G162"/>
  <c r="G161"/>
  <c r="G160"/>
  <c r="G159"/>
  <c r="G158"/>
  <c r="G157"/>
  <c r="G156"/>
  <c r="G155"/>
  <c r="G154"/>
  <c r="G153"/>
  <c r="G152"/>
  <c r="G151"/>
  <c r="G150"/>
  <c r="G149"/>
  <c r="G148"/>
  <c r="G147"/>
  <c r="G146"/>
  <c r="G145"/>
  <c r="G144"/>
  <c r="G143"/>
  <c r="G142"/>
  <c r="E142"/>
  <c r="D142"/>
  <c r="G141"/>
  <c r="G140"/>
  <c r="G139"/>
  <c r="G138"/>
  <c r="G137"/>
  <c r="G136"/>
  <c r="G135"/>
  <c r="G134"/>
  <c r="G133"/>
  <c r="G132"/>
  <c r="G131"/>
  <c r="G130"/>
  <c r="G129"/>
  <c r="G128"/>
  <c r="G127"/>
  <c r="G126"/>
  <c r="G125"/>
  <c r="G124"/>
  <c r="G123"/>
  <c r="G122"/>
  <c r="G121"/>
  <c r="G120"/>
  <c r="G119"/>
  <c r="G118"/>
  <c r="G117"/>
  <c r="G116"/>
  <c r="G115"/>
  <c r="G114"/>
  <c r="G113"/>
  <c r="G112"/>
  <c r="E112"/>
  <c r="D112"/>
  <c r="G111"/>
  <c r="G110"/>
  <c r="G109"/>
  <c r="G108"/>
  <c r="G107"/>
  <c r="G106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E87"/>
  <c r="D87"/>
  <c r="G86"/>
  <c r="G85"/>
  <c r="G84"/>
  <c r="G83"/>
  <c r="G82"/>
  <c r="G81"/>
  <c r="G80"/>
  <c r="G79"/>
  <c r="G78"/>
  <c r="G77"/>
  <c r="G76"/>
  <c r="G75"/>
  <c r="G74"/>
  <c r="G73"/>
  <c r="E73"/>
  <c r="D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E41"/>
  <c r="D41"/>
  <c r="G40"/>
  <c r="G39"/>
  <c r="G38"/>
  <c r="G37"/>
  <c r="G36"/>
  <c r="G35"/>
  <c r="G34"/>
  <c r="G33"/>
  <c r="E33"/>
  <c r="D33"/>
  <c r="G32"/>
  <c r="G31"/>
  <c r="G30"/>
  <c r="G29"/>
  <c r="G28"/>
  <c r="G27"/>
  <c r="G26"/>
  <c r="G25"/>
  <c r="G24"/>
  <c r="G23"/>
  <c r="G22"/>
  <c r="G21"/>
  <c r="G20"/>
  <c r="G19"/>
  <c r="G18"/>
  <c r="G17"/>
  <c r="E17"/>
  <c r="D17"/>
  <c r="G16"/>
  <c r="G15"/>
  <c r="G14"/>
  <c r="G13"/>
  <c r="G12"/>
  <c r="G11"/>
  <c r="G10"/>
  <c r="G9"/>
  <c r="G8"/>
  <c r="G7"/>
  <c r="G6"/>
  <c r="G5"/>
  <c r="G4"/>
  <c r="G3"/>
  <c r="C13" i="43"/>
  <c r="B13"/>
  <c r="C12"/>
  <c r="C11"/>
  <c r="C10"/>
  <c r="C9"/>
  <c r="C8"/>
  <c r="C7"/>
  <c r="C6"/>
  <c r="C5"/>
  <c r="C4"/>
  <c r="C3"/>
  <c r="E122" i="31"/>
  <c r="D122"/>
  <c r="E121"/>
  <c r="D121"/>
  <c r="E120"/>
  <c r="E119"/>
  <c r="E118"/>
  <c r="E117"/>
  <c r="E116"/>
  <c r="E115"/>
  <c r="E114"/>
  <c r="E113"/>
  <c r="E112"/>
  <c r="E111"/>
  <c r="E110"/>
  <c r="D110"/>
  <c r="E109"/>
  <c r="E108"/>
  <c r="E107"/>
  <c r="E106"/>
  <c r="E105"/>
  <c r="E104"/>
  <c r="E103"/>
  <c r="E102"/>
  <c r="E101"/>
  <c r="E100"/>
  <c r="E99"/>
  <c r="E98"/>
  <c r="E97"/>
  <c r="E96"/>
  <c r="E95"/>
  <c r="E94"/>
  <c r="D94"/>
  <c r="E93"/>
  <c r="E92"/>
  <c r="E91"/>
  <c r="E90"/>
  <c r="E89"/>
  <c r="E88"/>
  <c r="E87"/>
  <c r="E86"/>
  <c r="E85"/>
  <c r="D85"/>
  <c r="E84"/>
  <c r="E83"/>
  <c r="E82"/>
  <c r="E81"/>
  <c r="E80"/>
  <c r="E79"/>
  <c r="E78"/>
  <c r="E77"/>
  <c r="E76"/>
  <c r="E75"/>
  <c r="E74"/>
  <c r="E73"/>
  <c r="E72"/>
  <c r="D72"/>
  <c r="E71"/>
  <c r="E70"/>
  <c r="E69"/>
  <c r="E68"/>
  <c r="E67"/>
  <c r="E66"/>
  <c r="E65"/>
  <c r="E64"/>
  <c r="E63"/>
  <c r="E62"/>
  <c r="E61"/>
  <c r="E60"/>
  <c r="E59"/>
  <c r="E58"/>
  <c r="E57"/>
  <c r="E56"/>
  <c r="E55"/>
  <c r="D55"/>
  <c r="E54"/>
  <c r="E53"/>
  <c r="E52"/>
  <c r="E51"/>
  <c r="E50"/>
  <c r="E49"/>
  <c r="E48"/>
  <c r="E47"/>
  <c r="E46"/>
  <c r="E45"/>
  <c r="E44"/>
  <c r="E43"/>
  <c r="E42"/>
  <c r="E41"/>
  <c r="E40"/>
  <c r="E39"/>
  <c r="E38"/>
  <c r="E37"/>
  <c r="E36"/>
  <c r="E35"/>
  <c r="D35"/>
  <c r="E34"/>
  <c r="E33"/>
  <c r="E32"/>
  <c r="E31"/>
  <c r="E30"/>
  <c r="E29"/>
  <c r="E28"/>
  <c r="E27"/>
  <c r="E26"/>
  <c r="E25"/>
  <c r="E24"/>
  <c r="E23"/>
  <c r="E22"/>
  <c r="E21"/>
  <c r="E20"/>
  <c r="E19"/>
  <c r="E18"/>
  <c r="E17"/>
  <c r="E16"/>
  <c r="E15"/>
  <c r="E14"/>
  <c r="D14"/>
  <c r="E13"/>
  <c r="E12"/>
  <c r="E11"/>
  <c r="E10"/>
  <c r="E9"/>
  <c r="E8"/>
  <c r="D8"/>
  <c r="E7"/>
  <c r="E6"/>
  <c r="E5"/>
  <c r="E4"/>
  <c r="E3"/>
  <c r="J50" i="67"/>
  <c r="J49"/>
  <c r="J47"/>
  <c r="J35"/>
  <c r="J32"/>
  <c r="J27"/>
  <c r="J13"/>
  <c r="J10"/>
  <c r="J7"/>
  <c r="J4"/>
  <c r="D7" i="68"/>
  <c r="C7"/>
  <c r="D6"/>
  <c r="C6"/>
  <c r="D4"/>
  <c r="C4"/>
  <c r="Q126" i="64"/>
  <c r="P126"/>
  <c r="O126"/>
  <c r="N126"/>
  <c r="M126"/>
  <c r="L126"/>
  <c r="K126"/>
  <c r="J126"/>
  <c r="I126"/>
  <c r="H126"/>
  <c r="G126"/>
  <c r="F126"/>
  <c r="Q125"/>
  <c r="P125"/>
  <c r="O125"/>
  <c r="N125"/>
  <c r="M125"/>
  <c r="L125"/>
  <c r="K125"/>
  <c r="J125"/>
  <c r="I125"/>
  <c r="H125"/>
  <c r="G125"/>
  <c r="F125"/>
  <c r="Q124"/>
  <c r="P124"/>
  <c r="O124"/>
  <c r="N124"/>
  <c r="M124"/>
  <c r="I124"/>
  <c r="Q123"/>
  <c r="P123"/>
  <c r="O123"/>
  <c r="N123"/>
  <c r="M123"/>
  <c r="I123"/>
  <c r="Q122"/>
  <c r="P122"/>
  <c r="O122"/>
  <c r="N122"/>
  <c r="M122"/>
  <c r="I122"/>
  <c r="Q121"/>
  <c r="P121"/>
  <c r="O121"/>
  <c r="N121"/>
  <c r="M121"/>
  <c r="I121"/>
  <c r="Q120"/>
  <c r="P120"/>
  <c r="O120"/>
  <c r="N120"/>
  <c r="M120"/>
  <c r="I120"/>
  <c r="Q119"/>
  <c r="P119"/>
  <c r="O119"/>
  <c r="N119"/>
  <c r="M119"/>
  <c r="I119"/>
  <c r="Q118"/>
  <c r="P118"/>
  <c r="O118"/>
  <c r="N118"/>
  <c r="M118"/>
  <c r="I118"/>
  <c r="Q117"/>
  <c r="P117"/>
  <c r="O117"/>
  <c r="N117"/>
  <c r="M117"/>
  <c r="I117"/>
  <c r="Q116"/>
  <c r="P116"/>
  <c r="O116"/>
  <c r="N116"/>
  <c r="M116"/>
  <c r="I116"/>
  <c r="Q115"/>
  <c r="P115"/>
  <c r="O115"/>
  <c r="N115"/>
  <c r="M115"/>
  <c r="I115"/>
  <c r="Q114"/>
  <c r="P114"/>
  <c r="O114"/>
  <c r="N114"/>
  <c r="M114"/>
  <c r="I114"/>
  <c r="Q113"/>
  <c r="P113"/>
  <c r="O113"/>
  <c r="N113"/>
  <c r="M113"/>
  <c r="L113"/>
  <c r="K113"/>
  <c r="J113"/>
  <c r="I113"/>
  <c r="H113"/>
  <c r="G113"/>
  <c r="F113"/>
  <c r="Q112"/>
  <c r="P112"/>
  <c r="O112"/>
  <c r="N112"/>
  <c r="M112"/>
  <c r="I112"/>
  <c r="Q111"/>
  <c r="P111"/>
  <c r="O111"/>
  <c r="N111"/>
  <c r="M111"/>
  <c r="I111"/>
  <c r="Q110"/>
  <c r="P110"/>
  <c r="O110"/>
  <c r="N110"/>
  <c r="M110"/>
  <c r="I110"/>
  <c r="Q109"/>
  <c r="P109"/>
  <c r="O109"/>
  <c r="N109"/>
  <c r="M109"/>
  <c r="I109"/>
  <c r="Q108"/>
  <c r="P108"/>
  <c r="O108"/>
  <c r="N108"/>
  <c r="M108"/>
  <c r="I108"/>
  <c r="Q107"/>
  <c r="P107"/>
  <c r="O107"/>
  <c r="N107"/>
  <c r="M107"/>
  <c r="I107"/>
  <c r="Q106"/>
  <c r="P106"/>
  <c r="O106"/>
  <c r="N106"/>
  <c r="M106"/>
  <c r="I106"/>
  <c r="Q105"/>
  <c r="P105"/>
  <c r="O105"/>
  <c r="N105"/>
  <c r="M105"/>
  <c r="I105"/>
  <c r="G105"/>
  <c r="Q104"/>
  <c r="P104"/>
  <c r="O104"/>
  <c r="N104"/>
  <c r="M104"/>
  <c r="I104"/>
  <c r="Q103"/>
  <c r="P103"/>
  <c r="O103"/>
  <c r="N103"/>
  <c r="M103"/>
  <c r="I103"/>
  <c r="G103"/>
  <c r="Q102"/>
  <c r="P102"/>
  <c r="O102"/>
  <c r="N102"/>
  <c r="M102"/>
  <c r="I102"/>
  <c r="Q101"/>
  <c r="P101"/>
  <c r="O101"/>
  <c r="N101"/>
  <c r="M101"/>
  <c r="I101"/>
  <c r="Q100"/>
  <c r="P100"/>
  <c r="O100"/>
  <c r="N100"/>
  <c r="M100"/>
  <c r="I100"/>
  <c r="Q99"/>
  <c r="P99"/>
  <c r="O99"/>
  <c r="N99"/>
  <c r="M99"/>
  <c r="I99"/>
  <c r="Q98"/>
  <c r="P98"/>
  <c r="O98"/>
  <c r="N98"/>
  <c r="M98"/>
  <c r="I98"/>
  <c r="Q97"/>
  <c r="P97"/>
  <c r="O97"/>
  <c r="N97"/>
  <c r="M97"/>
  <c r="L97"/>
  <c r="K97"/>
  <c r="J97"/>
  <c r="I97"/>
  <c r="H97"/>
  <c r="G97"/>
  <c r="F97"/>
  <c r="Q96"/>
  <c r="P96"/>
  <c r="O96"/>
  <c r="N96"/>
  <c r="M96"/>
  <c r="I96"/>
  <c r="Q95"/>
  <c r="P95"/>
  <c r="O95"/>
  <c r="N95"/>
  <c r="M95"/>
  <c r="I95"/>
  <c r="Q94"/>
  <c r="P94"/>
  <c r="O94"/>
  <c r="N94"/>
  <c r="M94"/>
  <c r="I94"/>
  <c r="Q93"/>
  <c r="P93"/>
  <c r="O93"/>
  <c r="N93"/>
  <c r="M93"/>
  <c r="I93"/>
  <c r="Q92"/>
  <c r="P92"/>
  <c r="O92"/>
  <c r="N92"/>
  <c r="M92"/>
  <c r="I92"/>
  <c r="Q91"/>
  <c r="P91"/>
  <c r="O91"/>
  <c r="N91"/>
  <c r="M91"/>
  <c r="I91"/>
  <c r="Q90"/>
  <c r="P90"/>
  <c r="O90"/>
  <c r="N90"/>
  <c r="M90"/>
  <c r="I90"/>
  <c r="F90"/>
  <c r="Q89"/>
  <c r="P89"/>
  <c r="O89"/>
  <c r="N89"/>
  <c r="M89"/>
  <c r="I89"/>
  <c r="Q88"/>
  <c r="P88"/>
  <c r="O88"/>
  <c r="N88"/>
  <c r="M88"/>
  <c r="I88"/>
  <c r="Q87"/>
  <c r="P87"/>
  <c r="O87"/>
  <c r="N87"/>
  <c r="M87"/>
  <c r="L87"/>
  <c r="K87"/>
  <c r="J87"/>
  <c r="I87"/>
  <c r="H87"/>
  <c r="G87"/>
  <c r="F87"/>
  <c r="Q86"/>
  <c r="P86"/>
  <c r="O86"/>
  <c r="N86"/>
  <c r="M86"/>
  <c r="I86"/>
  <c r="Q85"/>
  <c r="P85"/>
  <c r="O85"/>
  <c r="N85"/>
  <c r="M85"/>
  <c r="I85"/>
  <c r="Q84"/>
  <c r="P84"/>
  <c r="O84"/>
  <c r="N84"/>
  <c r="M84"/>
  <c r="I84"/>
  <c r="Q83"/>
  <c r="P83"/>
  <c r="O83"/>
  <c r="N83"/>
  <c r="M83"/>
  <c r="I83"/>
  <c r="Q82"/>
  <c r="P82"/>
  <c r="O82"/>
  <c r="N82"/>
  <c r="M82"/>
  <c r="I82"/>
  <c r="Q81"/>
  <c r="P81"/>
  <c r="O81"/>
  <c r="N81"/>
  <c r="M81"/>
  <c r="I81"/>
  <c r="Q80"/>
  <c r="P80"/>
  <c r="O80"/>
  <c r="N80"/>
  <c r="M80"/>
  <c r="I80"/>
  <c r="Q79"/>
  <c r="P79"/>
  <c r="O79"/>
  <c r="N79"/>
  <c r="M79"/>
  <c r="I79"/>
  <c r="Q78"/>
  <c r="P78"/>
  <c r="O78"/>
  <c r="N78"/>
  <c r="M78"/>
  <c r="I78"/>
  <c r="Q77"/>
  <c r="P77"/>
  <c r="O77"/>
  <c r="N77"/>
  <c r="M77"/>
  <c r="I77"/>
  <c r="Q76"/>
  <c r="P76"/>
  <c r="O76"/>
  <c r="N76"/>
  <c r="M76"/>
  <c r="I76"/>
  <c r="Q75"/>
  <c r="P75"/>
  <c r="O75"/>
  <c r="N75"/>
  <c r="M75"/>
  <c r="I75"/>
  <c r="Q74"/>
  <c r="P74"/>
  <c r="O74"/>
  <c r="N74"/>
  <c r="M74"/>
  <c r="L74"/>
  <c r="K74"/>
  <c r="J74"/>
  <c r="I74"/>
  <c r="H74"/>
  <c r="G74"/>
  <c r="F74"/>
  <c r="Q73"/>
  <c r="P73"/>
  <c r="O73"/>
  <c r="N73"/>
  <c r="M73"/>
  <c r="I73"/>
  <c r="Q72"/>
  <c r="P72"/>
  <c r="O72"/>
  <c r="N72"/>
  <c r="M72"/>
  <c r="I72"/>
  <c r="Q71"/>
  <c r="P71"/>
  <c r="O71"/>
  <c r="N71"/>
  <c r="M71"/>
  <c r="I71"/>
  <c r="Q70"/>
  <c r="P70"/>
  <c r="O70"/>
  <c r="N70"/>
  <c r="M70"/>
  <c r="I70"/>
  <c r="Q69"/>
  <c r="P69"/>
  <c r="O69"/>
  <c r="N69"/>
  <c r="M69"/>
  <c r="I69"/>
  <c r="Q68"/>
  <c r="P68"/>
  <c r="O68"/>
  <c r="N68"/>
  <c r="M68"/>
  <c r="I68"/>
  <c r="Q67"/>
  <c r="P67"/>
  <c r="O67"/>
  <c r="N67"/>
  <c r="M67"/>
  <c r="I67"/>
  <c r="Q66"/>
  <c r="P66"/>
  <c r="O66"/>
  <c r="N66"/>
  <c r="M66"/>
  <c r="I66"/>
  <c r="Q65"/>
  <c r="P65"/>
  <c r="O65"/>
  <c r="N65"/>
  <c r="M65"/>
  <c r="I65"/>
  <c r="Q64"/>
  <c r="P64"/>
  <c r="O64"/>
  <c r="N64"/>
  <c r="M64"/>
  <c r="I64"/>
  <c r="Q63"/>
  <c r="P63"/>
  <c r="O63"/>
  <c r="N63"/>
  <c r="M63"/>
  <c r="I63"/>
  <c r="Q62"/>
  <c r="P62"/>
  <c r="O62"/>
  <c r="N62"/>
  <c r="M62"/>
  <c r="I62"/>
  <c r="Q61"/>
  <c r="P61"/>
  <c r="O61"/>
  <c r="N61"/>
  <c r="M61"/>
  <c r="I61"/>
  <c r="Q60"/>
  <c r="P60"/>
  <c r="O60"/>
  <c r="N60"/>
  <c r="M60"/>
  <c r="I60"/>
  <c r="Q59"/>
  <c r="P59"/>
  <c r="O59"/>
  <c r="N59"/>
  <c r="M59"/>
  <c r="I59"/>
  <c r="Q58"/>
  <c r="P58"/>
  <c r="O58"/>
  <c r="N58"/>
  <c r="M58"/>
  <c r="I58"/>
  <c r="Q57"/>
  <c r="P57"/>
  <c r="O57"/>
  <c r="N57"/>
  <c r="M57"/>
  <c r="L57"/>
  <c r="K57"/>
  <c r="J57"/>
  <c r="I57"/>
  <c r="H57"/>
  <c r="G57"/>
  <c r="F57"/>
  <c r="Q56"/>
  <c r="P56"/>
  <c r="O56"/>
  <c r="N56"/>
  <c r="M56"/>
  <c r="I56"/>
  <c r="Q55"/>
  <c r="P55"/>
  <c r="O55"/>
  <c r="N55"/>
  <c r="M55"/>
  <c r="I55"/>
  <c r="Q54"/>
  <c r="P54"/>
  <c r="O54"/>
  <c r="N54"/>
  <c r="M54"/>
  <c r="I54"/>
  <c r="Q53"/>
  <c r="P53"/>
  <c r="O53"/>
  <c r="N53"/>
  <c r="M53"/>
  <c r="I53"/>
  <c r="Q52"/>
  <c r="P52"/>
  <c r="O52"/>
  <c r="N52"/>
  <c r="M52"/>
  <c r="I52"/>
  <c r="Q51"/>
  <c r="P51"/>
  <c r="O51"/>
  <c r="N51"/>
  <c r="M51"/>
  <c r="I51"/>
  <c r="Q50"/>
  <c r="P50"/>
  <c r="O50"/>
  <c r="N50"/>
  <c r="M50"/>
  <c r="I50"/>
  <c r="Q49"/>
  <c r="P49"/>
  <c r="O49"/>
  <c r="N49"/>
  <c r="M49"/>
  <c r="I49"/>
  <c r="Q48"/>
  <c r="P48"/>
  <c r="O48"/>
  <c r="N48"/>
  <c r="M48"/>
  <c r="I48"/>
  <c r="Q47"/>
  <c r="P47"/>
  <c r="O47"/>
  <c r="N47"/>
  <c r="M47"/>
  <c r="I47"/>
  <c r="Q46"/>
  <c r="P46"/>
  <c r="O46"/>
  <c r="N46"/>
  <c r="M46"/>
  <c r="I46"/>
  <c r="Q45"/>
  <c r="P45"/>
  <c r="O45"/>
  <c r="N45"/>
  <c r="M45"/>
  <c r="I45"/>
  <c r="Q44"/>
  <c r="P44"/>
  <c r="O44"/>
  <c r="N44"/>
  <c r="M44"/>
  <c r="I44"/>
  <c r="Q43"/>
  <c r="P43"/>
  <c r="O43"/>
  <c r="N43"/>
  <c r="M43"/>
  <c r="I43"/>
  <c r="Q42"/>
  <c r="P42"/>
  <c r="O42"/>
  <c r="N42"/>
  <c r="M42"/>
  <c r="I42"/>
  <c r="Q41"/>
  <c r="P41"/>
  <c r="O41"/>
  <c r="N41"/>
  <c r="M41"/>
  <c r="I41"/>
  <c r="Q40"/>
  <c r="P40"/>
  <c r="O40"/>
  <c r="N40"/>
  <c r="M40"/>
  <c r="I40"/>
  <c r="Q39"/>
  <c r="P39"/>
  <c r="O39"/>
  <c r="N39"/>
  <c r="M39"/>
  <c r="I39"/>
  <c r="Q38"/>
  <c r="P38"/>
  <c r="O38"/>
  <c r="N38"/>
  <c r="M38"/>
  <c r="I38"/>
  <c r="Q37"/>
  <c r="P37"/>
  <c r="O37"/>
  <c r="N37"/>
  <c r="M37"/>
  <c r="L37"/>
  <c r="K37"/>
  <c r="J37"/>
  <c r="I37"/>
  <c r="H37"/>
  <c r="G37"/>
  <c r="F37"/>
  <c r="Q36"/>
  <c r="P36"/>
  <c r="O36"/>
  <c r="N36"/>
  <c r="M36"/>
  <c r="I36"/>
  <c r="Q35"/>
  <c r="P35"/>
  <c r="O35"/>
  <c r="N35"/>
  <c r="M35"/>
  <c r="I35"/>
  <c r="Q34"/>
  <c r="P34"/>
  <c r="O34"/>
  <c r="N34"/>
  <c r="M34"/>
  <c r="I34"/>
  <c r="Q33"/>
  <c r="P33"/>
  <c r="O33"/>
  <c r="N33"/>
  <c r="M33"/>
  <c r="I33"/>
  <c r="Q32"/>
  <c r="P32"/>
  <c r="O32"/>
  <c r="N32"/>
  <c r="M32"/>
  <c r="I32"/>
  <c r="Q31"/>
  <c r="P31"/>
  <c r="O31"/>
  <c r="N31"/>
  <c r="M31"/>
  <c r="I31"/>
  <c r="Q30"/>
  <c r="P30"/>
  <c r="O30"/>
  <c r="N30"/>
  <c r="M30"/>
  <c r="I30"/>
  <c r="Q29"/>
  <c r="P29"/>
  <c r="O29"/>
  <c r="N29"/>
  <c r="M29"/>
  <c r="I29"/>
  <c r="Q28"/>
  <c r="P28"/>
  <c r="O28"/>
  <c r="N28"/>
  <c r="M28"/>
  <c r="I28"/>
  <c r="Q27"/>
  <c r="P27"/>
  <c r="O27"/>
  <c r="N27"/>
  <c r="M27"/>
  <c r="I27"/>
  <c r="Q26"/>
  <c r="P26"/>
  <c r="O26"/>
  <c r="N26"/>
  <c r="M26"/>
  <c r="I26"/>
  <c r="Q25"/>
  <c r="P25"/>
  <c r="O25"/>
  <c r="N25"/>
  <c r="M25"/>
  <c r="I25"/>
  <c r="Q24"/>
  <c r="P24"/>
  <c r="O24"/>
  <c r="N24"/>
  <c r="M24"/>
  <c r="I24"/>
  <c r="Q23"/>
  <c r="P23"/>
  <c r="O23"/>
  <c r="N23"/>
  <c r="M23"/>
  <c r="I23"/>
  <c r="Q22"/>
  <c r="P22"/>
  <c r="O22"/>
  <c r="N22"/>
  <c r="M22"/>
  <c r="I22"/>
  <c r="Q21"/>
  <c r="P21"/>
  <c r="O21"/>
  <c r="N21"/>
  <c r="M21"/>
  <c r="I21"/>
  <c r="Q20"/>
  <c r="P20"/>
  <c r="O20"/>
  <c r="N20"/>
  <c r="M20"/>
  <c r="I20"/>
  <c r="Q19"/>
  <c r="P19"/>
  <c r="O19"/>
  <c r="N19"/>
  <c r="M19"/>
  <c r="I19"/>
  <c r="Q18"/>
  <c r="P18"/>
  <c r="O18"/>
  <c r="N18"/>
  <c r="M18"/>
  <c r="I18"/>
  <c r="Q17"/>
  <c r="P17"/>
  <c r="O17"/>
  <c r="N17"/>
  <c r="M17"/>
  <c r="I17"/>
  <c r="Q16"/>
  <c r="P16"/>
  <c r="O16"/>
  <c r="N16"/>
  <c r="M16"/>
  <c r="L16"/>
  <c r="K16"/>
  <c r="J16"/>
  <c r="I16"/>
  <c r="H16"/>
  <c r="G16"/>
  <c r="F16"/>
  <c r="Q15"/>
  <c r="P15"/>
  <c r="O15"/>
  <c r="N15"/>
  <c r="M15"/>
  <c r="I15"/>
  <c r="Q14"/>
  <c r="P14"/>
  <c r="O14"/>
  <c r="N14"/>
  <c r="M14"/>
  <c r="I14"/>
  <c r="Q13"/>
  <c r="P13"/>
  <c r="O13"/>
  <c r="N13"/>
  <c r="M13"/>
  <c r="I13"/>
  <c r="Q12"/>
  <c r="P12"/>
  <c r="O12"/>
  <c r="N12"/>
  <c r="M12"/>
  <c r="I12"/>
  <c r="Q11"/>
  <c r="P11"/>
  <c r="O11"/>
  <c r="N11"/>
  <c r="M11"/>
  <c r="I11"/>
  <c r="Q10"/>
  <c r="P10"/>
  <c r="O10"/>
  <c r="N10"/>
  <c r="M10"/>
  <c r="I10"/>
  <c r="Q9"/>
  <c r="P9"/>
  <c r="O9"/>
  <c r="N9"/>
  <c r="M9"/>
  <c r="L9"/>
  <c r="K9"/>
  <c r="J9"/>
  <c r="I9"/>
  <c r="H9"/>
  <c r="G9"/>
  <c r="F9"/>
  <c r="Q8"/>
  <c r="P8"/>
  <c r="O8"/>
  <c r="N8"/>
  <c r="M8"/>
  <c r="I8"/>
  <c r="Q7"/>
  <c r="P7"/>
  <c r="O7"/>
  <c r="N7"/>
  <c r="M7"/>
  <c r="I7"/>
  <c r="Q6"/>
  <c r="P6"/>
  <c r="O6"/>
  <c r="N6"/>
  <c r="M6"/>
  <c r="I6"/>
  <c r="Q5"/>
  <c r="P5"/>
  <c r="O5"/>
  <c r="N5"/>
  <c r="M5"/>
  <c r="I5"/>
  <c r="Q4"/>
  <c r="P4"/>
  <c r="O4"/>
  <c r="N4"/>
  <c r="M4"/>
  <c r="I4"/>
  <c r="P74" i="56"/>
  <c r="O74"/>
  <c r="N74"/>
  <c r="M74"/>
  <c r="L74"/>
  <c r="K74"/>
  <c r="J74"/>
  <c r="I74"/>
  <c r="H74"/>
  <c r="G74"/>
  <c r="F74"/>
  <c r="E74"/>
  <c r="P73"/>
  <c r="O73"/>
  <c r="N73"/>
  <c r="M73"/>
  <c r="L73"/>
  <c r="K73"/>
  <c r="J73"/>
  <c r="I73"/>
  <c r="H73"/>
  <c r="G73"/>
  <c r="F73"/>
  <c r="E73"/>
  <c r="P72"/>
  <c r="P71"/>
  <c r="P70"/>
  <c r="P69"/>
  <c r="P68"/>
  <c r="P67"/>
  <c r="P66"/>
  <c r="P65"/>
  <c r="O65"/>
  <c r="N65"/>
  <c r="M65"/>
  <c r="L65"/>
  <c r="K65"/>
  <c r="J65"/>
  <c r="I65"/>
  <c r="H65"/>
  <c r="G65"/>
  <c r="F65"/>
  <c r="E65"/>
  <c r="P64"/>
  <c r="P63"/>
  <c r="P62"/>
  <c r="P61"/>
  <c r="P60"/>
  <c r="O60"/>
  <c r="N60"/>
  <c r="M60"/>
  <c r="L60"/>
  <c r="K60"/>
  <c r="J60"/>
  <c r="I60"/>
  <c r="H60"/>
  <c r="G60"/>
  <c r="F60"/>
  <c r="E60"/>
  <c r="P59"/>
  <c r="P58"/>
  <c r="P57"/>
  <c r="O57"/>
  <c r="N57"/>
  <c r="M57"/>
  <c r="L57"/>
  <c r="K57"/>
  <c r="J57"/>
  <c r="I57"/>
  <c r="H57"/>
  <c r="G57"/>
  <c r="F57"/>
  <c r="E57"/>
  <c r="P56"/>
  <c r="P55"/>
  <c r="O55"/>
  <c r="N55"/>
  <c r="M55"/>
  <c r="L55"/>
  <c r="K55"/>
  <c r="J55"/>
  <c r="I55"/>
  <c r="H55"/>
  <c r="G55"/>
  <c r="F55"/>
  <c r="E55"/>
  <c r="P54"/>
  <c r="O54"/>
  <c r="N54"/>
  <c r="M54"/>
  <c r="L54"/>
  <c r="K54"/>
  <c r="J54"/>
  <c r="I54"/>
  <c r="H54"/>
  <c r="G54"/>
  <c r="F54"/>
  <c r="E54"/>
  <c r="P53"/>
  <c r="O53"/>
  <c r="N53"/>
  <c r="M53"/>
  <c r="L53"/>
  <c r="K53"/>
  <c r="J53"/>
  <c r="I53"/>
  <c r="H53"/>
  <c r="G53"/>
  <c r="F53"/>
  <c r="E53"/>
  <c r="P52"/>
  <c r="I52"/>
  <c r="P51"/>
  <c r="O51"/>
  <c r="N51"/>
  <c r="M51"/>
  <c r="L51"/>
  <c r="K51"/>
  <c r="J51"/>
  <c r="I51"/>
  <c r="H51"/>
  <c r="G51"/>
  <c r="F51"/>
  <c r="E51"/>
  <c r="P50"/>
  <c r="O50"/>
  <c r="N50"/>
  <c r="M50"/>
  <c r="L50"/>
  <c r="K50"/>
  <c r="J50"/>
  <c r="I50"/>
  <c r="H50"/>
  <c r="G50"/>
  <c r="F50"/>
  <c r="E50"/>
  <c r="P49"/>
  <c r="O49"/>
  <c r="N49"/>
  <c r="M49"/>
  <c r="L49"/>
  <c r="K49"/>
  <c r="J49"/>
  <c r="I49"/>
  <c r="H49"/>
  <c r="G49"/>
  <c r="F49"/>
  <c r="E49"/>
  <c r="P48"/>
  <c r="O48"/>
  <c r="N48"/>
  <c r="M48"/>
  <c r="L48"/>
  <c r="K48"/>
  <c r="J48"/>
  <c r="I48"/>
  <c r="H48"/>
  <c r="G48"/>
  <c r="F48"/>
  <c r="E48"/>
  <c r="P47"/>
  <c r="O47"/>
  <c r="N47"/>
  <c r="M47"/>
  <c r="L47"/>
  <c r="K47"/>
  <c r="J47"/>
  <c r="I47"/>
  <c r="H47"/>
  <c r="G47"/>
  <c r="F47"/>
  <c r="E47"/>
  <c r="P46"/>
  <c r="O46"/>
  <c r="N46"/>
  <c r="M46"/>
  <c r="L46"/>
  <c r="K46"/>
  <c r="J46"/>
  <c r="I46"/>
  <c r="H46"/>
  <c r="G46"/>
  <c r="F46"/>
  <c r="E46"/>
  <c r="P45"/>
  <c r="O45"/>
  <c r="N45"/>
  <c r="M45"/>
  <c r="L45"/>
  <c r="K45"/>
  <c r="J45"/>
  <c r="I45"/>
  <c r="H45"/>
  <c r="G45"/>
  <c r="F45"/>
  <c r="E45"/>
  <c r="P44"/>
  <c r="O44"/>
  <c r="N44"/>
  <c r="M44"/>
  <c r="L44"/>
  <c r="K44"/>
  <c r="J44"/>
  <c r="I44"/>
  <c r="H44"/>
  <c r="G44"/>
  <c r="F44"/>
  <c r="E44"/>
  <c r="P43"/>
  <c r="O43"/>
  <c r="N43"/>
  <c r="M43"/>
  <c r="L43"/>
  <c r="K43"/>
  <c r="J43"/>
  <c r="I43"/>
  <c r="H43"/>
  <c r="G43"/>
  <c r="F43"/>
  <c r="E43"/>
  <c r="P42"/>
  <c r="O42"/>
  <c r="N42"/>
  <c r="M42"/>
  <c r="L42"/>
  <c r="K42"/>
  <c r="J42"/>
  <c r="I42"/>
  <c r="H42"/>
  <c r="G42"/>
  <c r="F42"/>
  <c r="E42"/>
  <c r="P41"/>
  <c r="O41"/>
  <c r="N41"/>
  <c r="M41"/>
  <c r="L41"/>
  <c r="K41"/>
  <c r="J41"/>
  <c r="I41"/>
  <c r="H41"/>
  <c r="G41"/>
  <c r="F41"/>
  <c r="E41"/>
  <c r="P40"/>
  <c r="O40"/>
  <c r="N40"/>
  <c r="M40"/>
  <c r="L40"/>
  <c r="K40"/>
  <c r="J40"/>
  <c r="I40"/>
  <c r="H40"/>
  <c r="G40"/>
  <c r="F40"/>
  <c r="E40"/>
  <c r="P39"/>
  <c r="P38"/>
  <c r="P37"/>
  <c r="O37"/>
  <c r="N37"/>
  <c r="M37"/>
  <c r="L37"/>
  <c r="K37"/>
  <c r="J37"/>
  <c r="I37"/>
  <c r="H37"/>
  <c r="G37"/>
  <c r="F37"/>
  <c r="E37"/>
  <c r="P36"/>
  <c r="P35"/>
  <c r="O35"/>
  <c r="N35"/>
  <c r="M35"/>
  <c r="L35"/>
  <c r="K35"/>
  <c r="J35"/>
  <c r="I35"/>
  <c r="H35"/>
  <c r="G35"/>
  <c r="F35"/>
  <c r="E35"/>
  <c r="P34"/>
  <c r="P33"/>
  <c r="O33"/>
  <c r="N33"/>
  <c r="M33"/>
  <c r="L33"/>
  <c r="K33"/>
  <c r="J33"/>
  <c r="I33"/>
  <c r="H33"/>
  <c r="G33"/>
  <c r="F33"/>
  <c r="E33"/>
  <c r="P32"/>
  <c r="O32"/>
  <c r="N32"/>
  <c r="M32"/>
  <c r="L32"/>
  <c r="K32"/>
  <c r="J32"/>
  <c r="I32"/>
  <c r="H32"/>
  <c r="G32"/>
  <c r="F32"/>
  <c r="E32"/>
  <c r="P31"/>
  <c r="P30"/>
  <c r="P29"/>
  <c r="O29"/>
  <c r="N29"/>
  <c r="M29"/>
  <c r="L29"/>
  <c r="K29"/>
  <c r="J29"/>
  <c r="I29"/>
  <c r="H29"/>
  <c r="G29"/>
  <c r="F29"/>
  <c r="E29"/>
  <c r="P28"/>
  <c r="O28"/>
  <c r="N28"/>
  <c r="M28"/>
  <c r="L28"/>
  <c r="K28"/>
  <c r="J28"/>
  <c r="I28"/>
  <c r="H28"/>
  <c r="G28"/>
  <c r="F28"/>
  <c r="E28"/>
  <c r="P27"/>
  <c r="O27"/>
  <c r="N27"/>
  <c r="M27"/>
  <c r="L27"/>
  <c r="K27"/>
  <c r="J27"/>
  <c r="I27"/>
  <c r="H27"/>
  <c r="G27"/>
  <c r="F27"/>
  <c r="E27"/>
  <c r="P26"/>
  <c r="O26"/>
  <c r="N26"/>
  <c r="M26"/>
  <c r="L26"/>
  <c r="K26"/>
  <c r="J26"/>
  <c r="I26"/>
  <c r="H26"/>
  <c r="G26"/>
  <c r="F26"/>
  <c r="E26"/>
  <c r="P25"/>
  <c r="O25"/>
  <c r="N25"/>
  <c r="M25"/>
  <c r="L25"/>
  <c r="K25"/>
  <c r="J25"/>
  <c r="I25"/>
  <c r="H25"/>
  <c r="G25"/>
  <c r="F25"/>
  <c r="E25"/>
  <c r="P24"/>
  <c r="O24"/>
  <c r="N24"/>
  <c r="M24"/>
  <c r="L24"/>
  <c r="K24"/>
  <c r="J24"/>
  <c r="I24"/>
  <c r="H24"/>
  <c r="G24"/>
  <c r="F24"/>
  <c r="E24"/>
  <c r="P23"/>
  <c r="O23"/>
  <c r="N23"/>
  <c r="M23"/>
  <c r="L23"/>
  <c r="K23"/>
  <c r="J23"/>
  <c r="I23"/>
  <c r="H23"/>
  <c r="G23"/>
  <c r="F23"/>
  <c r="E23"/>
  <c r="P22"/>
  <c r="O22"/>
  <c r="N22"/>
  <c r="M22"/>
  <c r="L22"/>
  <c r="K22"/>
  <c r="J22"/>
  <c r="I22"/>
  <c r="H22"/>
  <c r="G22"/>
  <c r="F22"/>
  <c r="E22"/>
  <c r="P21"/>
  <c r="O21"/>
  <c r="N21"/>
  <c r="M21"/>
  <c r="L21"/>
  <c r="K21"/>
  <c r="J21"/>
  <c r="I21"/>
  <c r="H21"/>
  <c r="G21"/>
  <c r="F21"/>
  <c r="E21"/>
  <c r="P20"/>
  <c r="P19"/>
  <c r="O19"/>
  <c r="N19"/>
  <c r="M19"/>
  <c r="L19"/>
  <c r="K19"/>
  <c r="J19"/>
  <c r="I19"/>
  <c r="H19"/>
  <c r="G19"/>
  <c r="F19"/>
  <c r="E19"/>
  <c r="P18"/>
  <c r="P17"/>
  <c r="P16"/>
  <c r="O16"/>
  <c r="N16"/>
  <c r="M16"/>
  <c r="L16"/>
  <c r="K16"/>
  <c r="J16"/>
  <c r="I16"/>
  <c r="H16"/>
  <c r="G16"/>
  <c r="F16"/>
  <c r="E16"/>
  <c r="P15"/>
  <c r="O15"/>
  <c r="N15"/>
  <c r="M15"/>
  <c r="L15"/>
  <c r="K15"/>
  <c r="J15"/>
  <c r="I15"/>
  <c r="H15"/>
  <c r="G15"/>
  <c r="F15"/>
  <c r="E15"/>
  <c r="P14"/>
  <c r="O14"/>
  <c r="N14"/>
  <c r="M14"/>
  <c r="L14"/>
  <c r="K14"/>
  <c r="J14"/>
  <c r="I14"/>
  <c r="H14"/>
  <c r="G14"/>
  <c r="F14"/>
  <c r="E14"/>
  <c r="P13"/>
  <c r="O13"/>
  <c r="N13"/>
  <c r="M13"/>
  <c r="L13"/>
  <c r="K13"/>
  <c r="J13"/>
  <c r="I13"/>
  <c r="H13"/>
  <c r="G13"/>
  <c r="F13"/>
  <c r="E13"/>
  <c r="P12"/>
  <c r="O12"/>
  <c r="N12"/>
  <c r="M12"/>
  <c r="L12"/>
  <c r="K12"/>
  <c r="J12"/>
  <c r="I12"/>
  <c r="H12"/>
  <c r="G12"/>
  <c r="F12"/>
  <c r="E12"/>
  <c r="P11"/>
  <c r="O11"/>
  <c r="N11"/>
  <c r="M11"/>
  <c r="L11"/>
  <c r="K11"/>
  <c r="J11"/>
  <c r="I11"/>
  <c r="H11"/>
  <c r="G11"/>
  <c r="F11"/>
  <c r="E11"/>
  <c r="P10"/>
  <c r="P9"/>
  <c r="O9"/>
  <c r="N9"/>
  <c r="M9"/>
  <c r="L9"/>
  <c r="K9"/>
  <c r="J9"/>
  <c r="I9"/>
  <c r="H9"/>
  <c r="G9"/>
  <c r="F9"/>
  <c r="E9"/>
  <c r="P8"/>
  <c r="P7"/>
  <c r="P6"/>
  <c r="O6"/>
  <c r="N6"/>
  <c r="M6"/>
  <c r="L6"/>
  <c r="K6"/>
  <c r="J6"/>
  <c r="I6"/>
  <c r="H6"/>
  <c r="G6"/>
  <c r="F6"/>
  <c r="E6"/>
  <c r="P5"/>
  <c r="O5"/>
  <c r="N5"/>
  <c r="M5"/>
  <c r="L5"/>
  <c r="K5"/>
  <c r="J5"/>
  <c r="I5"/>
  <c r="H5"/>
  <c r="G5"/>
  <c r="F5"/>
  <c r="E5"/>
  <c r="P4"/>
  <c r="O4"/>
  <c r="N4"/>
  <c r="M4"/>
  <c r="L4"/>
  <c r="K4"/>
  <c r="J4"/>
  <c r="I4"/>
  <c r="H4"/>
  <c r="G4"/>
  <c r="F4"/>
  <c r="E4"/>
  <c r="T74" i="57"/>
  <c r="S74"/>
  <c r="R74"/>
  <c r="Q74"/>
  <c r="P74"/>
  <c r="O74"/>
  <c r="N74"/>
  <c r="M74"/>
  <c r="L74"/>
  <c r="K74"/>
  <c r="J74"/>
  <c r="I74"/>
  <c r="H74"/>
  <c r="G74"/>
  <c r="F74"/>
  <c r="E74"/>
  <c r="T73"/>
  <c r="S73"/>
  <c r="R73"/>
  <c r="Q73"/>
  <c r="P73"/>
  <c r="O73"/>
  <c r="N73"/>
  <c r="M73"/>
  <c r="L73"/>
  <c r="K73"/>
  <c r="J73"/>
  <c r="I73"/>
  <c r="H73"/>
  <c r="G73"/>
  <c r="F73"/>
  <c r="E73"/>
  <c r="T72"/>
  <c r="L72"/>
  <c r="K72"/>
  <c r="T71"/>
  <c r="S71"/>
  <c r="L71"/>
  <c r="K71"/>
  <c r="T70"/>
  <c r="T69"/>
  <c r="T68"/>
  <c r="T67"/>
  <c r="T66"/>
  <c r="T65"/>
  <c r="S65"/>
  <c r="R65"/>
  <c r="Q65"/>
  <c r="P65"/>
  <c r="O65"/>
  <c r="N65"/>
  <c r="M65"/>
  <c r="L65"/>
  <c r="K65"/>
  <c r="J65"/>
  <c r="I65"/>
  <c r="H65"/>
  <c r="G65"/>
  <c r="F65"/>
  <c r="E65"/>
  <c r="T64"/>
  <c r="T63"/>
  <c r="T62"/>
  <c r="T61"/>
  <c r="T60"/>
  <c r="S60"/>
  <c r="R60"/>
  <c r="P60"/>
  <c r="O60"/>
  <c r="N60"/>
  <c r="M60"/>
  <c r="L60"/>
  <c r="K60"/>
  <c r="J60"/>
  <c r="I60"/>
  <c r="H60"/>
  <c r="G60"/>
  <c r="F60"/>
  <c r="E60"/>
  <c r="T59"/>
  <c r="T58"/>
  <c r="T57"/>
  <c r="S57"/>
  <c r="R57"/>
  <c r="Q57"/>
  <c r="P57"/>
  <c r="O57"/>
  <c r="N57"/>
  <c r="M57"/>
  <c r="L57"/>
  <c r="K57"/>
  <c r="J57"/>
  <c r="I57"/>
  <c r="H57"/>
  <c r="G57"/>
  <c r="F57"/>
  <c r="E57"/>
  <c r="T56"/>
  <c r="T55"/>
  <c r="S55"/>
  <c r="R55"/>
  <c r="Q55"/>
  <c r="P55"/>
  <c r="O55"/>
  <c r="N55"/>
  <c r="M55"/>
  <c r="L55"/>
  <c r="K55"/>
  <c r="J55"/>
  <c r="I55"/>
  <c r="H55"/>
  <c r="G55"/>
  <c r="F55"/>
  <c r="E55"/>
  <c r="T54"/>
  <c r="S54"/>
  <c r="R54"/>
  <c r="Q54"/>
  <c r="P54"/>
  <c r="O54"/>
  <c r="N54"/>
  <c r="M54"/>
  <c r="L54"/>
  <c r="K54"/>
  <c r="J54"/>
  <c r="I54"/>
  <c r="H54"/>
  <c r="G54"/>
  <c r="F54"/>
  <c r="E54"/>
  <c r="T53"/>
  <c r="S53"/>
  <c r="R53"/>
  <c r="Q53"/>
  <c r="P53"/>
  <c r="O53"/>
  <c r="N53"/>
  <c r="M53"/>
  <c r="L53"/>
  <c r="K53"/>
  <c r="J53"/>
  <c r="I53"/>
  <c r="H53"/>
  <c r="G53"/>
  <c r="F53"/>
  <c r="E53"/>
  <c r="T52"/>
  <c r="L52"/>
  <c r="H52"/>
  <c r="T51"/>
  <c r="S51"/>
  <c r="R51"/>
  <c r="Q51"/>
  <c r="P51"/>
  <c r="O51"/>
  <c r="N51"/>
  <c r="M51"/>
  <c r="L51"/>
  <c r="K51"/>
  <c r="J51"/>
  <c r="I51"/>
  <c r="H51"/>
  <c r="G51"/>
  <c r="F51"/>
  <c r="E51"/>
  <c r="T50"/>
  <c r="S50"/>
  <c r="R50"/>
  <c r="Q50"/>
  <c r="P50"/>
  <c r="O50"/>
  <c r="N50"/>
  <c r="M50"/>
  <c r="L50"/>
  <c r="K50"/>
  <c r="J50"/>
  <c r="I50"/>
  <c r="H50"/>
  <c r="G50"/>
  <c r="F50"/>
  <c r="E50"/>
  <c r="T49"/>
  <c r="S49"/>
  <c r="R49"/>
  <c r="Q49"/>
  <c r="P49"/>
  <c r="O49"/>
  <c r="N49"/>
  <c r="M49"/>
  <c r="L49"/>
  <c r="K49"/>
  <c r="J49"/>
  <c r="I49"/>
  <c r="H49"/>
  <c r="G49"/>
  <c r="F49"/>
  <c r="E49"/>
  <c r="T48"/>
  <c r="S48"/>
  <c r="R48"/>
  <c r="Q48"/>
  <c r="P48"/>
  <c r="O48"/>
  <c r="N48"/>
  <c r="M48"/>
  <c r="L48"/>
  <c r="K48"/>
  <c r="J48"/>
  <c r="I48"/>
  <c r="H48"/>
  <c r="G48"/>
  <c r="F48"/>
  <c r="E48"/>
  <c r="T47"/>
  <c r="S47"/>
  <c r="R47"/>
  <c r="Q47"/>
  <c r="P47"/>
  <c r="O47"/>
  <c r="N47"/>
  <c r="M47"/>
  <c r="L47"/>
  <c r="K47"/>
  <c r="J47"/>
  <c r="I47"/>
  <c r="H47"/>
  <c r="G47"/>
  <c r="F47"/>
  <c r="E47"/>
  <c r="T46"/>
  <c r="S46"/>
  <c r="R46"/>
  <c r="Q46"/>
  <c r="P46"/>
  <c r="O46"/>
  <c r="N46"/>
  <c r="M46"/>
  <c r="L46"/>
  <c r="K46"/>
  <c r="J46"/>
  <c r="I46"/>
  <c r="H46"/>
  <c r="G46"/>
  <c r="F46"/>
  <c r="E46"/>
  <c r="T45"/>
  <c r="S45"/>
  <c r="R45"/>
  <c r="Q45"/>
  <c r="P45"/>
  <c r="O45"/>
  <c r="N45"/>
  <c r="M45"/>
  <c r="L45"/>
  <c r="K45"/>
  <c r="J45"/>
  <c r="I45"/>
  <c r="H45"/>
  <c r="G45"/>
  <c r="F45"/>
  <c r="E45"/>
  <c r="T44"/>
  <c r="S44"/>
  <c r="R44"/>
  <c r="Q44"/>
  <c r="P44"/>
  <c r="O44"/>
  <c r="N44"/>
  <c r="M44"/>
  <c r="L44"/>
  <c r="K44"/>
  <c r="J44"/>
  <c r="I44"/>
  <c r="H44"/>
  <c r="G44"/>
  <c r="F44"/>
  <c r="E44"/>
  <c r="T43"/>
  <c r="S43"/>
  <c r="R43"/>
  <c r="Q43"/>
  <c r="P43"/>
  <c r="O43"/>
  <c r="N43"/>
  <c r="M43"/>
  <c r="L43"/>
  <c r="K43"/>
  <c r="J43"/>
  <c r="I43"/>
  <c r="H43"/>
  <c r="G43"/>
  <c r="F43"/>
  <c r="E43"/>
  <c r="T42"/>
  <c r="S42"/>
  <c r="R42"/>
  <c r="Q42"/>
  <c r="P42"/>
  <c r="O42"/>
  <c r="N42"/>
  <c r="M42"/>
  <c r="L42"/>
  <c r="K42"/>
  <c r="J42"/>
  <c r="I42"/>
  <c r="H42"/>
  <c r="G42"/>
  <c r="F42"/>
  <c r="E42"/>
  <c r="T41"/>
  <c r="S41"/>
  <c r="R41"/>
  <c r="Q41"/>
  <c r="P41"/>
  <c r="O41"/>
  <c r="N41"/>
  <c r="M41"/>
  <c r="L41"/>
  <c r="K41"/>
  <c r="J41"/>
  <c r="I41"/>
  <c r="H41"/>
  <c r="G41"/>
  <c r="F41"/>
  <c r="E41"/>
  <c r="T40"/>
  <c r="S40"/>
  <c r="R40"/>
  <c r="Q40"/>
  <c r="P40"/>
  <c r="O40"/>
  <c r="N40"/>
  <c r="M40"/>
  <c r="L40"/>
  <c r="K40"/>
  <c r="J40"/>
  <c r="I40"/>
  <c r="H40"/>
  <c r="G40"/>
  <c r="F40"/>
  <c r="E40"/>
  <c r="T39"/>
  <c r="R39"/>
  <c r="P39"/>
  <c r="O39"/>
  <c r="J39"/>
  <c r="I39"/>
  <c r="H39"/>
  <c r="T38"/>
  <c r="T37"/>
  <c r="S37"/>
  <c r="R37"/>
  <c r="Q37"/>
  <c r="P37"/>
  <c r="O37"/>
  <c r="N37"/>
  <c r="M37"/>
  <c r="L37"/>
  <c r="K37"/>
  <c r="J37"/>
  <c r="I37"/>
  <c r="H37"/>
  <c r="G37"/>
  <c r="F37"/>
  <c r="E37"/>
  <c r="T36"/>
  <c r="S36"/>
  <c r="Q36"/>
  <c r="O36"/>
  <c r="N36"/>
  <c r="M36"/>
  <c r="L36"/>
  <c r="K36"/>
  <c r="J36"/>
  <c r="I36"/>
  <c r="H36"/>
  <c r="G36"/>
  <c r="F36"/>
  <c r="E36"/>
  <c r="T35"/>
  <c r="S35"/>
  <c r="R35"/>
  <c r="Q35"/>
  <c r="P35"/>
  <c r="O35"/>
  <c r="N35"/>
  <c r="M35"/>
  <c r="L35"/>
  <c r="K35"/>
  <c r="J35"/>
  <c r="I35"/>
  <c r="H35"/>
  <c r="G35"/>
  <c r="F35"/>
  <c r="E35"/>
  <c r="T34"/>
  <c r="S34"/>
  <c r="R34"/>
  <c r="P34"/>
  <c r="O34"/>
  <c r="N34"/>
  <c r="M34"/>
  <c r="L34"/>
  <c r="K34"/>
  <c r="I34"/>
  <c r="H34"/>
  <c r="G34"/>
  <c r="F34"/>
  <c r="E34"/>
  <c r="T33"/>
  <c r="S33"/>
  <c r="R33"/>
  <c r="Q33"/>
  <c r="P33"/>
  <c r="O33"/>
  <c r="N33"/>
  <c r="M33"/>
  <c r="L33"/>
  <c r="K33"/>
  <c r="J33"/>
  <c r="I33"/>
  <c r="H33"/>
  <c r="G33"/>
  <c r="F33"/>
  <c r="E33"/>
  <c r="T32"/>
  <c r="S32"/>
  <c r="R32"/>
  <c r="Q32"/>
  <c r="P32"/>
  <c r="O32"/>
  <c r="N32"/>
  <c r="M32"/>
  <c r="L32"/>
  <c r="K32"/>
  <c r="J32"/>
  <c r="I32"/>
  <c r="H32"/>
  <c r="G32"/>
  <c r="F32"/>
  <c r="E32"/>
  <c r="T31"/>
  <c r="T30"/>
  <c r="S30"/>
  <c r="R30"/>
  <c r="Q30"/>
  <c r="O30"/>
  <c r="N30"/>
  <c r="M30"/>
  <c r="L30"/>
  <c r="K30"/>
  <c r="J30"/>
  <c r="I30"/>
  <c r="H30"/>
  <c r="G30"/>
  <c r="F30"/>
  <c r="E30"/>
  <c r="T29"/>
  <c r="S29"/>
  <c r="R29"/>
  <c r="Q29"/>
  <c r="P29"/>
  <c r="O29"/>
  <c r="N29"/>
  <c r="M29"/>
  <c r="L29"/>
  <c r="K29"/>
  <c r="J29"/>
  <c r="I29"/>
  <c r="H29"/>
  <c r="G29"/>
  <c r="F29"/>
  <c r="E29"/>
  <c r="T28"/>
  <c r="S28"/>
  <c r="R28"/>
  <c r="Q28"/>
  <c r="P28"/>
  <c r="O28"/>
  <c r="N28"/>
  <c r="M28"/>
  <c r="L28"/>
  <c r="K28"/>
  <c r="J28"/>
  <c r="I28"/>
  <c r="H28"/>
  <c r="G28"/>
  <c r="F28"/>
  <c r="E28"/>
  <c r="T27"/>
  <c r="S27"/>
  <c r="R27"/>
  <c r="Q27"/>
  <c r="P27"/>
  <c r="O27"/>
  <c r="N27"/>
  <c r="M27"/>
  <c r="L27"/>
  <c r="K27"/>
  <c r="J27"/>
  <c r="I27"/>
  <c r="H27"/>
  <c r="G27"/>
  <c r="F27"/>
  <c r="E27"/>
  <c r="T26"/>
  <c r="S26"/>
  <c r="R26"/>
  <c r="Q26"/>
  <c r="P26"/>
  <c r="O26"/>
  <c r="N26"/>
  <c r="M26"/>
  <c r="L26"/>
  <c r="K26"/>
  <c r="J26"/>
  <c r="I26"/>
  <c r="H26"/>
  <c r="G26"/>
  <c r="F26"/>
  <c r="E26"/>
  <c r="T25"/>
  <c r="S25"/>
  <c r="R25"/>
  <c r="Q25"/>
  <c r="P25"/>
  <c r="O25"/>
  <c r="N25"/>
  <c r="M25"/>
  <c r="L25"/>
  <c r="K25"/>
  <c r="J25"/>
  <c r="I25"/>
  <c r="H25"/>
  <c r="G25"/>
  <c r="F25"/>
  <c r="E25"/>
  <c r="T24"/>
  <c r="S24"/>
  <c r="R24"/>
  <c r="Q24"/>
  <c r="P24"/>
  <c r="O24"/>
  <c r="N24"/>
  <c r="M24"/>
  <c r="L24"/>
  <c r="K24"/>
  <c r="J24"/>
  <c r="I24"/>
  <c r="H24"/>
  <c r="G24"/>
  <c r="F24"/>
  <c r="E24"/>
  <c r="T23"/>
  <c r="S23"/>
  <c r="R23"/>
  <c r="Q23"/>
  <c r="P23"/>
  <c r="O23"/>
  <c r="N23"/>
  <c r="M23"/>
  <c r="L23"/>
  <c r="K23"/>
  <c r="J23"/>
  <c r="I23"/>
  <c r="H23"/>
  <c r="G23"/>
  <c r="F23"/>
  <c r="E23"/>
  <c r="T22"/>
  <c r="S22"/>
  <c r="R22"/>
  <c r="Q22"/>
  <c r="P22"/>
  <c r="O22"/>
  <c r="N22"/>
  <c r="M22"/>
  <c r="L22"/>
  <c r="K22"/>
  <c r="J22"/>
  <c r="I22"/>
  <c r="H22"/>
  <c r="G22"/>
  <c r="F22"/>
  <c r="E22"/>
  <c r="T21"/>
  <c r="S21"/>
  <c r="R21"/>
  <c r="Q21"/>
  <c r="P21"/>
  <c r="O21"/>
  <c r="N21"/>
  <c r="M21"/>
  <c r="L21"/>
  <c r="K21"/>
  <c r="J21"/>
  <c r="I21"/>
  <c r="H21"/>
  <c r="G21"/>
  <c r="F21"/>
  <c r="E21"/>
  <c r="T20"/>
  <c r="R20"/>
  <c r="O20"/>
  <c r="J20"/>
  <c r="I20"/>
  <c r="H20"/>
  <c r="G20"/>
  <c r="F20"/>
  <c r="E20"/>
  <c r="T19"/>
  <c r="S19"/>
  <c r="R19"/>
  <c r="Q19"/>
  <c r="P19"/>
  <c r="O19"/>
  <c r="N19"/>
  <c r="M19"/>
  <c r="L19"/>
  <c r="K19"/>
  <c r="J19"/>
  <c r="I19"/>
  <c r="H19"/>
  <c r="G19"/>
  <c r="F19"/>
  <c r="E19"/>
  <c r="T18"/>
  <c r="T17"/>
  <c r="T16"/>
  <c r="S16"/>
  <c r="R16"/>
  <c r="Q16"/>
  <c r="P16"/>
  <c r="O16"/>
  <c r="N16"/>
  <c r="M16"/>
  <c r="L16"/>
  <c r="K16"/>
  <c r="J16"/>
  <c r="I16"/>
  <c r="H16"/>
  <c r="G16"/>
  <c r="F16"/>
  <c r="E16"/>
  <c r="T15"/>
  <c r="S15"/>
  <c r="R15"/>
  <c r="Q15"/>
  <c r="P15"/>
  <c r="O15"/>
  <c r="N15"/>
  <c r="M15"/>
  <c r="L15"/>
  <c r="K15"/>
  <c r="J15"/>
  <c r="I15"/>
  <c r="H15"/>
  <c r="G15"/>
  <c r="F15"/>
  <c r="E15"/>
  <c r="T14"/>
  <c r="S14"/>
  <c r="R14"/>
  <c r="Q14"/>
  <c r="P14"/>
  <c r="O14"/>
  <c r="N14"/>
  <c r="M14"/>
  <c r="L14"/>
  <c r="K14"/>
  <c r="J14"/>
  <c r="I14"/>
  <c r="H14"/>
  <c r="G14"/>
  <c r="F14"/>
  <c r="E14"/>
  <c r="T13"/>
  <c r="S13"/>
  <c r="R13"/>
  <c r="Q13"/>
  <c r="P13"/>
  <c r="O13"/>
  <c r="N13"/>
  <c r="M13"/>
  <c r="L13"/>
  <c r="K13"/>
  <c r="J13"/>
  <c r="I13"/>
  <c r="H13"/>
  <c r="G13"/>
  <c r="F13"/>
  <c r="E13"/>
  <c r="T12"/>
  <c r="S12"/>
  <c r="R12"/>
  <c r="Q12"/>
  <c r="P12"/>
  <c r="O12"/>
  <c r="N12"/>
  <c r="M12"/>
  <c r="L12"/>
  <c r="K12"/>
  <c r="J12"/>
  <c r="I12"/>
  <c r="H12"/>
  <c r="G12"/>
  <c r="F12"/>
  <c r="E12"/>
  <c r="T11"/>
  <c r="S11"/>
  <c r="R11"/>
  <c r="Q11"/>
  <c r="P11"/>
  <c r="O11"/>
  <c r="N11"/>
  <c r="M11"/>
  <c r="L11"/>
  <c r="K11"/>
  <c r="J11"/>
  <c r="I11"/>
  <c r="H11"/>
  <c r="G11"/>
  <c r="F11"/>
  <c r="E11"/>
  <c r="T10"/>
  <c r="S10"/>
  <c r="R10"/>
  <c r="Q10"/>
  <c r="P10"/>
  <c r="O10"/>
  <c r="N10"/>
  <c r="M10"/>
  <c r="L10"/>
  <c r="K10"/>
  <c r="J10"/>
  <c r="I10"/>
  <c r="H10"/>
  <c r="G10"/>
  <c r="F10"/>
  <c r="E10"/>
  <c r="T9"/>
  <c r="S9"/>
  <c r="R9"/>
  <c r="Q9"/>
  <c r="P9"/>
  <c r="O9"/>
  <c r="N9"/>
  <c r="M9"/>
  <c r="L9"/>
  <c r="K9"/>
  <c r="J9"/>
  <c r="I9"/>
  <c r="H9"/>
  <c r="G9"/>
  <c r="F9"/>
  <c r="E9"/>
  <c r="T8"/>
  <c r="S8"/>
  <c r="R8"/>
  <c r="Q8"/>
  <c r="P8"/>
  <c r="O8"/>
  <c r="N8"/>
  <c r="M8"/>
  <c r="L8"/>
  <c r="K8"/>
  <c r="J8"/>
  <c r="I8"/>
  <c r="H8"/>
  <c r="G8"/>
  <c r="F8"/>
  <c r="E8"/>
  <c r="T7"/>
  <c r="S7"/>
  <c r="R7"/>
  <c r="Q7"/>
  <c r="P7"/>
  <c r="O7"/>
  <c r="N7"/>
  <c r="M7"/>
  <c r="L7"/>
  <c r="K7"/>
  <c r="J7"/>
  <c r="I7"/>
  <c r="H7"/>
  <c r="G7"/>
  <c r="F7"/>
  <c r="E7"/>
  <c r="T6"/>
  <c r="S6"/>
  <c r="R6"/>
  <c r="Q6"/>
  <c r="P6"/>
  <c r="O6"/>
  <c r="N6"/>
  <c r="M6"/>
  <c r="L6"/>
  <c r="K6"/>
  <c r="J6"/>
  <c r="I6"/>
  <c r="H6"/>
  <c r="G6"/>
  <c r="F6"/>
  <c r="E6"/>
  <c r="T5"/>
  <c r="S5"/>
  <c r="R5"/>
  <c r="Q5"/>
  <c r="P5"/>
  <c r="O5"/>
  <c r="N5"/>
  <c r="M5"/>
  <c r="L5"/>
  <c r="K5"/>
  <c r="J5"/>
  <c r="I5"/>
  <c r="H5"/>
  <c r="G5"/>
  <c r="F5"/>
  <c r="E5"/>
  <c r="T4"/>
  <c r="S4"/>
  <c r="R4"/>
  <c r="Q4"/>
  <c r="P4"/>
  <c r="O4"/>
  <c r="N4"/>
  <c r="M4"/>
  <c r="L4"/>
  <c r="K4"/>
  <c r="J4"/>
  <c r="I4"/>
  <c r="H4"/>
  <c r="G4"/>
  <c r="F4"/>
  <c r="E4"/>
  <c r="N72" i="58"/>
  <c r="N71"/>
  <c r="N70"/>
  <c r="N69"/>
  <c r="N68"/>
  <c r="N67"/>
  <c r="N66"/>
  <c r="N65"/>
  <c r="M65"/>
  <c r="L65"/>
  <c r="K65"/>
  <c r="J65"/>
  <c r="I65"/>
  <c r="H65"/>
  <c r="G65"/>
  <c r="F65"/>
  <c r="E65"/>
  <c r="N64"/>
  <c r="N63"/>
  <c r="N62"/>
  <c r="N61"/>
  <c r="N60"/>
  <c r="M60"/>
  <c r="L60"/>
  <c r="K60"/>
  <c r="J60"/>
  <c r="I60"/>
  <c r="H60"/>
  <c r="G60"/>
  <c r="F60"/>
  <c r="E60"/>
  <c r="N59"/>
  <c r="N58"/>
  <c r="N57"/>
  <c r="M57"/>
  <c r="L57"/>
  <c r="K57"/>
  <c r="J57"/>
  <c r="I57"/>
  <c r="H57"/>
  <c r="G57"/>
  <c r="F57"/>
  <c r="E57"/>
  <c r="N56"/>
  <c r="N55"/>
  <c r="M55"/>
  <c r="L55"/>
  <c r="K55"/>
  <c r="J55"/>
  <c r="I55"/>
  <c r="H55"/>
  <c r="G55"/>
  <c r="F55"/>
  <c r="E55"/>
  <c r="N54"/>
  <c r="M54"/>
  <c r="L54"/>
  <c r="K54"/>
  <c r="J54"/>
  <c r="I54"/>
  <c r="H54"/>
  <c r="G54"/>
  <c r="F54"/>
  <c r="E54"/>
  <c r="N53"/>
  <c r="M53"/>
  <c r="L53"/>
  <c r="K53"/>
  <c r="J53"/>
  <c r="I53"/>
  <c r="H53"/>
  <c r="G53"/>
  <c r="F53"/>
  <c r="E53"/>
  <c r="N52"/>
  <c r="L52"/>
  <c r="N51"/>
  <c r="M51"/>
  <c r="L51"/>
  <c r="K51"/>
  <c r="J51"/>
  <c r="I51"/>
  <c r="H51"/>
  <c r="G51"/>
  <c r="F51"/>
  <c r="E51"/>
  <c r="N50"/>
  <c r="M50"/>
  <c r="L50"/>
  <c r="K50"/>
  <c r="J50"/>
  <c r="I50"/>
  <c r="H50"/>
  <c r="G50"/>
  <c r="F50"/>
  <c r="E50"/>
  <c r="N49"/>
  <c r="M49"/>
  <c r="L49"/>
  <c r="K49"/>
  <c r="J49"/>
  <c r="I49"/>
  <c r="H49"/>
  <c r="G49"/>
  <c r="F49"/>
  <c r="E49"/>
  <c r="N48"/>
  <c r="M48"/>
  <c r="L48"/>
  <c r="K48"/>
  <c r="J48"/>
  <c r="I48"/>
  <c r="H48"/>
  <c r="G48"/>
  <c r="F48"/>
  <c r="E48"/>
  <c r="N47"/>
  <c r="M47"/>
  <c r="L47"/>
  <c r="K47"/>
  <c r="J47"/>
  <c r="I47"/>
  <c r="H47"/>
  <c r="G47"/>
  <c r="F47"/>
  <c r="E47"/>
  <c r="N46"/>
  <c r="M46"/>
  <c r="L46"/>
  <c r="K46"/>
  <c r="J46"/>
  <c r="I46"/>
  <c r="H46"/>
  <c r="G46"/>
  <c r="F46"/>
  <c r="E46"/>
  <c r="N45"/>
  <c r="M45"/>
  <c r="L45"/>
  <c r="K45"/>
  <c r="J45"/>
  <c r="I45"/>
  <c r="H45"/>
  <c r="G45"/>
  <c r="F45"/>
  <c r="E45"/>
  <c r="N44"/>
  <c r="M44"/>
  <c r="L44"/>
  <c r="K44"/>
  <c r="J44"/>
  <c r="I44"/>
  <c r="H44"/>
  <c r="G44"/>
  <c r="F44"/>
  <c r="E44"/>
  <c r="N43"/>
  <c r="M43"/>
  <c r="L43"/>
  <c r="K43"/>
  <c r="J43"/>
  <c r="I43"/>
  <c r="H43"/>
  <c r="G43"/>
  <c r="F43"/>
  <c r="E43"/>
  <c r="N42"/>
  <c r="M42"/>
  <c r="L42"/>
  <c r="K42"/>
  <c r="J42"/>
  <c r="I42"/>
  <c r="H42"/>
  <c r="G42"/>
  <c r="F42"/>
  <c r="E42"/>
  <c r="N41"/>
  <c r="M41"/>
  <c r="L41"/>
  <c r="K41"/>
  <c r="J41"/>
  <c r="I41"/>
  <c r="H41"/>
  <c r="G41"/>
  <c r="F41"/>
  <c r="E41"/>
  <c r="N40"/>
  <c r="M40"/>
  <c r="L40"/>
  <c r="K40"/>
  <c r="J40"/>
  <c r="I40"/>
  <c r="H40"/>
  <c r="G40"/>
  <c r="F40"/>
  <c r="E40"/>
  <c r="N39"/>
  <c r="N38"/>
  <c r="N37"/>
  <c r="M37"/>
  <c r="L37"/>
  <c r="K37"/>
  <c r="J37"/>
  <c r="I37"/>
  <c r="H37"/>
  <c r="G37"/>
  <c r="F37"/>
  <c r="E37"/>
  <c r="N36"/>
  <c r="E36"/>
  <c r="N35"/>
  <c r="M35"/>
  <c r="L35"/>
  <c r="K35"/>
  <c r="J35"/>
  <c r="I35"/>
  <c r="H35"/>
  <c r="G35"/>
  <c r="F35"/>
  <c r="E35"/>
  <c r="N34"/>
  <c r="E34"/>
  <c r="N33"/>
  <c r="M33"/>
  <c r="L33"/>
  <c r="K33"/>
  <c r="J33"/>
  <c r="I33"/>
  <c r="H33"/>
  <c r="G33"/>
  <c r="F33"/>
  <c r="E33"/>
  <c r="N32"/>
  <c r="M32"/>
  <c r="L32"/>
  <c r="K32"/>
  <c r="J32"/>
  <c r="I32"/>
  <c r="H32"/>
  <c r="G32"/>
  <c r="F32"/>
  <c r="E32"/>
  <c r="N31"/>
  <c r="N30"/>
  <c r="E30"/>
  <c r="N29"/>
  <c r="M29"/>
  <c r="L29"/>
  <c r="K29"/>
  <c r="J29"/>
  <c r="I29"/>
  <c r="H29"/>
  <c r="G29"/>
  <c r="F29"/>
  <c r="E29"/>
  <c r="N28"/>
  <c r="M28"/>
  <c r="L28"/>
  <c r="K28"/>
  <c r="J28"/>
  <c r="I28"/>
  <c r="H28"/>
  <c r="G28"/>
  <c r="F28"/>
  <c r="E28"/>
  <c r="N27"/>
  <c r="M27"/>
  <c r="L27"/>
  <c r="K27"/>
  <c r="J27"/>
  <c r="I27"/>
  <c r="H27"/>
  <c r="G27"/>
  <c r="F27"/>
  <c r="E27"/>
  <c r="N26"/>
  <c r="M26"/>
  <c r="L26"/>
  <c r="K26"/>
  <c r="J26"/>
  <c r="I26"/>
  <c r="H26"/>
  <c r="G26"/>
  <c r="F26"/>
  <c r="E26"/>
  <c r="N25"/>
  <c r="M25"/>
  <c r="L25"/>
  <c r="K25"/>
  <c r="J25"/>
  <c r="I25"/>
  <c r="H25"/>
  <c r="G25"/>
  <c r="F25"/>
  <c r="E25"/>
  <c r="N24"/>
  <c r="M24"/>
  <c r="L24"/>
  <c r="K24"/>
  <c r="J24"/>
  <c r="I24"/>
  <c r="H24"/>
  <c r="G24"/>
  <c r="F24"/>
  <c r="E24"/>
  <c r="N23"/>
  <c r="M23"/>
  <c r="L23"/>
  <c r="K23"/>
  <c r="J23"/>
  <c r="I23"/>
  <c r="H23"/>
  <c r="G23"/>
  <c r="F23"/>
  <c r="E23"/>
  <c r="N22"/>
  <c r="M22"/>
  <c r="L22"/>
  <c r="K22"/>
  <c r="J22"/>
  <c r="I22"/>
  <c r="H22"/>
  <c r="G22"/>
  <c r="F22"/>
  <c r="E22"/>
  <c r="N21"/>
  <c r="M21"/>
  <c r="L21"/>
  <c r="K21"/>
  <c r="J21"/>
  <c r="I21"/>
  <c r="H21"/>
  <c r="G21"/>
  <c r="F21"/>
  <c r="E21"/>
  <c r="N20"/>
  <c r="L20"/>
  <c r="K20"/>
  <c r="G20"/>
  <c r="N19"/>
  <c r="M19"/>
  <c r="L19"/>
  <c r="K19"/>
  <c r="J19"/>
  <c r="I19"/>
  <c r="H19"/>
  <c r="G19"/>
  <c r="F19"/>
  <c r="E19"/>
  <c r="N18"/>
  <c r="N17"/>
  <c r="N16"/>
  <c r="M16"/>
  <c r="L16"/>
  <c r="K16"/>
  <c r="J16"/>
  <c r="I16"/>
  <c r="H16"/>
  <c r="G16"/>
  <c r="F16"/>
  <c r="E16"/>
  <c r="N15"/>
  <c r="M15"/>
  <c r="L15"/>
  <c r="K15"/>
  <c r="J15"/>
  <c r="I15"/>
  <c r="H15"/>
  <c r="G15"/>
  <c r="F15"/>
  <c r="E15"/>
  <c r="N14"/>
  <c r="M14"/>
  <c r="L14"/>
  <c r="K14"/>
  <c r="J14"/>
  <c r="I14"/>
  <c r="H14"/>
  <c r="G14"/>
  <c r="F14"/>
  <c r="E14"/>
  <c r="N13"/>
  <c r="M13"/>
  <c r="L13"/>
  <c r="K13"/>
  <c r="J13"/>
  <c r="I13"/>
  <c r="H13"/>
  <c r="G13"/>
  <c r="F13"/>
  <c r="E13"/>
  <c r="N12"/>
  <c r="M12"/>
  <c r="L12"/>
  <c r="K12"/>
  <c r="J12"/>
  <c r="I12"/>
  <c r="H12"/>
  <c r="G12"/>
  <c r="F12"/>
  <c r="E12"/>
  <c r="N11"/>
  <c r="M11"/>
  <c r="L11"/>
  <c r="K11"/>
  <c r="J11"/>
  <c r="I11"/>
  <c r="H11"/>
  <c r="G11"/>
  <c r="F11"/>
  <c r="E11"/>
  <c r="N10"/>
  <c r="E10"/>
  <c r="N9"/>
  <c r="M9"/>
  <c r="L9"/>
  <c r="K9"/>
  <c r="J9"/>
  <c r="I9"/>
  <c r="H9"/>
  <c r="G9"/>
  <c r="F9"/>
  <c r="E9"/>
  <c r="N8"/>
  <c r="E8"/>
  <c r="N7"/>
  <c r="E7"/>
  <c r="N6"/>
  <c r="M6"/>
  <c r="L6"/>
  <c r="K6"/>
  <c r="J6"/>
  <c r="I6"/>
  <c r="H6"/>
  <c r="G6"/>
  <c r="F6"/>
  <c r="E6"/>
  <c r="N5"/>
  <c r="M5"/>
  <c r="L5"/>
  <c r="K5"/>
  <c r="J5"/>
  <c r="I5"/>
  <c r="H5"/>
  <c r="G5"/>
  <c r="F5"/>
  <c r="E5"/>
  <c r="N4"/>
  <c r="M4"/>
  <c r="L4"/>
  <c r="K4"/>
  <c r="J4"/>
  <c r="I4"/>
  <c r="H4"/>
  <c r="G4"/>
  <c r="F4"/>
  <c r="E4"/>
  <c r="Q74" i="59"/>
  <c r="P74"/>
  <c r="O74"/>
  <c r="N74"/>
  <c r="M74"/>
  <c r="L74"/>
  <c r="K74"/>
  <c r="J74"/>
  <c r="I74"/>
  <c r="H74"/>
  <c r="G74"/>
  <c r="F74"/>
  <c r="E74"/>
  <c r="Q73"/>
  <c r="P73"/>
  <c r="O73"/>
  <c r="N73"/>
  <c r="M73"/>
  <c r="L73"/>
  <c r="K73"/>
  <c r="J73"/>
  <c r="I73"/>
  <c r="H73"/>
  <c r="G73"/>
  <c r="F73"/>
  <c r="E73"/>
  <c r="Q72"/>
  <c r="Q71"/>
  <c r="Q70"/>
  <c r="Q69"/>
  <c r="Q68"/>
  <c r="Q67"/>
  <c r="Q66"/>
  <c r="Q65"/>
  <c r="P65"/>
  <c r="O65"/>
  <c r="N65"/>
  <c r="M65"/>
  <c r="L65"/>
  <c r="K65"/>
  <c r="J65"/>
  <c r="I65"/>
  <c r="H65"/>
  <c r="G65"/>
  <c r="F65"/>
  <c r="E65"/>
  <c r="Q64"/>
  <c r="Q63"/>
  <c r="Q62"/>
  <c r="Q61"/>
  <c r="Q60"/>
  <c r="P60"/>
  <c r="O60"/>
  <c r="N60"/>
  <c r="M60"/>
  <c r="L60"/>
  <c r="K60"/>
  <c r="J60"/>
  <c r="I60"/>
  <c r="H60"/>
  <c r="G60"/>
  <c r="F60"/>
  <c r="E60"/>
  <c r="Q59"/>
  <c r="Q58"/>
  <c r="Q57"/>
  <c r="P57"/>
  <c r="O57"/>
  <c r="N57"/>
  <c r="M57"/>
  <c r="L57"/>
  <c r="K57"/>
  <c r="J57"/>
  <c r="I57"/>
  <c r="H57"/>
  <c r="G57"/>
  <c r="F57"/>
  <c r="E57"/>
  <c r="Q56"/>
  <c r="Q55"/>
  <c r="P55"/>
  <c r="O55"/>
  <c r="N55"/>
  <c r="M55"/>
  <c r="L55"/>
  <c r="K55"/>
  <c r="J55"/>
  <c r="I55"/>
  <c r="H55"/>
  <c r="G55"/>
  <c r="F55"/>
  <c r="E55"/>
  <c r="Q54"/>
  <c r="P54"/>
  <c r="O54"/>
  <c r="N54"/>
  <c r="M54"/>
  <c r="L54"/>
  <c r="K54"/>
  <c r="J54"/>
  <c r="I54"/>
  <c r="H54"/>
  <c r="G54"/>
  <c r="F54"/>
  <c r="E54"/>
  <c r="Q53"/>
  <c r="P53"/>
  <c r="O53"/>
  <c r="N53"/>
  <c r="M53"/>
  <c r="L53"/>
  <c r="K53"/>
  <c r="J53"/>
  <c r="I53"/>
  <c r="H53"/>
  <c r="G53"/>
  <c r="F53"/>
  <c r="E53"/>
  <c r="Q52"/>
  <c r="F52"/>
  <c r="Q51"/>
  <c r="P51"/>
  <c r="O51"/>
  <c r="N51"/>
  <c r="M51"/>
  <c r="L51"/>
  <c r="K51"/>
  <c r="J51"/>
  <c r="I51"/>
  <c r="H51"/>
  <c r="G51"/>
  <c r="F51"/>
  <c r="E51"/>
  <c r="Q50"/>
  <c r="P50"/>
  <c r="O50"/>
  <c r="N50"/>
  <c r="M50"/>
  <c r="L50"/>
  <c r="K50"/>
  <c r="J50"/>
  <c r="I50"/>
  <c r="H50"/>
  <c r="G50"/>
  <c r="F50"/>
  <c r="E50"/>
  <c r="Q49"/>
  <c r="P49"/>
  <c r="O49"/>
  <c r="N49"/>
  <c r="M49"/>
  <c r="L49"/>
  <c r="K49"/>
  <c r="J49"/>
  <c r="I49"/>
  <c r="H49"/>
  <c r="G49"/>
  <c r="F49"/>
  <c r="E49"/>
  <c r="Q48"/>
  <c r="P48"/>
  <c r="O48"/>
  <c r="N48"/>
  <c r="M48"/>
  <c r="L48"/>
  <c r="K48"/>
  <c r="J48"/>
  <c r="I48"/>
  <c r="H48"/>
  <c r="G48"/>
  <c r="F48"/>
  <c r="E48"/>
  <c r="Q47"/>
  <c r="P47"/>
  <c r="O47"/>
  <c r="N47"/>
  <c r="M47"/>
  <c r="L47"/>
  <c r="K47"/>
  <c r="J47"/>
  <c r="I47"/>
  <c r="H47"/>
  <c r="G47"/>
  <c r="F47"/>
  <c r="E47"/>
  <c r="Q46"/>
  <c r="P46"/>
  <c r="O46"/>
  <c r="N46"/>
  <c r="M46"/>
  <c r="L46"/>
  <c r="K46"/>
  <c r="J46"/>
  <c r="I46"/>
  <c r="H46"/>
  <c r="G46"/>
  <c r="F46"/>
  <c r="E46"/>
  <c r="Q45"/>
  <c r="P45"/>
  <c r="O45"/>
  <c r="N45"/>
  <c r="M45"/>
  <c r="L45"/>
  <c r="K45"/>
  <c r="J45"/>
  <c r="I45"/>
  <c r="H45"/>
  <c r="G45"/>
  <c r="F45"/>
  <c r="E45"/>
  <c r="Q44"/>
  <c r="P44"/>
  <c r="O44"/>
  <c r="N44"/>
  <c r="M44"/>
  <c r="L44"/>
  <c r="K44"/>
  <c r="J44"/>
  <c r="I44"/>
  <c r="H44"/>
  <c r="G44"/>
  <c r="F44"/>
  <c r="E44"/>
  <c r="Q43"/>
  <c r="P43"/>
  <c r="O43"/>
  <c r="N43"/>
  <c r="M43"/>
  <c r="L43"/>
  <c r="K43"/>
  <c r="J43"/>
  <c r="I43"/>
  <c r="H43"/>
  <c r="G43"/>
  <c r="F43"/>
  <c r="E43"/>
  <c r="Q42"/>
  <c r="P42"/>
  <c r="O42"/>
  <c r="N42"/>
  <c r="M42"/>
  <c r="L42"/>
  <c r="K42"/>
  <c r="J42"/>
  <c r="I42"/>
  <c r="H42"/>
  <c r="G42"/>
  <c r="F42"/>
  <c r="E42"/>
  <c r="Q41"/>
  <c r="P41"/>
  <c r="O41"/>
  <c r="N41"/>
  <c r="M41"/>
  <c r="L41"/>
  <c r="K41"/>
  <c r="J41"/>
  <c r="I41"/>
  <c r="H41"/>
  <c r="G41"/>
  <c r="F41"/>
  <c r="E41"/>
  <c r="Q40"/>
  <c r="P40"/>
  <c r="O40"/>
  <c r="N40"/>
  <c r="M40"/>
  <c r="L40"/>
  <c r="K40"/>
  <c r="J40"/>
  <c r="I40"/>
  <c r="H40"/>
  <c r="G40"/>
  <c r="F40"/>
  <c r="E40"/>
  <c r="Q39"/>
  <c r="H39"/>
  <c r="G39"/>
  <c r="Q38"/>
  <c r="L38"/>
  <c r="K38"/>
  <c r="J38"/>
  <c r="I38"/>
  <c r="H38"/>
  <c r="G38"/>
  <c r="Q37"/>
  <c r="P37"/>
  <c r="O37"/>
  <c r="N37"/>
  <c r="M37"/>
  <c r="L37"/>
  <c r="K37"/>
  <c r="J37"/>
  <c r="I37"/>
  <c r="H37"/>
  <c r="G37"/>
  <c r="F37"/>
  <c r="E37"/>
  <c r="Q36"/>
  <c r="Q35"/>
  <c r="P35"/>
  <c r="O35"/>
  <c r="N35"/>
  <c r="M35"/>
  <c r="L35"/>
  <c r="K35"/>
  <c r="J35"/>
  <c r="I35"/>
  <c r="H35"/>
  <c r="G35"/>
  <c r="F35"/>
  <c r="E35"/>
  <c r="Q34"/>
  <c r="Q33"/>
  <c r="P33"/>
  <c r="O33"/>
  <c r="N33"/>
  <c r="M33"/>
  <c r="L33"/>
  <c r="K33"/>
  <c r="J33"/>
  <c r="I33"/>
  <c r="H33"/>
  <c r="G33"/>
  <c r="F33"/>
  <c r="E33"/>
  <c r="Q32"/>
  <c r="P32"/>
  <c r="O32"/>
  <c r="N32"/>
  <c r="M32"/>
  <c r="L32"/>
  <c r="K32"/>
  <c r="J32"/>
  <c r="I32"/>
  <c r="H32"/>
  <c r="G32"/>
  <c r="F32"/>
  <c r="E32"/>
  <c r="Q31"/>
  <c r="Q30"/>
  <c r="P30"/>
  <c r="O30"/>
  <c r="N30"/>
  <c r="Q29"/>
  <c r="P29"/>
  <c r="O29"/>
  <c r="N29"/>
  <c r="M29"/>
  <c r="L29"/>
  <c r="K29"/>
  <c r="J29"/>
  <c r="I29"/>
  <c r="H29"/>
  <c r="G29"/>
  <c r="F29"/>
  <c r="E29"/>
  <c r="Q28"/>
  <c r="P28"/>
  <c r="O28"/>
  <c r="N28"/>
  <c r="M28"/>
  <c r="L28"/>
  <c r="K28"/>
  <c r="J28"/>
  <c r="I28"/>
  <c r="H28"/>
  <c r="G28"/>
  <c r="F28"/>
  <c r="E28"/>
  <c r="Q27"/>
  <c r="P27"/>
  <c r="O27"/>
  <c r="N27"/>
  <c r="M27"/>
  <c r="L27"/>
  <c r="K27"/>
  <c r="J27"/>
  <c r="I27"/>
  <c r="H27"/>
  <c r="G27"/>
  <c r="F27"/>
  <c r="E27"/>
  <c r="Q26"/>
  <c r="P26"/>
  <c r="O26"/>
  <c r="N26"/>
  <c r="M26"/>
  <c r="L26"/>
  <c r="K26"/>
  <c r="J26"/>
  <c r="I26"/>
  <c r="H26"/>
  <c r="G26"/>
  <c r="F26"/>
  <c r="E26"/>
  <c r="Q25"/>
  <c r="P25"/>
  <c r="O25"/>
  <c r="N25"/>
  <c r="M25"/>
  <c r="L25"/>
  <c r="K25"/>
  <c r="J25"/>
  <c r="I25"/>
  <c r="H25"/>
  <c r="G25"/>
  <c r="F25"/>
  <c r="E25"/>
  <c r="Q24"/>
  <c r="P24"/>
  <c r="O24"/>
  <c r="N24"/>
  <c r="M24"/>
  <c r="L24"/>
  <c r="K24"/>
  <c r="J24"/>
  <c r="I24"/>
  <c r="H24"/>
  <c r="G24"/>
  <c r="F24"/>
  <c r="E24"/>
  <c r="Q23"/>
  <c r="P23"/>
  <c r="O23"/>
  <c r="N23"/>
  <c r="M23"/>
  <c r="L23"/>
  <c r="K23"/>
  <c r="J23"/>
  <c r="I23"/>
  <c r="H23"/>
  <c r="G23"/>
  <c r="F23"/>
  <c r="E23"/>
  <c r="Q22"/>
  <c r="P22"/>
  <c r="O22"/>
  <c r="N22"/>
  <c r="M22"/>
  <c r="L22"/>
  <c r="K22"/>
  <c r="J22"/>
  <c r="I22"/>
  <c r="H22"/>
  <c r="G22"/>
  <c r="F22"/>
  <c r="E22"/>
  <c r="Q21"/>
  <c r="P21"/>
  <c r="O21"/>
  <c r="N21"/>
  <c r="M21"/>
  <c r="L21"/>
  <c r="K21"/>
  <c r="J21"/>
  <c r="I21"/>
  <c r="H21"/>
  <c r="G21"/>
  <c r="F21"/>
  <c r="E21"/>
  <c r="Q20"/>
  <c r="H20"/>
  <c r="G20"/>
  <c r="F20"/>
  <c r="E20"/>
  <c r="Q19"/>
  <c r="P19"/>
  <c r="O19"/>
  <c r="N19"/>
  <c r="M19"/>
  <c r="L19"/>
  <c r="K19"/>
  <c r="J19"/>
  <c r="I19"/>
  <c r="H19"/>
  <c r="G19"/>
  <c r="F19"/>
  <c r="E19"/>
  <c r="Q18"/>
  <c r="Q17"/>
  <c r="Q16"/>
  <c r="P16"/>
  <c r="O16"/>
  <c r="N16"/>
  <c r="M16"/>
  <c r="L16"/>
  <c r="K16"/>
  <c r="J16"/>
  <c r="I16"/>
  <c r="H16"/>
  <c r="G16"/>
  <c r="F16"/>
  <c r="E16"/>
  <c r="Q15"/>
  <c r="P15"/>
  <c r="O15"/>
  <c r="N15"/>
  <c r="M15"/>
  <c r="L15"/>
  <c r="K15"/>
  <c r="J15"/>
  <c r="I15"/>
  <c r="H15"/>
  <c r="G15"/>
  <c r="F15"/>
  <c r="E15"/>
  <c r="Q14"/>
  <c r="P14"/>
  <c r="O14"/>
  <c r="N14"/>
  <c r="M14"/>
  <c r="L14"/>
  <c r="K14"/>
  <c r="J14"/>
  <c r="I14"/>
  <c r="H14"/>
  <c r="G14"/>
  <c r="F14"/>
  <c r="E14"/>
  <c r="Q13"/>
  <c r="P13"/>
  <c r="O13"/>
  <c r="N13"/>
  <c r="M13"/>
  <c r="L13"/>
  <c r="K13"/>
  <c r="J13"/>
  <c r="I13"/>
  <c r="H13"/>
  <c r="G13"/>
  <c r="F13"/>
  <c r="E13"/>
  <c r="Q12"/>
  <c r="P12"/>
  <c r="O12"/>
  <c r="N12"/>
  <c r="M12"/>
  <c r="L12"/>
  <c r="K12"/>
  <c r="J12"/>
  <c r="I12"/>
  <c r="H12"/>
  <c r="G12"/>
  <c r="F12"/>
  <c r="E12"/>
  <c r="Q11"/>
  <c r="P11"/>
  <c r="O11"/>
  <c r="N11"/>
  <c r="M11"/>
  <c r="L11"/>
  <c r="K11"/>
  <c r="J11"/>
  <c r="I11"/>
  <c r="H11"/>
  <c r="G11"/>
  <c r="F11"/>
  <c r="E11"/>
  <c r="Q10"/>
  <c r="Q9"/>
  <c r="P9"/>
  <c r="O9"/>
  <c r="N9"/>
  <c r="M9"/>
  <c r="L9"/>
  <c r="K9"/>
  <c r="J9"/>
  <c r="I9"/>
  <c r="H9"/>
  <c r="G9"/>
  <c r="F9"/>
  <c r="E9"/>
  <c r="Q8"/>
  <c r="P8"/>
  <c r="O8"/>
  <c r="N8"/>
  <c r="L8"/>
  <c r="Q7"/>
  <c r="P7"/>
  <c r="O7"/>
  <c r="N7"/>
  <c r="L7"/>
  <c r="Q6"/>
  <c r="P6"/>
  <c r="O6"/>
  <c r="N6"/>
  <c r="M6"/>
  <c r="L6"/>
  <c r="K6"/>
  <c r="J6"/>
  <c r="I6"/>
  <c r="H6"/>
  <c r="G6"/>
  <c r="F6"/>
  <c r="E6"/>
  <c r="Q5"/>
  <c r="P5"/>
  <c r="O5"/>
  <c r="N5"/>
  <c r="M5"/>
  <c r="L5"/>
  <c r="K5"/>
  <c r="J5"/>
  <c r="I5"/>
  <c r="H5"/>
  <c r="G5"/>
  <c r="F5"/>
  <c r="E5"/>
  <c r="Q4"/>
  <c r="P4"/>
  <c r="O4"/>
  <c r="N4"/>
  <c r="M4"/>
  <c r="L4"/>
  <c r="K4"/>
  <c r="J4"/>
  <c r="I4"/>
  <c r="H4"/>
  <c r="G4"/>
  <c r="F4"/>
  <c r="E4"/>
  <c r="Y74" i="61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Y73"/>
  <c r="X73"/>
  <c r="W73"/>
  <c r="V73"/>
  <c r="U73"/>
  <c r="T73"/>
  <c r="S73"/>
  <c r="R73"/>
  <c r="Q73"/>
  <c r="P73"/>
  <c r="O73"/>
  <c r="N73"/>
  <c r="M73"/>
  <c r="L73"/>
  <c r="K73"/>
  <c r="J73"/>
  <c r="I73"/>
  <c r="H73"/>
  <c r="G73"/>
  <c r="F73"/>
  <c r="E73"/>
  <c r="Y72"/>
  <c r="Y71"/>
  <c r="Y70"/>
  <c r="Y69"/>
  <c r="Y68"/>
  <c r="Y67"/>
  <c r="Y66"/>
  <c r="Y65"/>
  <c r="X65"/>
  <c r="W65"/>
  <c r="V65"/>
  <c r="U65"/>
  <c r="T65"/>
  <c r="S65"/>
  <c r="R65"/>
  <c r="Q65"/>
  <c r="P65"/>
  <c r="O65"/>
  <c r="N65"/>
  <c r="M65"/>
  <c r="L65"/>
  <c r="K65"/>
  <c r="J65"/>
  <c r="I65"/>
  <c r="H65"/>
  <c r="G65"/>
  <c r="F65"/>
  <c r="E65"/>
  <c r="Y64"/>
  <c r="Y63"/>
  <c r="Y62"/>
  <c r="Y61"/>
  <c r="Y60"/>
  <c r="X60"/>
  <c r="W60"/>
  <c r="V60"/>
  <c r="U60"/>
  <c r="T60"/>
  <c r="S60"/>
  <c r="R60"/>
  <c r="Q60"/>
  <c r="P60"/>
  <c r="O60"/>
  <c r="N60"/>
  <c r="M60"/>
  <c r="L60"/>
  <c r="K60"/>
  <c r="J60"/>
  <c r="I60"/>
  <c r="H60"/>
  <c r="G60"/>
  <c r="F60"/>
  <c r="E60"/>
  <c r="Y59"/>
  <c r="Y58"/>
  <c r="Y57"/>
  <c r="X57"/>
  <c r="W57"/>
  <c r="V57"/>
  <c r="U57"/>
  <c r="T57"/>
  <c r="S57"/>
  <c r="R57"/>
  <c r="Q57"/>
  <c r="P57"/>
  <c r="O57"/>
  <c r="N57"/>
  <c r="M57"/>
  <c r="L57"/>
  <c r="K57"/>
  <c r="J57"/>
  <c r="I57"/>
  <c r="H57"/>
  <c r="G57"/>
  <c r="F57"/>
  <c r="E57"/>
  <c r="Y56"/>
  <c r="Y55"/>
  <c r="X55"/>
  <c r="W55"/>
  <c r="V55"/>
  <c r="U55"/>
  <c r="T55"/>
  <c r="S55"/>
  <c r="R55"/>
  <c r="Q55"/>
  <c r="P55"/>
  <c r="O55"/>
  <c r="N55"/>
  <c r="M55"/>
  <c r="L55"/>
  <c r="K55"/>
  <c r="J55"/>
  <c r="I55"/>
  <c r="H55"/>
  <c r="G55"/>
  <c r="F55"/>
  <c r="E55"/>
  <c r="Y54"/>
  <c r="X54"/>
  <c r="W54"/>
  <c r="V54"/>
  <c r="U54"/>
  <c r="T54"/>
  <c r="S54"/>
  <c r="R54"/>
  <c r="Q54"/>
  <c r="P54"/>
  <c r="O54"/>
  <c r="N54"/>
  <c r="M54"/>
  <c r="L54"/>
  <c r="K54"/>
  <c r="J54"/>
  <c r="I54"/>
  <c r="H54"/>
  <c r="G54"/>
  <c r="F54"/>
  <c r="E54"/>
  <c r="Y53"/>
  <c r="X53"/>
  <c r="W53"/>
  <c r="V53"/>
  <c r="U53"/>
  <c r="T53"/>
  <c r="S53"/>
  <c r="R53"/>
  <c r="Q53"/>
  <c r="P53"/>
  <c r="O53"/>
  <c r="N53"/>
  <c r="M53"/>
  <c r="L53"/>
  <c r="K53"/>
  <c r="J53"/>
  <c r="I53"/>
  <c r="H53"/>
  <c r="G53"/>
  <c r="F53"/>
  <c r="E53"/>
  <c r="Y52"/>
  <c r="I52"/>
  <c r="F52"/>
  <c r="Y51"/>
  <c r="X51"/>
  <c r="W51"/>
  <c r="V51"/>
  <c r="U51"/>
  <c r="T51"/>
  <c r="S51"/>
  <c r="R51"/>
  <c r="Q51"/>
  <c r="P51"/>
  <c r="O51"/>
  <c r="N51"/>
  <c r="M51"/>
  <c r="L51"/>
  <c r="K51"/>
  <c r="J51"/>
  <c r="I51"/>
  <c r="H51"/>
  <c r="G51"/>
  <c r="F51"/>
  <c r="E51"/>
  <c r="Y50"/>
  <c r="X50"/>
  <c r="W50"/>
  <c r="V50"/>
  <c r="U50"/>
  <c r="T50"/>
  <c r="S50"/>
  <c r="R50"/>
  <c r="Q50"/>
  <c r="P50"/>
  <c r="O50"/>
  <c r="N50"/>
  <c r="M50"/>
  <c r="L50"/>
  <c r="K50"/>
  <c r="J50"/>
  <c r="I50"/>
  <c r="H50"/>
  <c r="G50"/>
  <c r="F50"/>
  <c r="E50"/>
  <c r="Y49"/>
  <c r="X49"/>
  <c r="W49"/>
  <c r="V49"/>
  <c r="U49"/>
  <c r="T49"/>
  <c r="S49"/>
  <c r="R49"/>
  <c r="Q49"/>
  <c r="P49"/>
  <c r="O49"/>
  <c r="N49"/>
  <c r="M49"/>
  <c r="L49"/>
  <c r="K49"/>
  <c r="J49"/>
  <c r="I49"/>
  <c r="H49"/>
  <c r="G49"/>
  <c r="F49"/>
  <c r="E49"/>
  <c r="Y48"/>
  <c r="X48"/>
  <c r="W48"/>
  <c r="V48"/>
  <c r="U48"/>
  <c r="T48"/>
  <c r="S48"/>
  <c r="R48"/>
  <c r="Q48"/>
  <c r="P48"/>
  <c r="O48"/>
  <c r="N48"/>
  <c r="M48"/>
  <c r="L48"/>
  <c r="K48"/>
  <c r="J48"/>
  <c r="I48"/>
  <c r="H48"/>
  <c r="G48"/>
  <c r="F48"/>
  <c r="E48"/>
  <c r="Y47"/>
  <c r="X47"/>
  <c r="W47"/>
  <c r="V47"/>
  <c r="U47"/>
  <c r="T47"/>
  <c r="S47"/>
  <c r="R47"/>
  <c r="Q47"/>
  <c r="P47"/>
  <c r="O47"/>
  <c r="N47"/>
  <c r="M47"/>
  <c r="L47"/>
  <c r="K47"/>
  <c r="J47"/>
  <c r="I47"/>
  <c r="H47"/>
  <c r="G47"/>
  <c r="F47"/>
  <c r="E47"/>
  <c r="Y46"/>
  <c r="X46"/>
  <c r="W46"/>
  <c r="V46"/>
  <c r="U46"/>
  <c r="T46"/>
  <c r="S46"/>
  <c r="R46"/>
  <c r="Q46"/>
  <c r="P46"/>
  <c r="O46"/>
  <c r="N46"/>
  <c r="M46"/>
  <c r="L46"/>
  <c r="K46"/>
  <c r="J46"/>
  <c r="I46"/>
  <c r="H46"/>
  <c r="G46"/>
  <c r="F46"/>
  <c r="E46"/>
  <c r="Y45"/>
  <c r="X45"/>
  <c r="W45"/>
  <c r="V45"/>
  <c r="U45"/>
  <c r="T45"/>
  <c r="S45"/>
  <c r="R45"/>
  <c r="Q45"/>
  <c r="P45"/>
  <c r="O45"/>
  <c r="N45"/>
  <c r="M45"/>
  <c r="L45"/>
  <c r="K45"/>
  <c r="J45"/>
  <c r="I45"/>
  <c r="H45"/>
  <c r="G45"/>
  <c r="F45"/>
  <c r="E45"/>
  <c r="Y44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Y43"/>
  <c r="X43"/>
  <c r="W43"/>
  <c r="V43"/>
  <c r="U43"/>
  <c r="T43"/>
  <c r="S43"/>
  <c r="R43"/>
  <c r="Q43"/>
  <c r="P43"/>
  <c r="O43"/>
  <c r="N43"/>
  <c r="M43"/>
  <c r="L43"/>
  <c r="K43"/>
  <c r="J43"/>
  <c r="I43"/>
  <c r="H43"/>
  <c r="G43"/>
  <c r="F43"/>
  <c r="E43"/>
  <c r="Y42"/>
  <c r="X42"/>
  <c r="W42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Y41"/>
  <c r="X41"/>
  <c r="W41"/>
  <c r="V41"/>
  <c r="U41"/>
  <c r="T41"/>
  <c r="S41"/>
  <c r="R41"/>
  <c r="Q41"/>
  <c r="P41"/>
  <c r="O41"/>
  <c r="N41"/>
  <c r="M41"/>
  <c r="L41"/>
  <c r="K41"/>
  <c r="J41"/>
  <c r="I41"/>
  <c r="H41"/>
  <c r="G41"/>
  <c r="F41"/>
  <c r="E41"/>
  <c r="Y40"/>
  <c r="X40"/>
  <c r="W40"/>
  <c r="V40"/>
  <c r="U40"/>
  <c r="T40"/>
  <c r="S40"/>
  <c r="R40"/>
  <c r="Q40"/>
  <c r="P40"/>
  <c r="O40"/>
  <c r="N40"/>
  <c r="M40"/>
  <c r="L40"/>
  <c r="K40"/>
  <c r="J40"/>
  <c r="I40"/>
  <c r="H40"/>
  <c r="G40"/>
  <c r="F40"/>
  <c r="E40"/>
  <c r="Y39"/>
  <c r="Y38"/>
  <c r="Y37"/>
  <c r="X37"/>
  <c r="W37"/>
  <c r="V37"/>
  <c r="U37"/>
  <c r="T37"/>
  <c r="S37"/>
  <c r="R37"/>
  <c r="Q37"/>
  <c r="P37"/>
  <c r="O37"/>
  <c r="N37"/>
  <c r="M37"/>
  <c r="L37"/>
  <c r="K37"/>
  <c r="J37"/>
  <c r="I37"/>
  <c r="H37"/>
  <c r="G37"/>
  <c r="F37"/>
  <c r="E37"/>
  <c r="Y36"/>
  <c r="W36"/>
  <c r="V36"/>
  <c r="U36"/>
  <c r="P36"/>
  <c r="O36"/>
  <c r="N36"/>
  <c r="L36"/>
  <c r="K36"/>
  <c r="H36"/>
  <c r="F36"/>
  <c r="Y35"/>
  <c r="X35"/>
  <c r="W35"/>
  <c r="V35"/>
  <c r="U35"/>
  <c r="T35"/>
  <c r="S35"/>
  <c r="R35"/>
  <c r="Q35"/>
  <c r="P35"/>
  <c r="O35"/>
  <c r="N35"/>
  <c r="M35"/>
  <c r="L35"/>
  <c r="K35"/>
  <c r="J35"/>
  <c r="I35"/>
  <c r="H35"/>
  <c r="G35"/>
  <c r="F35"/>
  <c r="E35"/>
  <c r="Y34"/>
  <c r="W34"/>
  <c r="P34"/>
  <c r="O34"/>
  <c r="N34"/>
  <c r="M34"/>
  <c r="L34"/>
  <c r="K34"/>
  <c r="H34"/>
  <c r="F34"/>
  <c r="Y33"/>
  <c r="X33"/>
  <c r="W33"/>
  <c r="V33"/>
  <c r="U33"/>
  <c r="T33"/>
  <c r="S33"/>
  <c r="R33"/>
  <c r="Q33"/>
  <c r="P33"/>
  <c r="O33"/>
  <c r="N33"/>
  <c r="M33"/>
  <c r="L33"/>
  <c r="K33"/>
  <c r="J33"/>
  <c r="I33"/>
  <c r="H33"/>
  <c r="G33"/>
  <c r="F33"/>
  <c r="E33"/>
  <c r="Y32"/>
  <c r="X32"/>
  <c r="W32"/>
  <c r="V32"/>
  <c r="U32"/>
  <c r="T32"/>
  <c r="S32"/>
  <c r="R32"/>
  <c r="Q32"/>
  <c r="P32"/>
  <c r="O32"/>
  <c r="N32"/>
  <c r="M32"/>
  <c r="L32"/>
  <c r="K32"/>
  <c r="J32"/>
  <c r="I32"/>
  <c r="H32"/>
  <c r="G32"/>
  <c r="F32"/>
  <c r="E32"/>
  <c r="Y31"/>
  <c r="Y30"/>
  <c r="W30"/>
  <c r="V30"/>
  <c r="U30"/>
  <c r="P30"/>
  <c r="O30"/>
  <c r="N30"/>
  <c r="M30"/>
  <c r="L30"/>
  <c r="K30"/>
  <c r="H30"/>
  <c r="F30"/>
  <c r="Y29"/>
  <c r="X29"/>
  <c r="W29"/>
  <c r="V29"/>
  <c r="U29"/>
  <c r="T29"/>
  <c r="S29"/>
  <c r="R29"/>
  <c r="Q29"/>
  <c r="P29"/>
  <c r="O29"/>
  <c r="N29"/>
  <c r="M29"/>
  <c r="L29"/>
  <c r="K29"/>
  <c r="J29"/>
  <c r="I29"/>
  <c r="H29"/>
  <c r="G29"/>
  <c r="F29"/>
  <c r="E29"/>
  <c r="Y28"/>
  <c r="X28"/>
  <c r="W28"/>
  <c r="V28"/>
  <c r="U28"/>
  <c r="T28"/>
  <c r="S28"/>
  <c r="R28"/>
  <c r="Q28"/>
  <c r="P28"/>
  <c r="O28"/>
  <c r="N28"/>
  <c r="M28"/>
  <c r="L28"/>
  <c r="K28"/>
  <c r="J28"/>
  <c r="I28"/>
  <c r="H28"/>
  <c r="G28"/>
  <c r="F28"/>
  <c r="E28"/>
  <c r="Y27"/>
  <c r="X27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Y26"/>
  <c r="X26"/>
  <c r="W26"/>
  <c r="V26"/>
  <c r="U26"/>
  <c r="T26"/>
  <c r="S26"/>
  <c r="R26"/>
  <c r="Q26"/>
  <c r="P26"/>
  <c r="O26"/>
  <c r="N26"/>
  <c r="M26"/>
  <c r="L26"/>
  <c r="K26"/>
  <c r="J26"/>
  <c r="I26"/>
  <c r="H26"/>
  <c r="G26"/>
  <c r="F26"/>
  <c r="E26"/>
  <c r="Y25"/>
  <c r="X25"/>
  <c r="W25"/>
  <c r="V25"/>
  <c r="U25"/>
  <c r="T25"/>
  <c r="S25"/>
  <c r="R25"/>
  <c r="Q25"/>
  <c r="P25"/>
  <c r="O25"/>
  <c r="N25"/>
  <c r="M25"/>
  <c r="L25"/>
  <c r="K25"/>
  <c r="J25"/>
  <c r="I25"/>
  <c r="H25"/>
  <c r="G25"/>
  <c r="F25"/>
  <c r="E25"/>
  <c r="Y24"/>
  <c r="X24"/>
  <c r="W24"/>
  <c r="V24"/>
  <c r="U24"/>
  <c r="T24"/>
  <c r="S24"/>
  <c r="R24"/>
  <c r="Q24"/>
  <c r="P24"/>
  <c r="O24"/>
  <c r="N24"/>
  <c r="M24"/>
  <c r="L24"/>
  <c r="K24"/>
  <c r="J24"/>
  <c r="I24"/>
  <c r="H24"/>
  <c r="G24"/>
  <c r="F24"/>
  <c r="E24"/>
  <c r="Y23"/>
  <c r="X23"/>
  <c r="W23"/>
  <c r="V23"/>
  <c r="U23"/>
  <c r="T23"/>
  <c r="S23"/>
  <c r="R23"/>
  <c r="Q23"/>
  <c r="P23"/>
  <c r="O23"/>
  <c r="N23"/>
  <c r="M23"/>
  <c r="L23"/>
  <c r="K23"/>
  <c r="J23"/>
  <c r="I23"/>
  <c r="H23"/>
  <c r="G23"/>
  <c r="F23"/>
  <c r="E23"/>
  <c r="Y22"/>
  <c r="X22"/>
  <c r="W22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Y21"/>
  <c r="X21"/>
  <c r="W21"/>
  <c r="V21"/>
  <c r="U21"/>
  <c r="T21"/>
  <c r="S21"/>
  <c r="R21"/>
  <c r="Q21"/>
  <c r="P21"/>
  <c r="O21"/>
  <c r="N21"/>
  <c r="M21"/>
  <c r="L21"/>
  <c r="K21"/>
  <c r="J21"/>
  <c r="I21"/>
  <c r="H21"/>
  <c r="G21"/>
  <c r="F21"/>
  <c r="E21"/>
  <c r="Y20"/>
  <c r="M20"/>
  <c r="L20"/>
  <c r="K20"/>
  <c r="J20"/>
  <c r="I20"/>
  <c r="H20"/>
  <c r="G20"/>
  <c r="F20"/>
  <c r="Y19"/>
  <c r="X19"/>
  <c r="W19"/>
  <c r="V19"/>
  <c r="U19"/>
  <c r="T19"/>
  <c r="S19"/>
  <c r="R19"/>
  <c r="Q19"/>
  <c r="P19"/>
  <c r="O19"/>
  <c r="N19"/>
  <c r="M19"/>
  <c r="L19"/>
  <c r="K19"/>
  <c r="J19"/>
  <c r="I19"/>
  <c r="H19"/>
  <c r="G19"/>
  <c r="F19"/>
  <c r="E19"/>
  <c r="Y18"/>
  <c r="U18"/>
  <c r="H18"/>
  <c r="G18"/>
  <c r="Y17"/>
  <c r="Y16"/>
  <c r="X16"/>
  <c r="W16"/>
  <c r="V16"/>
  <c r="U16"/>
  <c r="T16"/>
  <c r="S16"/>
  <c r="R16"/>
  <c r="Q16"/>
  <c r="P16"/>
  <c r="O16"/>
  <c r="N16"/>
  <c r="M16"/>
  <c r="L16"/>
  <c r="K16"/>
  <c r="J16"/>
  <c r="I16"/>
  <c r="H16"/>
  <c r="G16"/>
  <c r="F16"/>
  <c r="E16"/>
  <c r="Y15"/>
  <c r="X15"/>
  <c r="W15"/>
  <c r="V15"/>
  <c r="U15"/>
  <c r="T15"/>
  <c r="S15"/>
  <c r="R15"/>
  <c r="Q15"/>
  <c r="P15"/>
  <c r="O15"/>
  <c r="N15"/>
  <c r="M15"/>
  <c r="L15"/>
  <c r="K15"/>
  <c r="J15"/>
  <c r="I15"/>
  <c r="H15"/>
  <c r="G15"/>
  <c r="F15"/>
  <c r="E15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Y13"/>
  <c r="X13"/>
  <c r="W13"/>
  <c r="V13"/>
  <c r="U13"/>
  <c r="T13"/>
  <c r="S13"/>
  <c r="R13"/>
  <c r="Q13"/>
  <c r="P13"/>
  <c r="O13"/>
  <c r="N13"/>
  <c r="M13"/>
  <c r="L13"/>
  <c r="K13"/>
  <c r="J13"/>
  <c r="I13"/>
  <c r="H13"/>
  <c r="G13"/>
  <c r="F13"/>
  <c r="E13"/>
  <c r="Y12"/>
  <c r="X12"/>
  <c r="W12"/>
  <c r="V12"/>
  <c r="U12"/>
  <c r="T12"/>
  <c r="S12"/>
  <c r="R12"/>
  <c r="Q12"/>
  <c r="P12"/>
  <c r="O12"/>
  <c r="N12"/>
  <c r="M12"/>
  <c r="L12"/>
  <c r="K12"/>
  <c r="J12"/>
  <c r="I12"/>
  <c r="H12"/>
  <c r="G12"/>
  <c r="F12"/>
  <c r="E12"/>
  <c r="Y11"/>
  <c r="X11"/>
  <c r="W11"/>
  <c r="V11"/>
  <c r="U11"/>
  <c r="T11"/>
  <c r="S11"/>
  <c r="R11"/>
  <c r="Q11"/>
  <c r="P11"/>
  <c r="O11"/>
  <c r="N11"/>
  <c r="M11"/>
  <c r="L11"/>
  <c r="K11"/>
  <c r="J11"/>
  <c r="I11"/>
  <c r="H11"/>
  <c r="G11"/>
  <c r="F11"/>
  <c r="E11"/>
  <c r="Y10"/>
  <c r="W10"/>
  <c r="V10"/>
  <c r="U10"/>
  <c r="P10"/>
  <c r="O10"/>
  <c r="N10"/>
  <c r="M10"/>
  <c r="L10"/>
  <c r="K10"/>
  <c r="H10"/>
  <c r="F10"/>
  <c r="Y9"/>
  <c r="X9"/>
  <c r="W9"/>
  <c r="V9"/>
  <c r="U9"/>
  <c r="T9"/>
  <c r="S9"/>
  <c r="R9"/>
  <c r="Q9"/>
  <c r="P9"/>
  <c r="O9"/>
  <c r="N9"/>
  <c r="M9"/>
  <c r="L9"/>
  <c r="K9"/>
  <c r="J9"/>
  <c r="I9"/>
  <c r="H9"/>
  <c r="G9"/>
  <c r="F9"/>
  <c r="E9"/>
  <c r="Y8"/>
  <c r="W8"/>
  <c r="V8"/>
  <c r="U8"/>
  <c r="P8"/>
  <c r="O8"/>
  <c r="N8"/>
  <c r="M8"/>
  <c r="L8"/>
  <c r="K8"/>
  <c r="H8"/>
  <c r="F8"/>
  <c r="Y7"/>
  <c r="W7"/>
  <c r="V7"/>
  <c r="U7"/>
  <c r="P7"/>
  <c r="O7"/>
  <c r="N7"/>
  <c r="M7"/>
  <c r="L7"/>
  <c r="K7"/>
  <c r="H7"/>
  <c r="F7"/>
  <c r="Y6"/>
  <c r="X6"/>
  <c r="W6"/>
  <c r="V6"/>
  <c r="U6"/>
  <c r="T6"/>
  <c r="S6"/>
  <c r="R6"/>
  <c r="Q6"/>
  <c r="P6"/>
  <c r="O6"/>
  <c r="N6"/>
  <c r="M6"/>
  <c r="L6"/>
  <c r="K6"/>
  <c r="J6"/>
  <c r="I6"/>
  <c r="H6"/>
  <c r="G6"/>
  <c r="F6"/>
  <c r="E6"/>
  <c r="Y5"/>
  <c r="X5"/>
  <c r="W5"/>
  <c r="V5"/>
  <c r="U5"/>
  <c r="T5"/>
  <c r="S5"/>
  <c r="R5"/>
  <c r="Q5"/>
  <c r="P5"/>
  <c r="O5"/>
  <c r="N5"/>
  <c r="M5"/>
  <c r="L5"/>
  <c r="K5"/>
  <c r="J5"/>
  <c r="I5"/>
  <c r="H5"/>
  <c r="G5"/>
  <c r="F5"/>
  <c r="E5"/>
  <c r="Y4"/>
  <c r="X4"/>
  <c r="W4"/>
  <c r="V4"/>
  <c r="U4"/>
  <c r="T4"/>
  <c r="S4"/>
  <c r="R4"/>
  <c r="Q4"/>
  <c r="P4"/>
  <c r="O4"/>
  <c r="N4"/>
  <c r="M4"/>
  <c r="L4"/>
  <c r="K4"/>
  <c r="J4"/>
  <c r="I4"/>
  <c r="H4"/>
  <c r="G4"/>
  <c r="F4"/>
  <c r="E4"/>
  <c r="J74" i="55"/>
  <c r="I74"/>
  <c r="H74"/>
  <c r="G74"/>
  <c r="F74"/>
  <c r="E74"/>
  <c r="J73"/>
  <c r="I73"/>
  <c r="H73"/>
  <c r="G73"/>
  <c r="F73"/>
  <c r="E73"/>
  <c r="J72"/>
  <c r="J71"/>
  <c r="J70"/>
  <c r="J69"/>
  <c r="J68"/>
  <c r="J67"/>
  <c r="J66"/>
  <c r="J65"/>
  <c r="I65"/>
  <c r="H65"/>
  <c r="G65"/>
  <c r="F65"/>
  <c r="E65"/>
  <c r="J64"/>
  <c r="J63"/>
  <c r="J62"/>
  <c r="J61"/>
  <c r="J60"/>
  <c r="I60"/>
  <c r="H60"/>
  <c r="G60"/>
  <c r="F60"/>
  <c r="E60"/>
  <c r="J59"/>
  <c r="J58"/>
  <c r="J57"/>
  <c r="I57"/>
  <c r="H57"/>
  <c r="G57"/>
  <c r="F57"/>
  <c r="E57"/>
  <c r="J56"/>
  <c r="J55"/>
  <c r="I55"/>
  <c r="H55"/>
  <c r="G55"/>
  <c r="F55"/>
  <c r="E55"/>
  <c r="J54"/>
  <c r="I54"/>
  <c r="H54"/>
  <c r="G54"/>
  <c r="F54"/>
  <c r="E54"/>
  <c r="J53"/>
  <c r="I53"/>
  <c r="H53"/>
  <c r="G53"/>
  <c r="F53"/>
  <c r="E53"/>
  <c r="J52"/>
  <c r="J51"/>
  <c r="I51"/>
  <c r="H51"/>
  <c r="G51"/>
  <c r="F51"/>
  <c r="E51"/>
  <c r="J50"/>
  <c r="I50"/>
  <c r="H50"/>
  <c r="G50"/>
  <c r="F50"/>
  <c r="E50"/>
  <c r="J49"/>
  <c r="I49"/>
  <c r="H49"/>
  <c r="G49"/>
  <c r="F49"/>
  <c r="E49"/>
  <c r="J48"/>
  <c r="I48"/>
  <c r="H48"/>
  <c r="G48"/>
  <c r="F48"/>
  <c r="E48"/>
  <c r="J47"/>
  <c r="I47"/>
  <c r="H47"/>
  <c r="G47"/>
  <c r="F47"/>
  <c r="E47"/>
  <c r="J46"/>
  <c r="I46"/>
  <c r="H46"/>
  <c r="G46"/>
  <c r="F46"/>
  <c r="E46"/>
  <c r="J45"/>
  <c r="I45"/>
  <c r="H45"/>
  <c r="G45"/>
  <c r="F45"/>
  <c r="E45"/>
  <c r="J44"/>
  <c r="I44"/>
  <c r="H44"/>
  <c r="G44"/>
  <c r="F44"/>
  <c r="E44"/>
  <c r="J43"/>
  <c r="I43"/>
  <c r="H43"/>
  <c r="G43"/>
  <c r="F43"/>
  <c r="E43"/>
  <c r="J42"/>
  <c r="I42"/>
  <c r="H42"/>
  <c r="G42"/>
  <c r="F42"/>
  <c r="E42"/>
  <c r="J41"/>
  <c r="I41"/>
  <c r="H41"/>
  <c r="G41"/>
  <c r="F41"/>
  <c r="E41"/>
  <c r="J40"/>
  <c r="I40"/>
  <c r="H40"/>
  <c r="G40"/>
  <c r="F40"/>
  <c r="E40"/>
  <c r="J39"/>
  <c r="H39"/>
  <c r="G39"/>
  <c r="F39"/>
  <c r="E39"/>
  <c r="J38"/>
  <c r="H38"/>
  <c r="G38"/>
  <c r="F38"/>
  <c r="E38"/>
  <c r="J37"/>
  <c r="I37"/>
  <c r="H37"/>
  <c r="G37"/>
  <c r="F37"/>
  <c r="E37"/>
  <c r="J36"/>
  <c r="F36"/>
  <c r="J35"/>
  <c r="I35"/>
  <c r="H35"/>
  <c r="G35"/>
  <c r="F35"/>
  <c r="E35"/>
  <c r="J34"/>
  <c r="H34"/>
  <c r="J33"/>
  <c r="I33"/>
  <c r="H33"/>
  <c r="G33"/>
  <c r="F33"/>
  <c r="E33"/>
  <c r="J32"/>
  <c r="I32"/>
  <c r="H32"/>
  <c r="G32"/>
  <c r="F32"/>
  <c r="E32"/>
  <c r="J31"/>
  <c r="J30"/>
  <c r="J29"/>
  <c r="I29"/>
  <c r="H29"/>
  <c r="G29"/>
  <c r="F29"/>
  <c r="E29"/>
  <c r="J28"/>
  <c r="I28"/>
  <c r="H28"/>
  <c r="G28"/>
  <c r="F28"/>
  <c r="E28"/>
  <c r="J27"/>
  <c r="I27"/>
  <c r="H27"/>
  <c r="G27"/>
  <c r="F27"/>
  <c r="E27"/>
  <c r="J26"/>
  <c r="I26"/>
  <c r="H26"/>
  <c r="G26"/>
  <c r="F26"/>
  <c r="E26"/>
  <c r="J25"/>
  <c r="I25"/>
  <c r="H25"/>
  <c r="G25"/>
  <c r="F25"/>
  <c r="E25"/>
  <c r="J24"/>
  <c r="I24"/>
  <c r="H24"/>
  <c r="G24"/>
  <c r="F24"/>
  <c r="E24"/>
  <c r="J23"/>
  <c r="I23"/>
  <c r="H23"/>
  <c r="G23"/>
  <c r="F23"/>
  <c r="E23"/>
  <c r="J22"/>
  <c r="I22"/>
  <c r="H22"/>
  <c r="G22"/>
  <c r="F22"/>
  <c r="E22"/>
  <c r="J21"/>
  <c r="I21"/>
  <c r="H21"/>
  <c r="G21"/>
  <c r="F21"/>
  <c r="E21"/>
  <c r="J20"/>
  <c r="J19"/>
  <c r="I19"/>
  <c r="H19"/>
  <c r="G19"/>
  <c r="F19"/>
  <c r="E19"/>
  <c r="J18"/>
  <c r="J17"/>
  <c r="J16"/>
  <c r="I16"/>
  <c r="H16"/>
  <c r="G16"/>
  <c r="F16"/>
  <c r="E16"/>
  <c r="J15"/>
  <c r="I15"/>
  <c r="H15"/>
  <c r="G15"/>
  <c r="F15"/>
  <c r="E15"/>
  <c r="J14"/>
  <c r="I14"/>
  <c r="H14"/>
  <c r="G14"/>
  <c r="F14"/>
  <c r="E14"/>
  <c r="J13"/>
  <c r="I13"/>
  <c r="H13"/>
  <c r="G13"/>
  <c r="F13"/>
  <c r="E13"/>
  <c r="J12"/>
  <c r="I12"/>
  <c r="H12"/>
  <c r="G12"/>
  <c r="F12"/>
  <c r="E12"/>
  <c r="J11"/>
  <c r="I11"/>
  <c r="H11"/>
  <c r="G11"/>
  <c r="F11"/>
  <c r="E11"/>
  <c r="J10"/>
  <c r="J9"/>
  <c r="I9"/>
  <c r="H9"/>
  <c r="G9"/>
  <c r="F9"/>
  <c r="E9"/>
  <c r="J8"/>
  <c r="J7"/>
  <c r="J6"/>
  <c r="I6"/>
  <c r="H6"/>
  <c r="G6"/>
  <c r="F6"/>
  <c r="E6"/>
  <c r="J5"/>
  <c r="I5"/>
  <c r="H5"/>
  <c r="G5"/>
  <c r="F5"/>
  <c r="E5"/>
  <c r="J4"/>
  <c r="I4"/>
  <c r="H4"/>
  <c r="G4"/>
  <c r="F4"/>
  <c r="E4"/>
  <c r="J74" i="54"/>
  <c r="I74"/>
  <c r="H74"/>
  <c r="G74"/>
  <c r="E74"/>
  <c r="J73"/>
  <c r="I73"/>
  <c r="H73"/>
  <c r="G73"/>
  <c r="F73"/>
  <c r="E73"/>
  <c r="J72"/>
  <c r="J71"/>
  <c r="J70"/>
  <c r="J69"/>
  <c r="J68"/>
  <c r="J67"/>
  <c r="J66"/>
  <c r="J65"/>
  <c r="I65"/>
  <c r="H65"/>
  <c r="G65"/>
  <c r="F65"/>
  <c r="E65"/>
  <c r="J64"/>
  <c r="J63"/>
  <c r="J62"/>
  <c r="J61"/>
  <c r="J60"/>
  <c r="I60"/>
  <c r="H60"/>
  <c r="G60"/>
  <c r="F60"/>
  <c r="E60"/>
  <c r="J59"/>
  <c r="J58"/>
  <c r="J57"/>
  <c r="I57"/>
  <c r="H57"/>
  <c r="G57"/>
  <c r="F57"/>
  <c r="E57"/>
  <c r="J56"/>
  <c r="J55"/>
  <c r="I55"/>
  <c r="H55"/>
  <c r="G55"/>
  <c r="F55"/>
  <c r="E55"/>
  <c r="J54"/>
  <c r="I54"/>
  <c r="H54"/>
  <c r="G54"/>
  <c r="F54"/>
  <c r="E54"/>
  <c r="J53"/>
  <c r="I53"/>
  <c r="H53"/>
  <c r="G53"/>
  <c r="F53"/>
  <c r="E53"/>
  <c r="J52"/>
  <c r="J51"/>
  <c r="I51"/>
  <c r="H51"/>
  <c r="G51"/>
  <c r="F51"/>
  <c r="E51"/>
  <c r="J50"/>
  <c r="I50"/>
  <c r="H50"/>
  <c r="G50"/>
  <c r="F50"/>
  <c r="E50"/>
  <c r="J49"/>
  <c r="I49"/>
  <c r="H49"/>
  <c r="G49"/>
  <c r="F49"/>
  <c r="E49"/>
  <c r="J48"/>
  <c r="I48"/>
  <c r="H48"/>
  <c r="G48"/>
  <c r="F48"/>
  <c r="E48"/>
  <c r="J47"/>
  <c r="I47"/>
  <c r="H47"/>
  <c r="G47"/>
  <c r="F47"/>
  <c r="E47"/>
  <c r="J46"/>
  <c r="I46"/>
  <c r="H46"/>
  <c r="G46"/>
  <c r="F46"/>
  <c r="E46"/>
  <c r="J45"/>
  <c r="I45"/>
  <c r="H45"/>
  <c r="G45"/>
  <c r="F45"/>
  <c r="E45"/>
  <c r="J44"/>
  <c r="I44"/>
  <c r="H44"/>
  <c r="G44"/>
  <c r="F44"/>
  <c r="E44"/>
  <c r="J43"/>
  <c r="I43"/>
  <c r="H43"/>
  <c r="G43"/>
  <c r="F43"/>
  <c r="E43"/>
  <c r="J42"/>
  <c r="I42"/>
  <c r="H42"/>
  <c r="G42"/>
  <c r="F42"/>
  <c r="E42"/>
  <c r="J41"/>
  <c r="I41"/>
  <c r="H41"/>
  <c r="G41"/>
  <c r="F41"/>
  <c r="E41"/>
  <c r="J40"/>
  <c r="I40"/>
  <c r="H40"/>
  <c r="G40"/>
  <c r="F40"/>
  <c r="E40"/>
  <c r="J39"/>
  <c r="J38"/>
  <c r="J37"/>
  <c r="I37"/>
  <c r="H37"/>
  <c r="G37"/>
  <c r="F37"/>
  <c r="E37"/>
  <c r="J36"/>
  <c r="J35"/>
  <c r="I35"/>
  <c r="H35"/>
  <c r="G35"/>
  <c r="F35"/>
  <c r="E35"/>
  <c r="J34"/>
  <c r="J33"/>
  <c r="I33"/>
  <c r="H33"/>
  <c r="G33"/>
  <c r="F33"/>
  <c r="E33"/>
  <c r="J32"/>
  <c r="I32"/>
  <c r="H32"/>
  <c r="G32"/>
  <c r="F32"/>
  <c r="E32"/>
  <c r="J31"/>
  <c r="J30"/>
  <c r="J29"/>
  <c r="I29"/>
  <c r="H29"/>
  <c r="G29"/>
  <c r="F29"/>
  <c r="E29"/>
  <c r="J28"/>
  <c r="I28"/>
  <c r="H28"/>
  <c r="G28"/>
  <c r="F28"/>
  <c r="E28"/>
  <c r="J27"/>
  <c r="I27"/>
  <c r="H27"/>
  <c r="G27"/>
  <c r="F27"/>
  <c r="E27"/>
  <c r="J26"/>
  <c r="I26"/>
  <c r="H26"/>
  <c r="G26"/>
  <c r="F26"/>
  <c r="E26"/>
  <c r="J25"/>
  <c r="I25"/>
  <c r="H25"/>
  <c r="G25"/>
  <c r="F25"/>
  <c r="E25"/>
  <c r="J24"/>
  <c r="I24"/>
  <c r="H24"/>
  <c r="G24"/>
  <c r="F24"/>
  <c r="E24"/>
  <c r="J23"/>
  <c r="I23"/>
  <c r="H23"/>
  <c r="G23"/>
  <c r="F23"/>
  <c r="E23"/>
  <c r="J22"/>
  <c r="I22"/>
  <c r="H22"/>
  <c r="G22"/>
  <c r="F22"/>
  <c r="E22"/>
  <c r="J21"/>
  <c r="I21"/>
  <c r="H21"/>
  <c r="G21"/>
  <c r="F21"/>
  <c r="E21"/>
  <c r="J20"/>
  <c r="J19"/>
  <c r="I19"/>
  <c r="H19"/>
  <c r="G19"/>
  <c r="F19"/>
  <c r="E19"/>
  <c r="J18"/>
  <c r="J17"/>
  <c r="J16"/>
  <c r="I16"/>
  <c r="H16"/>
  <c r="G16"/>
  <c r="F16"/>
  <c r="E16"/>
  <c r="J15"/>
  <c r="I15"/>
  <c r="H15"/>
  <c r="G15"/>
  <c r="F15"/>
  <c r="E15"/>
  <c r="J14"/>
  <c r="I14"/>
  <c r="H14"/>
  <c r="G14"/>
  <c r="F14"/>
  <c r="E14"/>
  <c r="J13"/>
  <c r="I13"/>
  <c r="H13"/>
  <c r="G13"/>
  <c r="F13"/>
  <c r="E13"/>
  <c r="J12"/>
  <c r="I12"/>
  <c r="H12"/>
  <c r="G12"/>
  <c r="F12"/>
  <c r="E12"/>
  <c r="J11"/>
  <c r="I11"/>
  <c r="H11"/>
  <c r="G11"/>
  <c r="F11"/>
  <c r="E11"/>
  <c r="J10"/>
  <c r="J9"/>
  <c r="I9"/>
  <c r="H9"/>
  <c r="G9"/>
  <c r="F9"/>
  <c r="E9"/>
  <c r="J8"/>
  <c r="J7"/>
  <c r="J6"/>
  <c r="I6"/>
  <c r="H6"/>
  <c r="G6"/>
  <c r="F6"/>
  <c r="E6"/>
  <c r="J5"/>
  <c r="I5"/>
  <c r="H5"/>
  <c r="G5"/>
  <c r="F5"/>
  <c r="E5"/>
  <c r="J4"/>
  <c r="I4"/>
  <c r="H4"/>
  <c r="G4"/>
  <c r="F4"/>
  <c r="E4"/>
  <c r="N73" i="63"/>
  <c r="N72"/>
  <c r="P71"/>
  <c r="N71"/>
  <c r="M71"/>
  <c r="L71"/>
  <c r="K71"/>
  <c r="J71"/>
  <c r="I71"/>
  <c r="H71"/>
  <c r="G71"/>
  <c r="F71"/>
  <c r="E71"/>
  <c r="P70"/>
  <c r="N70"/>
  <c r="M70"/>
  <c r="L70"/>
  <c r="K70"/>
  <c r="J70"/>
  <c r="I70"/>
  <c r="H70"/>
  <c r="G70"/>
  <c r="F70"/>
  <c r="E70"/>
  <c r="P69"/>
  <c r="N69"/>
  <c r="M69"/>
  <c r="L69"/>
  <c r="K69"/>
  <c r="J69"/>
  <c r="I69"/>
  <c r="H69"/>
  <c r="G69"/>
  <c r="F69"/>
  <c r="E69"/>
  <c r="P68"/>
  <c r="N68"/>
  <c r="M68"/>
  <c r="L68"/>
  <c r="K68"/>
  <c r="J68"/>
  <c r="I68"/>
  <c r="H68"/>
  <c r="G68"/>
  <c r="F68"/>
  <c r="E68"/>
  <c r="P67"/>
  <c r="N67"/>
  <c r="M67"/>
  <c r="L67"/>
  <c r="K67"/>
  <c r="J67"/>
  <c r="I67"/>
  <c r="H67"/>
  <c r="G67"/>
  <c r="F67"/>
  <c r="E67"/>
  <c r="P66"/>
  <c r="N66"/>
  <c r="M66"/>
  <c r="L66"/>
  <c r="K66"/>
  <c r="J66"/>
  <c r="I66"/>
  <c r="H66"/>
  <c r="G66"/>
  <c r="F66"/>
  <c r="E66"/>
  <c r="P65"/>
  <c r="N65"/>
  <c r="M65"/>
  <c r="L65"/>
  <c r="K65"/>
  <c r="J65"/>
  <c r="I65"/>
  <c r="H65"/>
  <c r="G65"/>
  <c r="F65"/>
  <c r="E65"/>
  <c r="P64"/>
  <c r="N64"/>
  <c r="M64"/>
  <c r="L64"/>
  <c r="K64"/>
  <c r="J64"/>
  <c r="I64"/>
  <c r="H64"/>
  <c r="G64"/>
  <c r="F64"/>
  <c r="E64"/>
  <c r="P63"/>
  <c r="N63"/>
  <c r="M63"/>
  <c r="L63"/>
  <c r="K63"/>
  <c r="J63"/>
  <c r="I63"/>
  <c r="H63"/>
  <c r="G63"/>
  <c r="F63"/>
  <c r="E63"/>
  <c r="P62"/>
  <c r="N62"/>
  <c r="M62"/>
  <c r="L62"/>
  <c r="K62"/>
  <c r="J62"/>
  <c r="I62"/>
  <c r="H62"/>
  <c r="G62"/>
  <c r="F62"/>
  <c r="E62"/>
  <c r="P61"/>
  <c r="N61"/>
  <c r="M61"/>
  <c r="L61"/>
  <c r="K61"/>
  <c r="J61"/>
  <c r="I61"/>
  <c r="H61"/>
  <c r="G61"/>
  <c r="F61"/>
  <c r="E61"/>
  <c r="P60"/>
  <c r="N60"/>
  <c r="M60"/>
  <c r="L60"/>
  <c r="K60"/>
  <c r="J60"/>
  <c r="I60"/>
  <c r="H60"/>
  <c r="G60"/>
  <c r="F60"/>
  <c r="E60"/>
  <c r="P59"/>
  <c r="N59"/>
  <c r="M59"/>
  <c r="L59"/>
  <c r="K59"/>
  <c r="J59"/>
  <c r="I59"/>
  <c r="H59"/>
  <c r="G59"/>
  <c r="F59"/>
  <c r="E59"/>
  <c r="P58"/>
  <c r="N58"/>
  <c r="M58"/>
  <c r="L58"/>
  <c r="K58"/>
  <c r="J58"/>
  <c r="I58"/>
  <c r="H58"/>
  <c r="G58"/>
  <c r="F58"/>
  <c r="E58"/>
  <c r="P57"/>
  <c r="N57"/>
  <c r="M57"/>
  <c r="L57"/>
  <c r="K57"/>
  <c r="J57"/>
  <c r="I57"/>
  <c r="H57"/>
  <c r="G57"/>
  <c r="F57"/>
  <c r="E57"/>
  <c r="P56"/>
  <c r="N56"/>
  <c r="M56"/>
  <c r="L56"/>
  <c r="K56"/>
  <c r="J56"/>
  <c r="I56"/>
  <c r="H56"/>
  <c r="G56"/>
  <c r="F56"/>
  <c r="E56"/>
  <c r="P55"/>
  <c r="N55"/>
  <c r="M55"/>
  <c r="L55"/>
  <c r="K55"/>
  <c r="J55"/>
  <c r="I55"/>
  <c r="H55"/>
  <c r="G55"/>
  <c r="F55"/>
  <c r="E55"/>
  <c r="P54"/>
  <c r="N54"/>
  <c r="M54"/>
  <c r="L54"/>
  <c r="K54"/>
  <c r="J54"/>
  <c r="I54"/>
  <c r="H54"/>
  <c r="G54"/>
  <c r="F54"/>
  <c r="E54"/>
  <c r="P53"/>
  <c r="N53"/>
  <c r="M53"/>
  <c r="L53"/>
  <c r="K53"/>
  <c r="J53"/>
  <c r="I53"/>
  <c r="H53"/>
  <c r="G53"/>
  <c r="F53"/>
  <c r="E53"/>
  <c r="P52"/>
  <c r="N52"/>
  <c r="M52"/>
  <c r="L52"/>
  <c r="K52"/>
  <c r="J52"/>
  <c r="I52"/>
  <c r="H52"/>
  <c r="G52"/>
  <c r="F52"/>
  <c r="E52"/>
  <c r="P51"/>
  <c r="N51"/>
  <c r="M51"/>
  <c r="L51"/>
  <c r="K51"/>
  <c r="J51"/>
  <c r="I51"/>
  <c r="H51"/>
  <c r="G51"/>
  <c r="F51"/>
  <c r="E51"/>
  <c r="P50"/>
  <c r="N50"/>
  <c r="M50"/>
  <c r="L50"/>
  <c r="K50"/>
  <c r="J50"/>
  <c r="I50"/>
  <c r="H50"/>
  <c r="G50"/>
  <c r="F50"/>
  <c r="E50"/>
  <c r="P49"/>
  <c r="N49"/>
  <c r="M49"/>
  <c r="L49"/>
  <c r="K49"/>
  <c r="J49"/>
  <c r="I49"/>
  <c r="H49"/>
  <c r="G49"/>
  <c r="F49"/>
  <c r="E49"/>
  <c r="P48"/>
  <c r="N48"/>
  <c r="M48"/>
  <c r="L48"/>
  <c r="K48"/>
  <c r="J48"/>
  <c r="I48"/>
  <c r="H48"/>
  <c r="G48"/>
  <c r="F48"/>
  <c r="E48"/>
  <c r="P47"/>
  <c r="N47"/>
  <c r="M47"/>
  <c r="L47"/>
  <c r="K47"/>
  <c r="J47"/>
  <c r="I47"/>
  <c r="H47"/>
  <c r="G47"/>
  <c r="F47"/>
  <c r="E47"/>
  <c r="P46"/>
  <c r="N46"/>
  <c r="M46"/>
  <c r="L46"/>
  <c r="K46"/>
  <c r="J46"/>
  <c r="I46"/>
  <c r="H46"/>
  <c r="G46"/>
  <c r="F46"/>
  <c r="E46"/>
  <c r="P45"/>
  <c r="N45"/>
  <c r="M45"/>
  <c r="L45"/>
  <c r="K45"/>
  <c r="J45"/>
  <c r="I45"/>
  <c r="H45"/>
  <c r="G45"/>
  <c r="F45"/>
  <c r="E45"/>
  <c r="P44"/>
  <c r="N44"/>
  <c r="M44"/>
  <c r="L44"/>
  <c r="K44"/>
  <c r="J44"/>
  <c r="I44"/>
  <c r="H44"/>
  <c r="G44"/>
  <c r="F44"/>
  <c r="E44"/>
  <c r="P43"/>
  <c r="N43"/>
  <c r="M43"/>
  <c r="L43"/>
  <c r="K43"/>
  <c r="J43"/>
  <c r="I43"/>
  <c r="H43"/>
  <c r="G43"/>
  <c r="F43"/>
  <c r="E43"/>
  <c r="P42"/>
  <c r="N42"/>
  <c r="M42"/>
  <c r="L42"/>
  <c r="K42"/>
  <c r="J42"/>
  <c r="I42"/>
  <c r="H42"/>
  <c r="G42"/>
  <c r="F42"/>
  <c r="E42"/>
  <c r="P41"/>
  <c r="N41"/>
  <c r="M41"/>
  <c r="L41"/>
  <c r="K41"/>
  <c r="J41"/>
  <c r="I41"/>
  <c r="H41"/>
  <c r="G41"/>
  <c r="F41"/>
  <c r="E41"/>
  <c r="P40"/>
  <c r="N40"/>
  <c r="M40"/>
  <c r="L40"/>
  <c r="K40"/>
  <c r="J40"/>
  <c r="I40"/>
  <c r="H40"/>
  <c r="G40"/>
  <c r="F40"/>
  <c r="E40"/>
  <c r="P39"/>
  <c r="N39"/>
  <c r="M39"/>
  <c r="L39"/>
  <c r="K39"/>
  <c r="J39"/>
  <c r="I39"/>
  <c r="H39"/>
  <c r="G39"/>
  <c r="F39"/>
  <c r="E39"/>
  <c r="P38"/>
  <c r="N38"/>
  <c r="M38"/>
  <c r="L38"/>
  <c r="K38"/>
  <c r="J38"/>
  <c r="I38"/>
  <c r="H38"/>
  <c r="G38"/>
  <c r="F38"/>
  <c r="E38"/>
  <c r="P37"/>
  <c r="N37"/>
  <c r="M37"/>
  <c r="L37"/>
  <c r="K37"/>
  <c r="J37"/>
  <c r="I37"/>
  <c r="H37"/>
  <c r="G37"/>
  <c r="F37"/>
  <c r="E37"/>
  <c r="P36"/>
  <c r="N36"/>
  <c r="M36"/>
  <c r="L36"/>
  <c r="K36"/>
  <c r="J36"/>
  <c r="I36"/>
  <c r="H36"/>
  <c r="G36"/>
  <c r="F36"/>
  <c r="E36"/>
  <c r="P35"/>
  <c r="N35"/>
  <c r="M35"/>
  <c r="L35"/>
  <c r="K35"/>
  <c r="J35"/>
  <c r="I35"/>
  <c r="H35"/>
  <c r="G35"/>
  <c r="F35"/>
  <c r="E35"/>
  <c r="P34"/>
  <c r="N34"/>
  <c r="M34"/>
  <c r="L34"/>
  <c r="K34"/>
  <c r="J34"/>
  <c r="I34"/>
  <c r="H34"/>
  <c r="G34"/>
  <c r="F34"/>
  <c r="E34"/>
  <c r="P33"/>
  <c r="N33"/>
  <c r="M33"/>
  <c r="L33"/>
  <c r="K33"/>
  <c r="J33"/>
  <c r="I33"/>
  <c r="H33"/>
  <c r="G33"/>
  <c r="F33"/>
  <c r="E33"/>
  <c r="P32"/>
  <c r="N32"/>
  <c r="M32"/>
  <c r="L32"/>
  <c r="K32"/>
  <c r="J32"/>
  <c r="I32"/>
  <c r="H32"/>
  <c r="G32"/>
  <c r="F32"/>
  <c r="E32"/>
  <c r="P31"/>
  <c r="N31"/>
  <c r="M31"/>
  <c r="L31"/>
  <c r="K31"/>
  <c r="J31"/>
  <c r="I31"/>
  <c r="H31"/>
  <c r="G31"/>
  <c r="F31"/>
  <c r="E31"/>
  <c r="P30"/>
  <c r="N30"/>
  <c r="M30"/>
  <c r="L30"/>
  <c r="K30"/>
  <c r="J30"/>
  <c r="I30"/>
  <c r="H30"/>
  <c r="G30"/>
  <c r="F30"/>
  <c r="E30"/>
  <c r="P29"/>
  <c r="N29"/>
  <c r="M29"/>
  <c r="L29"/>
  <c r="K29"/>
  <c r="J29"/>
  <c r="I29"/>
  <c r="H29"/>
  <c r="G29"/>
  <c r="F29"/>
  <c r="E29"/>
  <c r="P28"/>
  <c r="N28"/>
  <c r="M28"/>
  <c r="L28"/>
  <c r="K28"/>
  <c r="J28"/>
  <c r="I28"/>
  <c r="H28"/>
  <c r="G28"/>
  <c r="F28"/>
  <c r="E28"/>
  <c r="P27"/>
  <c r="N27"/>
  <c r="M27"/>
  <c r="L27"/>
  <c r="K27"/>
  <c r="J27"/>
  <c r="I27"/>
  <c r="H27"/>
  <c r="G27"/>
  <c r="F27"/>
  <c r="E27"/>
  <c r="P26"/>
  <c r="N26"/>
  <c r="M26"/>
  <c r="L26"/>
  <c r="K26"/>
  <c r="J26"/>
  <c r="I26"/>
  <c r="H26"/>
  <c r="G26"/>
  <c r="F26"/>
  <c r="E26"/>
  <c r="P25"/>
  <c r="N25"/>
  <c r="M25"/>
  <c r="L25"/>
  <c r="K25"/>
  <c r="J25"/>
  <c r="I25"/>
  <c r="H25"/>
  <c r="G25"/>
  <c r="F25"/>
  <c r="E25"/>
  <c r="P24"/>
  <c r="N24"/>
  <c r="M24"/>
  <c r="L24"/>
  <c r="K24"/>
  <c r="J24"/>
  <c r="I24"/>
  <c r="H24"/>
  <c r="G24"/>
  <c r="F24"/>
  <c r="E24"/>
  <c r="P23"/>
  <c r="N23"/>
  <c r="M23"/>
  <c r="L23"/>
  <c r="K23"/>
  <c r="J23"/>
  <c r="I23"/>
  <c r="H23"/>
  <c r="G23"/>
  <c r="F23"/>
  <c r="E23"/>
  <c r="P22"/>
  <c r="N22"/>
  <c r="M22"/>
  <c r="L22"/>
  <c r="K22"/>
  <c r="J22"/>
  <c r="I22"/>
  <c r="H22"/>
  <c r="G22"/>
  <c r="F22"/>
  <c r="E22"/>
  <c r="P21"/>
  <c r="N21"/>
  <c r="M21"/>
  <c r="L21"/>
  <c r="K21"/>
  <c r="J21"/>
  <c r="I21"/>
  <c r="H21"/>
  <c r="G21"/>
  <c r="F21"/>
  <c r="E21"/>
  <c r="P20"/>
  <c r="N20"/>
  <c r="M20"/>
  <c r="L20"/>
  <c r="K20"/>
  <c r="J20"/>
  <c r="I20"/>
  <c r="H20"/>
  <c r="G20"/>
  <c r="F20"/>
  <c r="E20"/>
  <c r="P19"/>
  <c r="N19"/>
  <c r="M19"/>
  <c r="L19"/>
  <c r="K19"/>
  <c r="J19"/>
  <c r="I19"/>
  <c r="H19"/>
  <c r="G19"/>
  <c r="F19"/>
  <c r="E19"/>
  <c r="P18"/>
  <c r="N18"/>
  <c r="M18"/>
  <c r="L18"/>
  <c r="K18"/>
  <c r="J18"/>
  <c r="I18"/>
  <c r="H18"/>
  <c r="G18"/>
  <c r="F18"/>
  <c r="E18"/>
  <c r="P17"/>
  <c r="N17"/>
  <c r="M17"/>
  <c r="L17"/>
  <c r="K17"/>
  <c r="J17"/>
  <c r="I17"/>
  <c r="H17"/>
  <c r="G17"/>
  <c r="F17"/>
  <c r="E17"/>
  <c r="P16"/>
  <c r="N16"/>
  <c r="M16"/>
  <c r="L16"/>
  <c r="K16"/>
  <c r="J16"/>
  <c r="I16"/>
  <c r="H16"/>
  <c r="G16"/>
  <c r="F16"/>
  <c r="E16"/>
  <c r="P15"/>
  <c r="N15"/>
  <c r="M15"/>
  <c r="L15"/>
  <c r="K15"/>
  <c r="J15"/>
  <c r="I15"/>
  <c r="H15"/>
  <c r="G15"/>
  <c r="F15"/>
  <c r="E15"/>
  <c r="P14"/>
  <c r="N14"/>
  <c r="M14"/>
  <c r="L14"/>
  <c r="K14"/>
  <c r="J14"/>
  <c r="I14"/>
  <c r="H14"/>
  <c r="G14"/>
  <c r="F14"/>
  <c r="E14"/>
  <c r="P13"/>
  <c r="N13"/>
  <c r="M13"/>
  <c r="L13"/>
  <c r="K13"/>
  <c r="J13"/>
  <c r="I13"/>
  <c r="H13"/>
  <c r="G13"/>
  <c r="F13"/>
  <c r="E13"/>
  <c r="P12"/>
  <c r="N12"/>
  <c r="M12"/>
  <c r="L12"/>
  <c r="K12"/>
  <c r="J12"/>
  <c r="I12"/>
  <c r="H12"/>
  <c r="G12"/>
  <c r="F12"/>
  <c r="E12"/>
  <c r="P11"/>
  <c r="N11"/>
  <c r="M11"/>
  <c r="L11"/>
  <c r="K11"/>
  <c r="J11"/>
  <c r="I11"/>
  <c r="H11"/>
  <c r="G11"/>
  <c r="F11"/>
  <c r="E11"/>
  <c r="P10"/>
  <c r="N10"/>
  <c r="M10"/>
  <c r="L10"/>
  <c r="K10"/>
  <c r="J10"/>
  <c r="I10"/>
  <c r="H10"/>
  <c r="G10"/>
  <c r="F10"/>
  <c r="E10"/>
  <c r="P9"/>
  <c r="N9"/>
  <c r="M9"/>
  <c r="L9"/>
  <c r="K9"/>
  <c r="J9"/>
  <c r="I9"/>
  <c r="H9"/>
  <c r="G9"/>
  <c r="F9"/>
  <c r="E9"/>
  <c r="P8"/>
  <c r="N8"/>
  <c r="M8"/>
  <c r="L8"/>
  <c r="K8"/>
  <c r="J8"/>
  <c r="I8"/>
  <c r="H8"/>
  <c r="G8"/>
  <c r="F8"/>
  <c r="E8"/>
  <c r="P7"/>
  <c r="N7"/>
  <c r="M7"/>
  <c r="L7"/>
  <c r="K7"/>
  <c r="J7"/>
  <c r="I7"/>
  <c r="H7"/>
  <c r="G7"/>
  <c r="F7"/>
  <c r="E7"/>
  <c r="P6"/>
  <c r="N6"/>
  <c r="M6"/>
  <c r="L6"/>
  <c r="K6"/>
  <c r="J6"/>
  <c r="I6"/>
  <c r="H6"/>
  <c r="G6"/>
  <c r="F6"/>
  <c r="E6"/>
  <c r="P5"/>
  <c r="N5"/>
  <c r="M5"/>
  <c r="L5"/>
  <c r="K5"/>
  <c r="J5"/>
  <c r="I5"/>
  <c r="H5"/>
  <c r="G5"/>
  <c r="F5"/>
  <c r="E5"/>
  <c r="P4"/>
  <c r="N4"/>
  <c r="M4"/>
  <c r="L4"/>
  <c r="K4"/>
  <c r="J4"/>
  <c r="I4"/>
  <c r="H4"/>
  <c r="G4"/>
  <c r="F4"/>
  <c r="E4"/>
  <c r="P3"/>
  <c r="N3"/>
  <c r="M3"/>
  <c r="L3"/>
  <c r="K3"/>
  <c r="J3"/>
  <c r="I3"/>
  <c r="H3"/>
  <c r="G3"/>
  <c r="F3"/>
  <c r="E3"/>
</calcChain>
</file>

<file path=xl/comments1.xml><?xml version="1.0" encoding="utf-8"?>
<comments xmlns="http://schemas.openxmlformats.org/spreadsheetml/2006/main">
  <authors>
    <author>tc={005B002E-0085-478B-A163-008A006D0075}</author>
  </authors>
  <commentList>
    <comment ref="H11" authorId="0">
      <text>
        <r>
          <rPr>
            <b/>
            <sz val="9"/>
            <rFont val="Tahoma"/>
            <family val="2"/>
          </rPr>
          <t>作者:</t>
        </r>
        <r>
          <rPr>
            <sz val="9"/>
            <rFont val="Tahoma"/>
            <family val="2"/>
          </rPr>
          <t>user:根据现有口径，2008.7-2012.8也应在补记范围内。</t>
        </r>
      </text>
    </comment>
  </commentList>
</comments>
</file>

<file path=xl/comments2.xml><?xml version="1.0" encoding="utf-8"?>
<comments xmlns="http://schemas.openxmlformats.org/spreadsheetml/2006/main">
  <authors>
    <author>钱兢</author>
  </authors>
  <commentList>
    <comment ref="A44" authorId="0">
      <text>
        <r>
          <rPr>
            <b/>
            <sz val="9"/>
            <color indexed="81"/>
            <rFont val="宋体"/>
            <family val="3"/>
            <charset val="134"/>
          </rPr>
          <t xml:space="preserve">共2门，人车分离，1门5保，1门1保，另隔壁为七宝青少年活动中心，与明强小学相通，该中心1门5保。
</t>
        </r>
      </text>
    </comment>
    <comment ref="A45" authorId="0">
      <text>
        <r>
          <rPr>
            <b/>
            <sz val="9"/>
            <color indexed="81"/>
            <rFont val="宋体"/>
            <family val="3"/>
            <charset val="134"/>
          </rPr>
          <t>其中一门为</t>
        </r>
        <r>
          <rPr>
            <b/>
            <sz val="9"/>
            <color indexed="81"/>
            <rFont val="Tahoma"/>
            <family val="2"/>
          </rPr>
          <t>7</t>
        </r>
        <r>
          <rPr>
            <b/>
            <sz val="9"/>
            <color indexed="81"/>
            <rFont val="宋体"/>
            <family val="3"/>
            <charset val="134"/>
          </rPr>
          <t>人，人车分离</t>
        </r>
      </text>
    </comment>
    <comment ref="A57" authorId="0">
      <text>
        <r>
          <rPr>
            <b/>
            <sz val="9"/>
            <color indexed="81"/>
            <rFont val="宋体"/>
            <family val="3"/>
            <charset val="134"/>
          </rPr>
          <t>其中总园增开一门多派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宋体"/>
            <family val="3"/>
            <charset val="134"/>
          </rPr>
          <t>人，人车分离</t>
        </r>
      </text>
    </comment>
    <comment ref="A85" authorId="0">
      <text>
        <r>
          <rPr>
            <b/>
            <sz val="9"/>
            <color indexed="81"/>
            <rFont val="宋体"/>
            <family val="3"/>
            <charset val="134"/>
          </rPr>
          <t>学校人数众多，增开</t>
        </r>
        <r>
          <rPr>
            <b/>
            <sz val="9"/>
            <color indexed="81"/>
            <rFont val="Tahoma"/>
            <family val="2"/>
          </rPr>
          <t>1</t>
        </r>
        <r>
          <rPr>
            <b/>
            <sz val="9"/>
            <color indexed="81"/>
            <rFont val="宋体"/>
            <family val="3"/>
            <charset val="134"/>
          </rPr>
          <t>门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宋体"/>
            <family val="3"/>
            <charset val="134"/>
          </rPr>
          <t>保</t>
        </r>
      </text>
    </comment>
  </commentList>
</comments>
</file>

<file path=xl/sharedStrings.xml><?xml version="1.0" encoding="utf-8"?>
<sst xmlns="http://schemas.openxmlformats.org/spreadsheetml/2006/main" count="4679" uniqueCount="1431">
  <si>
    <t>工资福利支出</t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</si>
  <si>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</si>
  <si>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</si>
  <si>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</si>
  <si>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</si>
  <si>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</si>
  <si>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</si>
  <si>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</si>
  <si>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</si>
  <si>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</si>
  <si>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</si>
  <si>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工业区</t>
  </si>
  <si>
    <t>序号</t>
  </si>
  <si>
    <t>项目名称</t>
  </si>
  <si>
    <t>功能分类</t>
  </si>
  <si>
    <t>口径</t>
  </si>
  <si>
    <t>社区学校</t>
    <phoneticPr fontId="2" type="noConversion"/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</si>
  <si>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</si>
  <si>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</si>
  <si>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</si>
  <si>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</si>
  <si>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</si>
  <si>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</si>
  <si>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</si>
  <si>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</si>
  <si>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</si>
  <si>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</si>
  <si>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</si>
  <si>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</si>
  <si>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</si>
  <si>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</si>
  <si>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</si>
  <si>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</si>
  <si>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</si>
  <si>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</si>
  <si>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</si>
  <si>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</si>
  <si>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</si>
  <si>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2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</si>
  <si>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</si>
  <si>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</si>
  <si>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</si>
  <si>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</si>
  <si>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</si>
  <si>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</si>
  <si>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　　　　2、失业保险0.5%</t>
    <phoneticPr fontId="2" type="noConversion"/>
  </si>
  <si>
    <t>13</t>
  </si>
  <si>
    <t>　　绩效工资</t>
  </si>
  <si>
    <t>14</t>
  </si>
  <si>
    <t>　　　　1、绩效工资</t>
  </si>
  <si>
    <t>根据人保科数字编制</t>
    <phoneticPr fontId="2" type="noConversion"/>
  </si>
  <si>
    <t>15</t>
  </si>
  <si>
    <t>　　　　2、校长职级制</t>
  </si>
  <si>
    <t>根据校长职级制按实编制</t>
  </si>
  <si>
    <t>16</t>
  </si>
  <si>
    <t>　　　　3、工作餐补贴</t>
    <phoneticPr fontId="2" type="noConversion"/>
  </si>
  <si>
    <t>17</t>
  </si>
  <si>
    <t>　　　　4、课后服务(在编人员）</t>
    <phoneticPr fontId="2" type="noConversion"/>
  </si>
  <si>
    <t>18</t>
  </si>
  <si>
    <t xml:space="preserve">   城镇职工基本医疗保险缴费</t>
  </si>
  <si>
    <t>19</t>
  </si>
  <si>
    <t>事业单位医疗</t>
  </si>
  <si>
    <t>20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</si>
  <si>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</si>
  <si>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21</t>
  </si>
  <si>
    <t>22</t>
  </si>
  <si>
    <t>23</t>
  </si>
  <si>
    <t>　　事业单位基本养老保险缴费</t>
  </si>
  <si>
    <t>24</t>
  </si>
  <si>
    <t>　　　　1、基本养老保险16%</t>
    <phoneticPr fontId="2" type="noConversion"/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</si>
  <si>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</si>
  <si>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</si>
  <si>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</si>
  <si>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</si>
  <si>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</si>
  <si>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</si>
  <si>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</si>
  <si>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</si>
  <si>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公积金</t>
  </si>
  <si>
    <t>根据人事口径按实编制</t>
    <phoneticPr fontId="2" type="noConversion"/>
  </si>
  <si>
    <t>28</t>
  </si>
  <si>
    <t xml:space="preserve">    其他工资福利</t>
    <phoneticPr fontId="2" type="noConversion"/>
  </si>
  <si>
    <t>年初预算为0</t>
    <phoneticPr fontId="2" type="noConversion"/>
  </si>
  <si>
    <t>29</t>
  </si>
  <si>
    <t>对个人和家庭补助</t>
  </si>
  <si>
    <t>30</t>
  </si>
  <si>
    <t xml:space="preserve">    退休费</t>
    <phoneticPr fontId="2" type="noConversion"/>
  </si>
  <si>
    <t>离退休</t>
  </si>
  <si>
    <t>根据退休人员情况按实编制</t>
    <phoneticPr fontId="2" type="noConversion"/>
  </si>
  <si>
    <t>31</t>
  </si>
  <si>
    <t xml:space="preserve">        1、退休人员生活补贴</t>
    <phoneticPr fontId="2" type="noConversion"/>
  </si>
  <si>
    <t>32</t>
  </si>
  <si>
    <t>　　奖励金</t>
  </si>
  <si>
    <t>33</t>
  </si>
  <si>
    <t>　　　　1、独生子女奖励费▲</t>
  </si>
  <si>
    <t>34</t>
  </si>
  <si>
    <t>35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</si>
  <si>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</si>
  <si>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</si>
  <si>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</si>
  <si>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</si>
  <si>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</si>
  <si>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</si>
  <si>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</si>
  <si>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</si>
  <si>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</si>
  <si>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</si>
  <si>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</si>
  <si>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</si>
  <si>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</si>
  <si>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</si>
  <si>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</si>
  <si>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</si>
  <si>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</si>
  <si>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</si>
  <si>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</si>
  <si>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</si>
  <si>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</si>
  <si>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</si>
  <si>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</si>
  <si>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</si>
  <si>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</si>
  <si>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　　(五)福利费</t>
    <phoneticPr fontId="2" type="noConversion"/>
  </si>
  <si>
    <t>46</t>
  </si>
  <si>
    <t>教职工人数*4320元（公式计算）</t>
  </si>
  <si>
    <t>47</t>
  </si>
  <si>
    <t>48</t>
  </si>
  <si>
    <t>　　(六)工会经费</t>
    <phoneticPr fontId="2" type="noConversion"/>
  </si>
  <si>
    <t>49</t>
  </si>
  <si>
    <t>　　　　1、工会经费2%</t>
  </si>
  <si>
    <t>50</t>
  </si>
  <si>
    <t>51</t>
  </si>
  <si>
    <t>　　　　1、教育系统，校/辆</t>
  </si>
  <si>
    <t>机关局有编制的车辆数*32000元/年（分园及分校预算在其他交通费中编制）</t>
  </si>
  <si>
    <t>52</t>
  </si>
  <si>
    <t>53</t>
  </si>
  <si>
    <t>54</t>
  </si>
  <si>
    <t>　　　　　　(1)活动费(活动费+活动费(托管))</t>
  </si>
  <si>
    <t>离退休人数*400元/年（公式计算）</t>
    <phoneticPr fontId="2" type="noConversion"/>
  </si>
  <si>
    <t>55</t>
  </si>
  <si>
    <t>没有，填0</t>
  </si>
  <si>
    <t>56</t>
  </si>
  <si>
    <t>57</t>
  </si>
  <si>
    <t>　　　　2、教育系统</t>
  </si>
  <si>
    <t>58</t>
  </si>
  <si>
    <t>学校基本情况：</t>
  </si>
  <si>
    <t>59</t>
  </si>
  <si>
    <t>1、教职工(人数)</t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</si>
  <si>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</si>
  <si>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</si>
  <si>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</si>
  <si>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</si>
  <si>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</si>
  <si>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</si>
  <si>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</si>
  <si>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</si>
  <si>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</si>
  <si>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</si>
  <si>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t>65</t>
  </si>
  <si>
    <t>66</t>
  </si>
  <si>
    <t>67</t>
  </si>
  <si>
    <t>68</t>
  </si>
  <si>
    <t>69</t>
  </si>
  <si>
    <t>4、教育单位房屋（面积）</t>
    <phoneticPr fontId="2" type="noConversion"/>
  </si>
  <si>
    <t>5、教育单位绿化（面积）</t>
    <phoneticPr fontId="2" type="noConversion"/>
  </si>
  <si>
    <t>上海市闵行区景东小学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</si>
  <si>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</si>
  <si>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</si>
  <si>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</si>
  <si>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</si>
  <si>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t>　　　　1、在职福利费</t>
    <phoneticPr fontId="2" type="noConversion"/>
  </si>
  <si>
    <t>离退休人数*4320元（公式计算）</t>
    <phoneticPr fontId="2" type="noConversion"/>
  </si>
  <si>
    <t>　　(七)公务用车运行维护费★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</si>
  <si>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</si>
  <si>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3、事业退休人员人数</t>
    <phoneticPr fontId="2" type="noConversion"/>
  </si>
  <si>
    <t>上海市闵行区马桥富国幼儿园</t>
    <phoneticPr fontId="2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</si>
  <si>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</si>
  <si>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</si>
  <si>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</si>
  <si>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</si>
  <si>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</si>
  <si>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</si>
  <si>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</si>
  <si>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</si>
  <si>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</si>
  <si>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</si>
  <si>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</si>
  <si>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社区学校</t>
  </si>
  <si>
    <t>上虹中学</t>
  </si>
  <si>
    <t>龙柏中学</t>
  </si>
  <si>
    <t>虹桥小学</t>
  </si>
  <si>
    <t>中心幼儿园</t>
  </si>
  <si>
    <t>虹鹿幼儿园</t>
  </si>
  <si>
    <t>龙柏一幼</t>
  </si>
  <si>
    <t>龙柏二幼</t>
  </si>
  <si>
    <t>　　　　　　(1)上下班交通费补贴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</si>
  <si>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</si>
  <si>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</si>
  <si>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</si>
  <si>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</si>
  <si>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</si>
  <si>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　　　　1、基本养老保险16%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</si>
  <si>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</si>
  <si>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</si>
  <si>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年初预算为0</t>
  </si>
  <si>
    <t xml:space="preserve">    退休费</t>
  </si>
  <si>
    <t>根据退休人员情况按实编制</t>
  </si>
  <si>
    <t xml:space="preserve">        1、退休人员生活补贴</t>
  </si>
  <si>
    <t xml:space="preserve">       其中：培训费</t>
  </si>
  <si>
    <t>生均定额5%</t>
  </si>
  <si>
    <t>　　(五)福利费</t>
  </si>
  <si>
    <t>　　　　1、在职福利费</t>
  </si>
  <si>
    <t>　　　　2、离退休福利费</t>
  </si>
  <si>
    <t>离退休人数*4320元（公式计算）</t>
  </si>
  <si>
    <t>　　(六)工会经费</t>
  </si>
  <si>
    <t>　　(七)公务用车运行维护费★</t>
  </si>
  <si>
    <t>离退休人数*400元/年（公式计算）</t>
  </si>
  <si>
    <t xml:space="preserve">
机关局无编制车辆的学校按32000元编制预算
机关局有编制的车辆，每分校增加10000元，每个分园增加5000元编制预算</t>
  </si>
  <si>
    <t>3、事业退休人员人数</t>
  </si>
  <si>
    <t>4、教育单位房屋（面积）</t>
  </si>
  <si>
    <t>5、教育单位绿化（面积）</t>
  </si>
  <si>
    <t>上海市龙柏中学</t>
  </si>
  <si>
    <t>闵行区虹桥中心小学</t>
  </si>
  <si>
    <t>闵行区龙柏第一小学</t>
  </si>
  <si>
    <t>上海市闵行区诸翟学校</t>
  </si>
  <si>
    <t>上海市闵行区华漕学校</t>
  </si>
  <si>
    <t>上海市罗阳中学</t>
  </si>
  <si>
    <t>上海市闵行区浦江第二中学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</si>
  <si>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</si>
  <si>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</si>
  <si>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</si>
  <si>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</si>
  <si>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</si>
  <si>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</si>
  <si>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</si>
  <si>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上海师范大学附属中学闵行实验学校</t>
  </si>
  <si>
    <t>上海市航华中学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</si>
  <si>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</si>
  <si>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</si>
  <si>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</si>
  <si>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</si>
  <si>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</si>
  <si>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</si>
  <si>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</si>
  <si>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上海市闵行区明星学校</t>
  </si>
  <si>
    <t>上海市闵行区颛桥中学</t>
  </si>
  <si>
    <t>上海市闵行区北桥中学</t>
  </si>
  <si>
    <t>上海市闵行区田园外国语中学</t>
  </si>
  <si>
    <t>上海市闵行区君莲学校</t>
  </si>
  <si>
    <t>上海市闵行区田园外语实验小学</t>
  </si>
  <si>
    <t>闵行区北桥中心小学</t>
  </si>
  <si>
    <t>上海市闵行区田园第二外语实验小学</t>
  </si>
  <si>
    <t>总计</t>
  </si>
  <si>
    <t>镇属</t>
    <phoneticPr fontId="1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</si>
  <si>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</si>
  <si>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</si>
  <si>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</si>
  <si>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</si>
  <si>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</si>
  <si>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</si>
  <si>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</si>
  <si>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</si>
  <si>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</si>
  <si>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闵行区七宝明强第二小学</t>
  </si>
  <si>
    <t>实验幼儿园</t>
  </si>
  <si>
    <t>上海市闵行区七宝文来学校</t>
  </si>
  <si>
    <t>上海交通大学附属闵行马桥实验学校</t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</si>
  <si>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</si>
  <si>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</si>
  <si>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</si>
  <si>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2025年基本支出预算表</t>
  </si>
  <si>
    <t>康城幼儿园</t>
  </si>
  <si>
    <t>佳佳幼儿园</t>
    <phoneticPr fontId="2" type="noConversion"/>
  </si>
  <si>
    <t>社区学校</t>
    <phoneticPr fontId="2" type="noConversion"/>
  </si>
  <si>
    <t>明星学校</t>
    <phoneticPr fontId="2" type="noConversion"/>
  </si>
  <si>
    <t>　　　　1、工伤保险费0.5%(0.16%-1.52%)</t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</si>
  <si>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</si>
  <si>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</si>
  <si>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</si>
  <si>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t>　　(八)离退休公用支出</t>
    <phoneticPr fontId="2" type="noConversion"/>
  </si>
  <si>
    <t>　　　1、活动费(活动费+活动费(托管))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</si>
  <si>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</si>
  <si>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</si>
  <si>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</si>
  <si>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</si>
  <si>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填写2024年秋季在编教职工人数</t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</si>
  <si>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</si>
  <si>
    <t>　　(八)离退休公用经费</t>
    <phoneticPr fontId="2" type="noConversion"/>
  </si>
  <si>
    <t>　　　  1、活动费(活动费+活动费(托管))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</si>
  <si>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</si>
  <si>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</si>
  <si>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</si>
  <si>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</si>
  <si>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</si>
  <si>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</si>
  <si>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</si>
  <si>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</si>
  <si>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</si>
  <si>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</si>
  <si>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</si>
  <si>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</si>
  <si>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</si>
  <si>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</si>
  <si>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七宝社区</t>
    <phoneticPr fontId="2" type="noConversion"/>
  </si>
  <si>
    <t>皇都</t>
    <phoneticPr fontId="2" type="noConversion"/>
  </si>
  <si>
    <t>文来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</si>
  <si>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</si>
  <si>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</si>
  <si>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</si>
  <si>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</si>
  <si>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</si>
  <si>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</si>
  <si>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</si>
  <si>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</si>
  <si>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</si>
  <si>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</si>
  <si>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</si>
  <si>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</si>
  <si>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</si>
  <si>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</si>
  <si>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</si>
  <si>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</si>
  <si>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</si>
  <si>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</si>
  <si>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</si>
  <si>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</si>
  <si>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</si>
  <si>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</si>
  <si>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</si>
  <si>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</si>
  <si>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</si>
  <si>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</si>
  <si>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</si>
  <si>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</si>
  <si>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</si>
  <si>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</si>
  <si>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离退休人数*400元/年（公式计算）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</si>
  <si>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</si>
  <si>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</si>
  <si>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</si>
  <si>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</si>
  <si>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</si>
  <si>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</si>
  <si>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</si>
  <si>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</si>
  <si>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</si>
  <si>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</si>
  <si>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</si>
  <si>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</si>
  <si>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</si>
  <si>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</si>
  <si>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</si>
  <si>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</si>
  <si>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</si>
  <si>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</si>
  <si>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</si>
  <si>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</si>
  <si>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</si>
  <si>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</si>
  <si>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</si>
  <si>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</si>
  <si>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</si>
  <si>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</si>
  <si>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</si>
  <si>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</si>
  <si>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</si>
  <si>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</si>
  <si>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</si>
  <si>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</si>
  <si>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</si>
  <si>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离退休人数*400元/年（公式计算）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</si>
  <si>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</si>
  <si>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</si>
  <si>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</si>
  <si>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</si>
  <si>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</si>
  <si>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</si>
  <si>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</si>
  <si>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</si>
  <si>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</si>
  <si>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上海市七宝中学附属闵行金都实验中学</t>
    <phoneticPr fontId="2" type="noConversion"/>
  </si>
  <si>
    <t>上海中医药大学附属闵行蔷薇小学</t>
    <phoneticPr fontId="2" type="noConversion"/>
  </si>
  <si>
    <t>上海市闵行区梅陇金都幼儿园</t>
    <phoneticPr fontId="2" type="noConversion"/>
  </si>
  <si>
    <t>上海市闵行区马桥复旦万科实验中学</t>
    <phoneticPr fontId="2" type="noConversion"/>
  </si>
  <si>
    <t>上海市马桥强恕学校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</si>
  <si>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</si>
  <si>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</si>
  <si>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上海市闵行区马桥富卓幼儿园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</si>
  <si>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</si>
  <si>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</si>
  <si>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上海市闵行区马桥元祥幼儿园</t>
    <phoneticPr fontId="2" type="noConversion"/>
  </si>
  <si>
    <t>闵行区马桥中心幼儿园</t>
    <phoneticPr fontId="2" type="noConversion"/>
  </si>
  <si>
    <t>马桥社区学校</t>
    <phoneticPr fontId="2" type="noConversion"/>
  </si>
  <si>
    <t>　　　　1、工伤保险费0.5%(0.16%-1.52%)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</si>
  <si>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</si>
  <si>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</si>
  <si>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</si>
  <si>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2、离退休福利费</t>
    <phoneticPr fontId="2" type="noConversion"/>
  </si>
  <si>
    <t>　　(八)离退休公用支出支出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</si>
  <si>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</si>
  <si>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</si>
  <si>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</si>
  <si>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</si>
  <si>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</si>
  <si>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</si>
  <si>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华漕幼儿园</t>
    <phoneticPr fontId="2" type="noConversion"/>
  </si>
  <si>
    <t>季乐路幼儿园</t>
    <phoneticPr fontId="2" type="noConversion"/>
  </si>
  <si>
    <t>诸翟学校</t>
    <phoneticPr fontId="2" type="noConversion"/>
  </si>
  <si>
    <t>金色幼儿园</t>
    <phoneticPr fontId="2" type="noConversion"/>
  </si>
  <si>
    <t>纪王幼儿园</t>
    <phoneticPr fontId="2" type="noConversion"/>
  </si>
  <si>
    <t>华漕学校</t>
    <phoneticPr fontId="2" type="noConversion"/>
  </si>
  <si>
    <t>纪王学校</t>
    <phoneticPr fontId="2" type="noConversion"/>
  </si>
  <si>
    <t>诸翟幼儿园</t>
    <phoneticPr fontId="2" type="noConversion"/>
  </si>
  <si>
    <t>　　(八)离退休公用经费支出</t>
    <phoneticPr fontId="2" type="noConversion"/>
  </si>
  <si>
    <t>　　　  1、活动费(活动费+活动费(托管))</t>
    <phoneticPr fontId="2" type="noConversion"/>
  </si>
  <si>
    <t>2025年基本支出预算表（颛桥）</t>
  </si>
  <si>
    <t>颛桥镇二幼</t>
  </si>
  <si>
    <t>田园中学</t>
  </si>
  <si>
    <t>田园幼儿园</t>
  </si>
  <si>
    <t>根据社保口径按实编制</t>
  </si>
  <si>
    <r>
      <rPr>
        <sz val="9"/>
        <color indexed="8"/>
        <rFont val="宋体"/>
        <family val="3"/>
        <charset val="134"/>
      </rP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</si>
  <si>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rPr>
        <sz val="9"/>
        <color indexed="8"/>
        <rFont val="宋体"/>
        <family val="3"/>
        <charset val="134"/>
      </rP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</si>
  <si>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r>
      <rPr>
        <sz val="9"/>
        <color indexed="8"/>
        <rFont val="宋体"/>
        <family val="3"/>
        <charset val="134"/>
      </rP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</si>
  <si>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t>根据相关口径按实编制</t>
  </si>
  <si>
    <r>
      <rPr>
        <sz val="9"/>
        <color indexed="8"/>
        <rFont val="宋体"/>
        <family val="3"/>
        <charset val="134"/>
      </rP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</si>
  <si>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r>
      <rPr>
        <sz val="9"/>
        <color indexed="8"/>
        <rFont val="宋体"/>
        <family val="3"/>
        <charset val="134"/>
      </rP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</si>
  <si>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>教职工人数*400元标准内按实填列</t>
  </si>
  <si>
    <t>房屋面积*15元标准内按实填列</t>
  </si>
  <si>
    <t>绿化面积*8元标准内按实填列</t>
  </si>
  <si>
    <t>教职工人数*4320元</t>
  </si>
  <si>
    <t>离退休人数*4320元</t>
  </si>
  <si>
    <t>根据工会口径按实编制</t>
  </si>
  <si>
    <t>机关局有编制的车辆数*32000元/年标准内填列（分园及分校预算在其他交通费中编制）</t>
  </si>
  <si>
    <t>　　(八)离退休公用支出</t>
  </si>
  <si>
    <t>　　　(1)活动费(活动费+活动费(托管))</t>
  </si>
  <si>
    <t>离退休人数*400元/年标准内按实填列</t>
  </si>
  <si>
    <t xml:space="preserve">   （九）其他商品和服务支出</t>
  </si>
  <si>
    <t>　　　　1、子女幼托费</t>
  </si>
  <si>
    <t>按人事口径实填列</t>
  </si>
  <si>
    <t>　　(十)其他交通费用</t>
  </si>
  <si>
    <t xml:space="preserve">
机关局无编制车辆的学校按32000元编制预算
机关局有编制的车辆，每分校增加10000元，每个分园增加5000元标准内填列</t>
  </si>
  <si>
    <t>填写2024年9月在编教职工人数</t>
  </si>
  <si>
    <t>填写2024年秋季学期学生人数，以招办人数为准</t>
  </si>
  <si>
    <t>4、事业退休人员人数</t>
  </si>
  <si>
    <t>5、教育单位房屋（面积）</t>
  </si>
  <si>
    <t>6、教育单位绿化（面积）</t>
  </si>
  <si>
    <t>华师大虹桥学校</t>
  </si>
  <si>
    <t>龙柏一小</t>
    <phoneticPr fontId="2" type="noConversion"/>
  </si>
  <si>
    <t>华师虹幼</t>
    <phoneticPr fontId="2" type="noConversion"/>
  </si>
  <si>
    <t>　 （八）离退休公用支出</t>
    <phoneticPr fontId="2" type="noConversion"/>
  </si>
  <si>
    <t>　　(九)其他商品和服务支出</t>
    <phoneticPr fontId="2" type="noConversion"/>
  </si>
  <si>
    <t>莘庄镇</t>
    <phoneticPr fontId="1" type="noConversion"/>
  </si>
  <si>
    <t>吴泾镇</t>
    <phoneticPr fontId="1" type="noConversion"/>
  </si>
  <si>
    <t>七宝镇</t>
    <phoneticPr fontId="1" type="noConversion"/>
  </si>
  <si>
    <t>浦江镇</t>
    <phoneticPr fontId="1" type="noConversion"/>
  </si>
  <si>
    <t>梅陇镇</t>
    <phoneticPr fontId="1" type="noConversion"/>
  </si>
  <si>
    <t>马桥镇</t>
    <phoneticPr fontId="1" type="noConversion"/>
  </si>
  <si>
    <t>华漕镇</t>
    <phoneticPr fontId="1" type="noConversion"/>
  </si>
  <si>
    <t>颛桥镇</t>
    <phoneticPr fontId="1" type="noConversion"/>
  </si>
  <si>
    <t>虹桥镇</t>
    <phoneticPr fontId="2" type="noConversion"/>
  </si>
  <si>
    <t>幼儿园</t>
    <phoneticPr fontId="1" type="noConversion"/>
  </si>
  <si>
    <t>其他</t>
    <phoneticPr fontId="1" type="noConversion"/>
  </si>
  <si>
    <t>九年制</t>
    <phoneticPr fontId="1" type="noConversion"/>
  </si>
  <si>
    <t>小学</t>
    <phoneticPr fontId="1" type="noConversion"/>
  </si>
  <si>
    <t>初中</t>
    <phoneticPr fontId="1" type="noConversion"/>
  </si>
  <si>
    <t>浦瑞幼儿园</t>
  </si>
  <si>
    <t>上海市七宝中学附属闵行金都实验中学</t>
  </si>
  <si>
    <t>上海市闵行区第三实验小学</t>
  </si>
  <si>
    <t>闵行区罗阳小学</t>
  </si>
  <si>
    <t>闵行区梅陇镇中心幼儿园</t>
  </si>
  <si>
    <t>闵行区曹行中心幼儿园</t>
  </si>
  <si>
    <t>闵行区马桥中心幼儿园</t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</si>
  <si>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</si>
  <si>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</si>
  <si>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</si>
  <si>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</si>
  <si>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</si>
  <si>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</si>
  <si>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</si>
  <si>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</si>
  <si>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</si>
  <si>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t>幼儿园</t>
    <phoneticPr fontId="2" type="noConversion"/>
  </si>
  <si>
    <t>马桥镇</t>
    <phoneticPr fontId="2" type="noConversion"/>
  </si>
  <si>
    <t>七</t>
    <phoneticPr fontId="2" type="noConversion"/>
  </si>
  <si>
    <r>
      <rPr>
        <sz val="10"/>
        <rFont val="宋体"/>
        <family val="3"/>
        <charset val="134"/>
      </rPr>
      <t>上海市闵行区马桥元祥幼儿园</t>
    </r>
  </si>
  <si>
    <r>
      <rPr>
        <sz val="10"/>
        <rFont val="宋体"/>
        <family val="3"/>
        <charset val="134"/>
      </rPr>
      <t>上海市闵行区马桥实验幼儿园</t>
    </r>
  </si>
  <si>
    <r>
      <rPr>
        <sz val="10"/>
        <rFont val="宋体"/>
        <family val="3"/>
        <charset val="134"/>
      </rPr>
      <t>闵行区马桥启音幼儿园</t>
    </r>
  </si>
  <si>
    <t>三</t>
  </si>
  <si>
    <r>
      <rPr>
        <sz val="10"/>
        <rFont val="宋体"/>
        <family val="3"/>
        <charset val="134"/>
      </rPr>
      <t>虹桥中心幼儿园</t>
    </r>
    <phoneticPr fontId="2" type="noConversion"/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</si>
  <si>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</si>
  <si>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莘庄镇</t>
    <phoneticPr fontId="2" type="noConversion"/>
  </si>
  <si>
    <t>五</t>
    <phoneticPr fontId="2" type="noConversion"/>
  </si>
  <si>
    <t>四</t>
    <phoneticPr fontId="2" type="noConversion"/>
  </si>
  <si>
    <t>七宝镇</t>
    <phoneticPr fontId="2" type="noConversion"/>
  </si>
  <si>
    <t>二</t>
    <phoneticPr fontId="2" type="noConversion"/>
  </si>
  <si>
    <t>七宝中心幼儿园（叠彩）</t>
    <phoneticPr fontId="2" type="noConversion"/>
  </si>
  <si>
    <t>七宝中心幼儿园（佳宝）</t>
    <phoneticPr fontId="2" type="noConversion"/>
  </si>
  <si>
    <t>七宝中心幼儿园（莱茵）</t>
    <phoneticPr fontId="2" type="noConversion"/>
  </si>
  <si>
    <t>七宝中心幼儿园（万泰）</t>
    <phoneticPr fontId="2" type="noConversion"/>
  </si>
  <si>
    <t>七宝幼儿园</t>
    <phoneticPr fontId="2" type="noConversion"/>
  </si>
  <si>
    <r>
      <rPr>
        <sz val="10"/>
        <rFont val="宋体"/>
        <family val="3"/>
        <charset val="134"/>
      </rPr>
      <t>星辰幼儿园金太阳分园</t>
    </r>
    <phoneticPr fontId="2" type="noConversion"/>
  </si>
  <si>
    <t>三</t>
    <phoneticPr fontId="2" type="noConversion"/>
  </si>
  <si>
    <r>
      <rPr>
        <sz val="10"/>
        <rFont val="宋体"/>
        <family val="3"/>
        <charset val="134"/>
      </rPr>
      <t>星辰幼儿园</t>
    </r>
    <phoneticPr fontId="2" type="noConversion"/>
  </si>
  <si>
    <r>
      <rPr>
        <sz val="10"/>
        <rFont val="宋体"/>
        <family val="3"/>
        <charset val="134"/>
      </rPr>
      <t>春欣幼儿园</t>
    </r>
    <phoneticPr fontId="2" type="noConversion"/>
  </si>
  <si>
    <t>春欣幼儿园分园（城花新苑）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</si>
  <si>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年新开办</t>
    </r>
    <r>
      <rPr>
        <sz val="10"/>
        <color indexed="8"/>
        <rFont val="Arial"/>
        <family val="2"/>
      </rPr>
      <t>,5+2</t>
    </r>
    <r>
      <rPr>
        <sz val="10"/>
        <color indexed="8"/>
        <rFont val="宋体"/>
        <family val="3"/>
        <charset val="134"/>
      </rPr>
      <t>，人车分离</t>
    </r>
    <phoneticPr fontId="2" type="noConversion"/>
  </si>
  <si>
    <r>
      <rPr>
        <sz val="10"/>
        <rFont val="宋体"/>
        <family val="3"/>
        <charset val="134"/>
      </rPr>
      <t>航华二幼</t>
    </r>
    <phoneticPr fontId="2" type="noConversion"/>
  </si>
  <si>
    <t>航华二幼（分园）</t>
    <phoneticPr fontId="2" type="noConversion"/>
  </si>
  <si>
    <r>
      <rPr>
        <sz val="10"/>
        <rFont val="宋体"/>
        <family val="3"/>
        <charset val="134"/>
      </rPr>
      <t>七宝实验幼儿园</t>
    </r>
    <phoneticPr fontId="2" type="noConversion"/>
  </si>
  <si>
    <t>上海市闵行区七宝皇都幼儿园</t>
    <phoneticPr fontId="2" type="noConversion"/>
  </si>
  <si>
    <t>2020年7月新增5人</t>
    <phoneticPr fontId="2" type="noConversion"/>
  </si>
  <si>
    <t>上海市闵行区七宝明强幼儿园</t>
    <phoneticPr fontId="2" type="noConversion"/>
  </si>
  <si>
    <t>2021年9月新开办</t>
    <phoneticPr fontId="2" type="noConversion"/>
  </si>
  <si>
    <t>上海市闵行区启英宝盛幼儿园</t>
    <phoneticPr fontId="2" type="noConversion"/>
  </si>
  <si>
    <t>2022年9月新开办</t>
    <phoneticPr fontId="2" type="noConversion"/>
  </si>
  <si>
    <t>华漕镇</t>
    <phoneticPr fontId="2" type="noConversion"/>
  </si>
  <si>
    <t>一</t>
    <phoneticPr fontId="2" type="noConversion"/>
  </si>
  <si>
    <t>一</t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</si>
  <si>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</si>
  <si>
    <t>颛桥一幼</t>
    <phoneticPr fontId="2" type="noConversion"/>
  </si>
  <si>
    <t>颛桥镇</t>
    <phoneticPr fontId="2" type="noConversion"/>
  </si>
  <si>
    <t>颛桥镇幼儿园（紫薇）</t>
    <phoneticPr fontId="2" type="noConversion"/>
  </si>
  <si>
    <t>六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</si>
  <si>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</si>
  <si>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梅陇镇中心幼儿园</t>
    <phoneticPr fontId="2" type="noConversion"/>
  </si>
  <si>
    <t>梅陇镇</t>
    <phoneticPr fontId="2" type="noConversion"/>
  </si>
  <si>
    <t>六</t>
  </si>
  <si>
    <r>
      <rPr>
        <sz val="10"/>
        <rFont val="宋体"/>
        <family val="3"/>
        <charset val="134"/>
      </rPr>
      <t>晶华坊幼儿园</t>
    </r>
  </si>
  <si>
    <t>闵行区梅陇永联幼儿园</t>
  </si>
  <si>
    <r>
      <rPr>
        <sz val="10"/>
        <rFont val="宋体"/>
        <family val="3"/>
        <charset val="134"/>
      </rPr>
      <t>浦江二幼</t>
    </r>
  </si>
  <si>
    <r>
      <rPr>
        <sz val="10"/>
        <rFont val="宋体"/>
        <family val="3"/>
        <charset val="134"/>
      </rPr>
      <t>浦江镇</t>
    </r>
    <phoneticPr fontId="2" type="noConversion"/>
  </si>
  <si>
    <t>十</t>
    <phoneticPr fontId="2" type="noConversion"/>
  </si>
  <si>
    <t>浦江二幼（金硕）</t>
    <phoneticPr fontId="2" type="noConversion"/>
  </si>
  <si>
    <r>
      <rPr>
        <sz val="10"/>
        <rFont val="宋体"/>
        <family val="3"/>
        <charset val="134"/>
      </rPr>
      <t>浦江三幼</t>
    </r>
  </si>
  <si>
    <t>浦江三幼（浦润）</t>
    <phoneticPr fontId="2" type="noConversion"/>
  </si>
  <si>
    <t>上海市闵行区浦瑞幼儿园</t>
    <phoneticPr fontId="2" type="noConversion"/>
  </si>
  <si>
    <t>上海市闵行区浦瑞幼儿园（万芳）</t>
    <phoneticPr fontId="2" type="noConversion"/>
  </si>
  <si>
    <t>上海市闵行区浦江宝邸幼儿园</t>
    <phoneticPr fontId="2" type="noConversion"/>
  </si>
  <si>
    <t>上海市闵行区浦江宝邸幼儿园（水语）</t>
    <phoneticPr fontId="2" type="noConversion"/>
  </si>
  <si>
    <r>
      <rPr>
        <sz val="10"/>
        <rFont val="宋体"/>
        <family val="3"/>
        <charset val="134"/>
      </rPr>
      <t>浦莲幼儿园</t>
    </r>
  </si>
  <si>
    <t>浦莲幼儿园（佳兴）</t>
    <phoneticPr fontId="2" type="noConversion"/>
  </si>
  <si>
    <r>
      <t>2018</t>
    </r>
    <r>
      <rPr>
        <sz val="10"/>
        <rFont val="宋体"/>
        <family val="3"/>
        <charset val="134"/>
      </rPr>
      <t>年</t>
    </r>
    <r>
      <rPr>
        <sz val="10"/>
        <rFont val="Arial"/>
        <family val="2"/>
      </rPr>
      <t>8</t>
    </r>
    <r>
      <rPr>
        <sz val="10"/>
        <rFont val="宋体"/>
        <family val="3"/>
        <charset val="134"/>
      </rPr>
      <t>月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日派驻</t>
    </r>
    <phoneticPr fontId="2" type="noConversion"/>
  </si>
  <si>
    <t>上海市闵行区浦江瑞和城幼儿园</t>
  </si>
  <si>
    <t>上海市闵行区浦江瑞和城幼儿园鲁康分园</t>
    <phoneticPr fontId="2" type="noConversion"/>
  </si>
  <si>
    <t>浦江镇</t>
    <phoneticPr fontId="2" type="noConversion"/>
  </si>
  <si>
    <r>
      <rPr>
        <sz val="10"/>
        <rFont val="宋体"/>
        <family val="3"/>
        <charset val="134"/>
      </rPr>
      <t>浦航幼儿园</t>
    </r>
  </si>
  <si>
    <t>浦航幼儿园（中城）</t>
    <phoneticPr fontId="2" type="noConversion"/>
  </si>
  <si>
    <t>上海市闵行浦江闸航路幼儿园</t>
    <phoneticPr fontId="2" type="noConversion"/>
  </si>
  <si>
    <t>浦江社校</t>
    <phoneticPr fontId="45" type="noConversion"/>
  </si>
  <si>
    <t>其他</t>
    <phoneticPr fontId="2" type="noConversion"/>
  </si>
  <si>
    <t>不叠加护校</t>
    <phoneticPr fontId="2" type="noConversion"/>
  </si>
  <si>
    <t>塘湾中心幼儿园</t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</si>
  <si>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</si>
  <si>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九</t>
    <phoneticPr fontId="2" type="noConversion"/>
  </si>
  <si>
    <r>
      <rPr>
        <sz val="10"/>
        <rFont val="宋体"/>
        <family val="3"/>
        <charset val="134"/>
      </rPr>
      <t>吴泾三幼</t>
    </r>
  </si>
  <si>
    <t>华东师范大学闵行永德实验幼儿园</t>
    <phoneticPr fontId="2" type="noConversion"/>
  </si>
  <si>
    <r>
      <t>2018</t>
    </r>
    <r>
      <rPr>
        <sz val="10"/>
        <rFont val="宋体"/>
        <family val="3"/>
        <charset val="134"/>
      </rPr>
      <t>年</t>
    </r>
    <r>
      <rPr>
        <sz val="10"/>
        <rFont val="Arial"/>
        <family val="2"/>
      </rPr>
      <t>7</t>
    </r>
    <r>
      <rPr>
        <sz val="10"/>
        <rFont val="宋体"/>
        <family val="3"/>
        <charset val="134"/>
      </rPr>
      <t>月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日派驻</t>
    </r>
    <phoneticPr fontId="2" type="noConversion"/>
  </si>
  <si>
    <t>华东师范大学闵行永德实验幼儿园（尚德）</t>
    <phoneticPr fontId="2" type="noConversion"/>
  </si>
  <si>
    <r>
      <rPr>
        <sz val="10"/>
        <rFont val="宋体"/>
        <family val="3"/>
        <charset val="134"/>
      </rPr>
      <t>吴泾社区学校</t>
    </r>
  </si>
  <si>
    <r>
      <rPr>
        <sz val="10"/>
        <rFont val="宋体"/>
        <family val="3"/>
        <charset val="134"/>
      </rPr>
      <t>上海马桥强恕学校</t>
    </r>
  </si>
  <si>
    <t>九年一贯制</t>
    <phoneticPr fontId="2" type="noConversion"/>
  </si>
  <si>
    <r>
      <t>2022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</si>
  <si>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上海交通大学附属闵行马桥实验学校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</si>
  <si>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</si>
  <si>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闵行区马桥文来外国语小学</t>
    </r>
  </si>
  <si>
    <t>小学</t>
    <phoneticPr fontId="2" type="noConversion"/>
  </si>
  <si>
    <t>闵行区马桥文来外国语小学（西校）</t>
    <phoneticPr fontId="2" type="noConversion"/>
  </si>
  <si>
    <r>
      <rPr>
        <sz val="10"/>
        <rFont val="宋体"/>
        <family val="3"/>
        <charset val="134"/>
      </rPr>
      <t>马桥复旦实验中学</t>
    </r>
  </si>
  <si>
    <t>初中</t>
    <phoneticPr fontId="2" type="noConversion"/>
  </si>
  <si>
    <r>
      <rPr>
        <sz val="10"/>
        <rFont val="宋体"/>
        <family val="3"/>
        <charset val="134"/>
      </rPr>
      <t>上虹中学</t>
    </r>
    <phoneticPr fontId="2" type="noConversion"/>
  </si>
  <si>
    <r>
      <rPr>
        <sz val="10"/>
        <rFont val="宋体"/>
        <family val="3"/>
        <charset val="134"/>
      </rPr>
      <t>虹桥中心小学</t>
    </r>
    <phoneticPr fontId="2" type="noConversion"/>
  </si>
  <si>
    <t>华东师范大学附属闵行虹桥学校（原金汇实验学校）</t>
    <phoneticPr fontId="2" type="noConversion"/>
  </si>
  <si>
    <t>2020年6月新增1人，人车分离</t>
    <phoneticPr fontId="2" type="noConversion"/>
  </si>
  <si>
    <r>
      <rPr>
        <sz val="10"/>
        <rFont val="宋体"/>
        <family val="3"/>
        <charset val="134"/>
      </rPr>
      <t>龙柏中学</t>
    </r>
    <phoneticPr fontId="2" type="noConversion"/>
  </si>
  <si>
    <r>
      <rPr>
        <sz val="10"/>
        <rFont val="宋体"/>
        <family val="3"/>
        <charset val="134"/>
      </rPr>
      <t>龙柏小学</t>
    </r>
    <phoneticPr fontId="2" type="noConversion"/>
  </si>
  <si>
    <r>
      <rPr>
        <sz val="10"/>
        <rFont val="宋体"/>
        <family val="3"/>
        <charset val="134"/>
      </rPr>
      <t>七宝二中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</si>
  <si>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</si>
  <si>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七宝实验中学</t>
    </r>
    <phoneticPr fontId="2" type="noConversion"/>
  </si>
  <si>
    <r>
      <rPr>
        <sz val="10"/>
        <rFont val="宋体"/>
        <family val="3"/>
        <charset val="134"/>
      </rPr>
      <t>明强小学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</si>
  <si>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6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</si>
  <si>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明强小学（西校）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</si>
  <si>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人、边门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</si>
  <si>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明强小学（宝南路教学点）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</si>
  <si>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月起借用交大农学院作为临时教学点</t>
    </r>
    <phoneticPr fontId="2" type="noConversion"/>
  </si>
  <si>
    <r>
      <rPr>
        <sz val="10"/>
        <rFont val="宋体"/>
        <family val="3"/>
        <charset val="134"/>
      </rPr>
      <t>黎明小学</t>
    </r>
    <phoneticPr fontId="2" type="noConversion"/>
  </si>
  <si>
    <r>
      <rPr>
        <sz val="10"/>
        <rFont val="宋体"/>
        <family val="3"/>
        <charset val="134"/>
      </rPr>
      <t>七宝实验小学</t>
    </r>
    <phoneticPr fontId="2" type="noConversion"/>
  </si>
  <si>
    <r>
      <rPr>
        <sz val="10"/>
        <rFont val="宋体"/>
        <family val="3"/>
        <charset val="134"/>
      </rPr>
      <t>航华中学</t>
    </r>
    <phoneticPr fontId="2" type="noConversion"/>
  </si>
  <si>
    <r>
      <rPr>
        <sz val="10"/>
        <rFont val="宋体"/>
        <family val="3"/>
        <charset val="134"/>
      </rPr>
      <t>航华二中</t>
    </r>
    <phoneticPr fontId="2" type="noConversion"/>
  </si>
  <si>
    <r>
      <rPr>
        <sz val="10"/>
        <rFont val="宋体"/>
        <family val="3"/>
        <charset val="134"/>
      </rPr>
      <t>航华二小</t>
    </r>
    <phoneticPr fontId="2" type="noConversion"/>
  </si>
  <si>
    <r>
      <rPr>
        <sz val="10"/>
        <rFont val="宋体"/>
        <family val="3"/>
        <charset val="134"/>
      </rPr>
      <t>明强第二小学</t>
    </r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</si>
  <si>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r>
      <rPr>
        <sz val="10"/>
        <color indexed="8"/>
        <rFont val="Arial"/>
        <family val="2"/>
      </rPr>
      <t>,2023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月起新增人行门出口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</si>
  <si>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七宝三中（农学院教学点）</t>
    <phoneticPr fontId="2" type="noConversion"/>
  </si>
  <si>
    <t>2023年7月起借用交大农学院校区新开教学点</t>
    <phoneticPr fontId="2" type="noConversion"/>
  </si>
  <si>
    <t>上海市七宝实验小学（大上海校区）</t>
    <phoneticPr fontId="2" type="noConversion"/>
  </si>
  <si>
    <t>人车分离增派一名保安</t>
    <phoneticPr fontId="2" type="noConversion"/>
  </si>
  <si>
    <r>
      <rPr>
        <sz val="10"/>
        <rFont val="宋体"/>
        <family val="3"/>
        <charset val="134"/>
      </rPr>
      <t>纪王学校</t>
    </r>
    <phoneticPr fontId="2" type="noConversion"/>
  </si>
  <si>
    <r>
      <rPr>
        <sz val="10"/>
        <color indexed="8"/>
        <rFont val="宋体"/>
        <family val="3"/>
        <charset val="134"/>
      </rPr>
      <t>初中部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人、小学部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</si>
  <si>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诸翟学校</t>
    </r>
    <phoneticPr fontId="2" type="noConversion"/>
  </si>
  <si>
    <r>
      <rPr>
        <sz val="10"/>
        <rFont val="宋体"/>
        <family val="3"/>
        <charset val="134"/>
      </rPr>
      <t>华漕学校</t>
    </r>
    <phoneticPr fontId="2" type="noConversion"/>
  </si>
  <si>
    <r>
      <rPr>
        <sz val="10"/>
        <rFont val="宋体"/>
        <family val="3"/>
        <charset val="134"/>
      </rPr>
      <t>北桥中学</t>
    </r>
    <phoneticPr fontId="2" type="noConversion"/>
  </si>
  <si>
    <r>
      <rPr>
        <sz val="10"/>
        <rFont val="宋体"/>
        <family val="3"/>
        <charset val="134"/>
      </rPr>
      <t>颛桥小学</t>
    </r>
    <phoneticPr fontId="2" type="noConversion"/>
  </si>
  <si>
    <t>田园外小金都校区</t>
    <phoneticPr fontId="2" type="noConversion"/>
  </si>
  <si>
    <t>上海市闵行区田园第二外语实验小学</t>
    <phoneticPr fontId="2" type="noConversion"/>
  </si>
  <si>
    <t>上海市闵行区田园外国语中学</t>
    <phoneticPr fontId="2" type="noConversion"/>
  </si>
  <si>
    <r>
      <rPr>
        <sz val="10"/>
        <rFont val="宋体"/>
        <family val="3"/>
        <charset val="134"/>
      </rPr>
      <t>罗阳中学</t>
    </r>
    <phoneticPr fontId="2" type="noConversion"/>
  </si>
  <si>
    <r>
      <rPr>
        <sz val="10"/>
        <rFont val="宋体"/>
        <family val="3"/>
        <charset val="134"/>
      </rPr>
      <t>罗阳小学</t>
    </r>
    <phoneticPr fontId="2" type="noConversion"/>
  </si>
  <si>
    <t>闵行区第三实验小学（原曹行小学）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</si>
  <si>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</si>
  <si>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上海中医药大学附属闵行蔷薇小学（晶城）</t>
    <phoneticPr fontId="2" type="noConversion"/>
  </si>
  <si>
    <r>
      <rPr>
        <sz val="10"/>
        <rFont val="宋体"/>
        <family val="3"/>
        <charset val="134"/>
      </rPr>
      <t>晶城中学</t>
    </r>
  </si>
  <si>
    <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</si>
  <si>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浦江二中</t>
    </r>
  </si>
  <si>
    <r>
      <rPr>
        <sz val="10"/>
        <rFont val="宋体"/>
        <family val="3"/>
        <charset val="134"/>
      </rPr>
      <t>浦江三中</t>
    </r>
  </si>
  <si>
    <r>
      <rPr>
        <sz val="10"/>
        <rFont val="宋体"/>
        <family val="3"/>
        <charset val="134"/>
      </rPr>
      <t>浦江二小</t>
    </r>
  </si>
  <si>
    <r>
      <t>2020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日起新增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人人车分离</t>
    </r>
    <phoneticPr fontId="2" type="noConversion"/>
  </si>
  <si>
    <r>
      <rPr>
        <sz val="10"/>
        <rFont val="宋体"/>
        <family val="3"/>
        <charset val="134"/>
      </rPr>
      <t>浦江三小</t>
    </r>
  </si>
  <si>
    <t>上海市闵行区浦航实验中学</t>
    <phoneticPr fontId="2" type="noConversion"/>
  </si>
  <si>
    <t>上海市闵行区浦航实验中学新增校区</t>
    <phoneticPr fontId="2" type="noConversion"/>
  </si>
  <si>
    <r>
      <rPr>
        <sz val="10"/>
        <rFont val="宋体"/>
        <family val="3"/>
        <charset val="134"/>
      </rPr>
      <t>浦汇小学</t>
    </r>
  </si>
  <si>
    <t>上海市闵行区福山实验学校</t>
    <phoneticPr fontId="2" type="noConversion"/>
  </si>
  <si>
    <t>上海世外教育附属浦江外国语学校</t>
    <phoneticPr fontId="2" type="noConversion"/>
  </si>
  <si>
    <r>
      <rPr>
        <sz val="10"/>
        <rFont val="宋体"/>
        <family val="3"/>
        <charset val="134"/>
      </rPr>
      <t>景东小学</t>
    </r>
  </si>
  <si>
    <t>马桥小学</t>
    <phoneticPr fontId="2" type="noConversion"/>
  </si>
  <si>
    <r>
      <rPr>
        <sz val="10"/>
        <color indexed="8"/>
        <rFont val="宋体"/>
        <family val="3"/>
        <charset val="134"/>
      </rPr>
      <t>华星小学</t>
    </r>
  </si>
  <si>
    <r>
      <rPr>
        <sz val="10"/>
        <color indexed="8"/>
        <rFont val="宋体"/>
        <family val="3"/>
        <charset val="134"/>
      </rPr>
      <t>银星小学</t>
    </r>
  </si>
  <si>
    <r>
      <rPr>
        <sz val="10"/>
        <rFont val="宋体"/>
        <family val="3"/>
        <charset val="134"/>
      </rPr>
      <t>文馨小学</t>
    </r>
  </si>
  <si>
    <r>
      <rPr>
        <sz val="10"/>
        <rFont val="宋体"/>
        <family val="3"/>
        <charset val="134"/>
      </rPr>
      <t>文汇小学</t>
    </r>
  </si>
  <si>
    <t>塘湾小学</t>
    <phoneticPr fontId="2" type="noConversion"/>
  </si>
  <si>
    <r>
      <rPr>
        <sz val="10"/>
        <rFont val="宋体"/>
        <family val="3"/>
        <charset val="134"/>
      </rPr>
      <t>华虹小学</t>
    </r>
  </si>
  <si>
    <r>
      <rPr>
        <sz val="10"/>
        <rFont val="宋体"/>
        <family val="3"/>
        <charset val="134"/>
      </rPr>
      <t>华博利星行（华漕）</t>
    </r>
  </si>
  <si>
    <r>
      <rPr>
        <sz val="10"/>
        <rFont val="宋体"/>
        <family val="3"/>
        <charset val="134"/>
      </rPr>
      <t>华博利星行（纪王）</t>
    </r>
  </si>
  <si>
    <t>镇属</t>
  </si>
  <si>
    <t>学校</t>
  </si>
  <si>
    <t>园部</t>
    <phoneticPr fontId="1" type="noConversion"/>
  </si>
  <si>
    <t>教育教辅后勤应配用工人数(2024人保提供）</t>
    <phoneticPr fontId="1" type="noConversion"/>
  </si>
  <si>
    <t>教育教辅后勤应配用工人数(正常额度+临时额度）</t>
  </si>
  <si>
    <t>现有辅助用工人数（2024年人保科提供）</t>
    <phoneticPr fontId="1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</si>
  <si>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</si>
  <si>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</si>
  <si>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</si>
  <si>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</si>
  <si>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</si>
  <si>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</si>
  <si>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</si>
  <si>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</si>
  <si>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</si>
  <si>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</si>
  <si>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社保公积金</t>
    <phoneticPr fontId="1" type="noConversion"/>
  </si>
  <si>
    <t>闵行区龙柏第二幼儿园</t>
  </si>
  <si>
    <t>学前</t>
    <phoneticPr fontId="1" type="noConversion"/>
  </si>
  <si>
    <t>闵行区龙柏第一幼儿园</t>
  </si>
  <si>
    <t>闵行区虹鹿幼儿园</t>
  </si>
  <si>
    <t>闵行区虹桥中心幼儿园</t>
  </si>
  <si>
    <t>闵行区虹桥小学</t>
  </si>
  <si>
    <t>上海市闵行区上虹中学</t>
  </si>
  <si>
    <t>虹桥合计</t>
  </si>
  <si>
    <t>闵行区华漕镇金色幼儿园</t>
  </si>
  <si>
    <t>闵行区华漕镇中心幼儿园</t>
  </si>
  <si>
    <t>闵行区诸翟中心幼儿园</t>
  </si>
  <si>
    <t>闵行区华漕镇纪王幼儿园</t>
  </si>
  <si>
    <t>闵行区纪王学校</t>
  </si>
  <si>
    <t>季乐路幼儿园</t>
    <phoneticPr fontId="1" type="noConversion"/>
  </si>
  <si>
    <t>华漕合计</t>
  </si>
  <si>
    <t>闵行区马桥实验幼儿园</t>
  </si>
  <si>
    <t>闵行区马桥富杰幼儿园</t>
  </si>
  <si>
    <t>闵行区马桥启英幼儿园</t>
  </si>
  <si>
    <t>闵行区马桥元祥幼儿园</t>
  </si>
  <si>
    <t>闵行区马桥实验学校</t>
    <phoneticPr fontId="1" type="noConversion"/>
  </si>
  <si>
    <t>闵行区马桥文来外国语小学</t>
  </si>
  <si>
    <t>闵行区马桥强恕学校</t>
  </si>
  <si>
    <t>马桥复旦万科实验中学</t>
  </si>
  <si>
    <t>马桥富卓幼儿园</t>
  </si>
  <si>
    <t>马桥富国幼儿园</t>
  </si>
  <si>
    <t>马桥合计</t>
  </si>
  <si>
    <t>闵行区晶华坊幼儿园</t>
  </si>
  <si>
    <t>闵行区罗阳河畔幼儿园</t>
  </si>
  <si>
    <t>闵行区春申景城幼儿园</t>
  </si>
  <si>
    <t>闵行区蔷薇小学</t>
  </si>
  <si>
    <t>闵行区晶城中学</t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</si>
  <si>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</si>
  <si>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</si>
  <si>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</si>
  <si>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</si>
  <si>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</si>
  <si>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闵行区浦江镇第三幼儿园</t>
  </si>
  <si>
    <t>闵行区浦江镇第二幼儿园</t>
  </si>
  <si>
    <t>上戏附校</t>
    <phoneticPr fontId="1" type="noConversion"/>
  </si>
  <si>
    <t>闵行区浦汇小学</t>
  </si>
  <si>
    <t>闵行区浦江第三小学</t>
  </si>
  <si>
    <t>闵行区浦江第二小学</t>
  </si>
  <si>
    <t>闵行区浦江二中</t>
  </si>
  <si>
    <t>闵行区浦江三中</t>
  </si>
  <si>
    <t>闵行区浦航实验中学</t>
    <phoneticPr fontId="1" type="noConversion"/>
  </si>
  <si>
    <t>闵行区浦航幼儿园</t>
  </si>
  <si>
    <t>闵行区浦江瑞和城幼儿园</t>
  </si>
  <si>
    <t>闵行区浦江闸航路幼儿园</t>
  </si>
  <si>
    <t>世外浦江学校</t>
  </si>
  <si>
    <t>浦江合计</t>
  </si>
  <si>
    <t>闵行区春欣幼儿园</t>
  </si>
  <si>
    <t>闵行区七宝实验幼儿园</t>
  </si>
  <si>
    <t>闵行区星辰幼儿园</t>
  </si>
  <si>
    <t>闵行区七宝中心幼儿园</t>
  </si>
  <si>
    <t>闵行区航华二幼</t>
  </si>
  <si>
    <t>闵行区航华二小</t>
  </si>
  <si>
    <t>闵行区七宝第三中学</t>
  </si>
  <si>
    <t>闵行区七宝第二中学</t>
  </si>
  <si>
    <t>七宝皇都幼儿园</t>
  </si>
  <si>
    <t>七宝幼儿园</t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</si>
  <si>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</si>
  <si>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</si>
  <si>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</si>
  <si>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</si>
  <si>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</si>
  <si>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闵行区景东小学</t>
  </si>
  <si>
    <t>吴泾合计</t>
  </si>
  <si>
    <t>闵行区康城幼儿园</t>
  </si>
  <si>
    <t>闵行区佳佳中心幼儿园</t>
  </si>
  <si>
    <t>闵行区明星学校</t>
  </si>
  <si>
    <t>莘庄合计</t>
  </si>
  <si>
    <t>上海师范大学闵行实验幼儿园</t>
  </si>
  <si>
    <t>闵行区君莲幼儿园</t>
  </si>
  <si>
    <t>闵行区颛桥镇第一幼儿园</t>
  </si>
  <si>
    <t>闵行区颛桥镇幼儿园</t>
  </si>
  <si>
    <t>闵行区田园外语实验小学</t>
  </si>
  <si>
    <t>闵行区田园第二外语实验小学</t>
  </si>
  <si>
    <t>闵行区颛桥中心小学</t>
  </si>
  <si>
    <t>闵行区北桥中学</t>
  </si>
  <si>
    <t>闵行区颛桥中学</t>
  </si>
  <si>
    <t>闵行区君莲学校</t>
  </si>
  <si>
    <t>田园外国语中学</t>
  </si>
  <si>
    <t>田园都市幼儿园</t>
  </si>
  <si>
    <t>颛桥第二幼儿园</t>
  </si>
  <si>
    <t>颛桥合计</t>
  </si>
  <si>
    <t>管理费
（2025年全年）</t>
    <phoneticPr fontId="1" type="noConversion"/>
  </si>
  <si>
    <t>华东师范大学附属闵行虹桥学校</t>
  </si>
  <si>
    <t>2024年残疾人就业保障预算调整表</t>
    <phoneticPr fontId="1" type="noConversion"/>
  </si>
  <si>
    <t>镇属</t>
    <phoneticPr fontId="1" type="noConversion"/>
  </si>
  <si>
    <t>单位</t>
    <phoneticPr fontId="1" type="noConversion"/>
  </si>
  <si>
    <t>全年需求</t>
    <phoneticPr fontId="1" type="noConversion"/>
  </si>
  <si>
    <t>一次分配</t>
    <phoneticPr fontId="1" type="noConversion"/>
  </si>
  <si>
    <t>莘庄</t>
    <phoneticPr fontId="1" type="noConversion"/>
  </si>
  <si>
    <t>闵行区佳佳中心幼儿园</t>
    <phoneticPr fontId="2" type="noConversion"/>
  </si>
  <si>
    <t>上海市闵行区康城幼儿园</t>
    <phoneticPr fontId="2" type="noConversion"/>
  </si>
  <si>
    <t>上海市闵行区实验幼儿园</t>
    <phoneticPr fontId="2" type="noConversion"/>
  </si>
  <si>
    <t>上海市闵行区莘庄镇社区学校</t>
  </si>
  <si>
    <t>吴泾</t>
    <phoneticPr fontId="1" type="noConversion"/>
  </si>
  <si>
    <t>七宝</t>
    <phoneticPr fontId="1" type="noConversion"/>
  </si>
  <si>
    <t>上海市闵行区七宝明强第二小学</t>
  </si>
  <si>
    <t>闵行区七宝中心幼儿园</t>
    <phoneticPr fontId="2" type="noConversion"/>
  </si>
  <si>
    <t>上海市闵行区星辰幼儿园</t>
    <phoneticPr fontId="2" type="noConversion"/>
  </si>
  <si>
    <t>上海市闵行区春欣幼儿园</t>
    <phoneticPr fontId="2" type="noConversion"/>
  </si>
  <si>
    <t>上海市闵行区七宝实验幼儿园</t>
    <phoneticPr fontId="2" type="noConversion"/>
  </si>
  <si>
    <t>闵行区航华第二幼儿园</t>
    <phoneticPr fontId="2" type="noConversion"/>
  </si>
  <si>
    <t>上海市闵行区七宝皇都幼儿园</t>
    <phoneticPr fontId="2" type="noConversion"/>
  </si>
  <si>
    <t>上海市闵行区七宝明强幼儿园</t>
    <phoneticPr fontId="2" type="noConversion"/>
  </si>
  <si>
    <t>上海市闵行区七宝幼儿园</t>
    <phoneticPr fontId="2" type="noConversion"/>
  </si>
  <si>
    <t>上海市闵行区启英宝盛幼儿园</t>
    <phoneticPr fontId="2" type="noConversion"/>
  </si>
  <si>
    <t>上海市闵行区七宝镇社区学校</t>
  </si>
  <si>
    <t>浦江</t>
    <phoneticPr fontId="1" type="noConversion"/>
  </si>
  <si>
    <t>上海市福山实验学校</t>
  </si>
  <si>
    <t>上海市闵行区浦江镇第二幼儿园</t>
    <phoneticPr fontId="2" type="noConversion"/>
  </si>
  <si>
    <t>上海市闵行区浦江镇第三幼儿园</t>
    <phoneticPr fontId="2" type="noConversion"/>
  </si>
  <si>
    <t>上海市闵行区浦江宝邸幼儿园</t>
    <phoneticPr fontId="2" type="noConversion"/>
  </si>
  <si>
    <t>上海市闵行区浦江闸航路幼儿园</t>
    <phoneticPr fontId="2" type="noConversion"/>
  </si>
  <si>
    <t>上海市闵行区浦江瑞和城幼儿园</t>
    <phoneticPr fontId="2" type="noConversion"/>
  </si>
  <si>
    <t>上海市闵行区浦瑞幼儿园</t>
    <phoneticPr fontId="2" type="noConversion"/>
  </si>
  <si>
    <t>上海市闵行区浦航幼儿园</t>
    <phoneticPr fontId="2" type="noConversion"/>
  </si>
  <si>
    <t>上海市闵行区浦莲幼儿园</t>
    <phoneticPr fontId="2" type="noConversion"/>
  </si>
  <si>
    <t>上海市闵行区浦江镇社区学校</t>
  </si>
  <si>
    <t>梅陇</t>
    <phoneticPr fontId="1" type="noConversion"/>
  </si>
  <si>
    <t>华东理工大学附属闵行梅陇实验学校</t>
    <phoneticPr fontId="2" type="noConversion"/>
  </si>
  <si>
    <t>上海市罗阳中学</t>
    <phoneticPr fontId="2" type="noConversion"/>
  </si>
  <si>
    <t>上海市七宝中学附属闵行金都实验中学</t>
    <phoneticPr fontId="2" type="noConversion"/>
  </si>
  <si>
    <t>上海中医药大学附属闵行晶城中学</t>
    <phoneticPr fontId="2" type="noConversion"/>
  </si>
  <si>
    <t>上海市闵行区曹行小学</t>
    <phoneticPr fontId="2" type="noConversion"/>
  </si>
  <si>
    <t>闵行区罗阳小学</t>
    <phoneticPr fontId="2" type="noConversion"/>
  </si>
  <si>
    <t>上海中医药大学附属闵行蔷薇小学</t>
    <phoneticPr fontId="2" type="noConversion"/>
  </si>
  <si>
    <t>闵行区梅陇镇中心幼儿园</t>
    <phoneticPr fontId="2" type="noConversion"/>
  </si>
  <si>
    <t>闵行区曹行中心幼儿园</t>
    <phoneticPr fontId="2" type="noConversion"/>
  </si>
  <si>
    <t>上海市闵行区春申景城幼儿园</t>
    <phoneticPr fontId="2" type="noConversion"/>
  </si>
  <si>
    <t>上海市闵行区罗阳河畔幼儿园</t>
    <phoneticPr fontId="2" type="noConversion"/>
  </si>
  <si>
    <t>上海市闵行区晶华坊幼儿园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</si>
  <si>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</si>
  <si>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</si>
  <si>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上海市闵行区梅陇永联幼儿园</t>
    <phoneticPr fontId="2" type="noConversion"/>
  </si>
  <si>
    <t>上海市闵行区梅陇镇社区学校</t>
    <phoneticPr fontId="2" type="noConversion"/>
  </si>
  <si>
    <t>马桥</t>
    <phoneticPr fontId="1" type="noConversion"/>
  </si>
  <si>
    <t>上海市闵行区马桥镇社区学校</t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</si>
  <si>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</si>
  <si>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</si>
  <si>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</si>
  <si>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</si>
  <si>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</si>
  <si>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</si>
  <si>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</si>
  <si>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</si>
  <si>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</si>
  <si>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</si>
  <si>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</si>
  <si>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华漕</t>
    <phoneticPr fontId="1" type="noConversion"/>
  </si>
  <si>
    <t>上海市闵行区华漕学校</t>
    <phoneticPr fontId="1" type="noConversion"/>
  </si>
  <si>
    <t>上海市闵行区诸翟学校</t>
    <phoneticPr fontId="1" type="noConversion"/>
  </si>
  <si>
    <t>上海市闵行区纪王学校</t>
    <phoneticPr fontId="1" type="noConversion"/>
  </si>
  <si>
    <t>上海市闵行区华漕中心幼儿园</t>
    <phoneticPr fontId="1" type="noConversion"/>
  </si>
  <si>
    <t>上海市闵行区华诸翟中心幼儿园</t>
    <phoneticPr fontId="1" type="noConversion"/>
  </si>
  <si>
    <t>闵行区华漕镇纪王幼儿园</t>
    <phoneticPr fontId="1" type="noConversion"/>
  </si>
  <si>
    <t>上海市闵行区华漕镇金色幼儿园</t>
    <phoneticPr fontId="1" type="noConversion"/>
  </si>
  <si>
    <t>上海市闵行区华漕镇社区学校</t>
    <phoneticPr fontId="1" type="noConversion"/>
  </si>
  <si>
    <t>颛桥</t>
    <phoneticPr fontId="1" type="noConversion"/>
  </si>
  <si>
    <t>上海市闵行区颛桥中心小学</t>
  </si>
  <si>
    <t>上海市闵行区北桥中心小学</t>
  </si>
  <si>
    <t>上海市闵行区颛桥镇第一幼儿园</t>
    <phoneticPr fontId="2" type="noConversion"/>
  </si>
  <si>
    <t>上海市闵行区颛桥镇幼儿园</t>
    <phoneticPr fontId="2" type="noConversion"/>
  </si>
  <si>
    <t>上海市闵行区君莲幼儿园</t>
    <phoneticPr fontId="2" type="noConversion"/>
  </si>
  <si>
    <t>上海师范大学闵行实验幼儿园</t>
    <phoneticPr fontId="2" type="noConversion"/>
  </si>
  <si>
    <t>上海市闵行区颛桥镇社区学校</t>
  </si>
  <si>
    <t>上海市闵行区颛桥镇第二幼儿园</t>
    <phoneticPr fontId="2" type="noConversion"/>
  </si>
  <si>
    <t>上海市闵行区颛桥镇田园都市幼儿园</t>
    <phoneticPr fontId="2" type="noConversion"/>
  </si>
  <si>
    <t>虹桥</t>
    <phoneticPr fontId="1" type="noConversion"/>
  </si>
  <si>
    <t>华东师范大学附属闵行虹桥学校</t>
    <phoneticPr fontId="2" type="noConversion"/>
  </si>
  <si>
    <t>闵行区虹桥中心幼儿园</t>
    <phoneticPr fontId="2" type="noConversion"/>
  </si>
  <si>
    <t>上海市闵行区虹鹿幼儿园</t>
    <phoneticPr fontId="2" type="noConversion"/>
  </si>
  <si>
    <t>闵行区龙柏第一幼儿园</t>
    <phoneticPr fontId="2" type="noConversion"/>
  </si>
  <si>
    <t>闵行区龙柏第二幼儿园</t>
    <phoneticPr fontId="2" type="noConversion"/>
  </si>
  <si>
    <t>上海市闵行区虹桥镇社区学校</t>
  </si>
  <si>
    <t>2024年</t>
    <phoneticPr fontId="1" type="noConversion"/>
  </si>
  <si>
    <t>差异</t>
    <phoneticPr fontId="1" type="noConversion"/>
  </si>
  <si>
    <t>2025年基本支出预算表(莘庄）</t>
    <phoneticPr fontId="1" type="noConversion"/>
  </si>
  <si>
    <t>2025年基本支出预算表（吴泾）</t>
    <phoneticPr fontId="1" type="noConversion"/>
  </si>
  <si>
    <t>2025年基本支出预算表（七宝）</t>
    <phoneticPr fontId="2" type="noConversion"/>
  </si>
  <si>
    <t>2025年基本支出预算表（马桥）</t>
    <phoneticPr fontId="2" type="noConversion"/>
  </si>
  <si>
    <t>2025年基本支出预算表（华漕）</t>
    <phoneticPr fontId="2" type="noConversion"/>
  </si>
  <si>
    <t>2025年基本支出预算表（虹桥）</t>
    <phoneticPr fontId="2" type="noConversion"/>
  </si>
  <si>
    <t>2025年社区教育年初预算</t>
    <phoneticPr fontId="1" type="noConversion"/>
  </si>
  <si>
    <r>
      <rPr>
        <sz val="10"/>
        <rFont val="宋体"/>
        <family val="3"/>
        <charset val="134"/>
      </rPr>
      <t>七宝三中</t>
    </r>
    <phoneticPr fontId="2" type="noConversion"/>
  </si>
  <si>
    <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10</t>
    </r>
    <r>
      <rPr>
        <sz val="10"/>
        <color indexed="8"/>
        <rFont val="宋体"/>
        <family val="3"/>
        <charset val="134"/>
      </rPr>
      <t>月起新开北门增加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</si>
  <si>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t>2018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日派驻，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人（正门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人、边门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人）</t>
    </r>
    <phoneticPr fontId="2" type="noConversion"/>
  </si>
  <si>
    <r>
      <rPr>
        <sz val="10"/>
        <rFont val="宋体"/>
        <family val="3"/>
        <charset val="134"/>
      </rPr>
      <t>颛桥中学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</si>
  <si>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4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</si>
  <si>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9"/>
        <color indexed="8"/>
        <rFont val="宋体"/>
        <family val="3"/>
        <charset val="134"/>
      </rPr>
      <t>禁毒馆新增</t>
    </r>
    <r>
      <rPr>
        <sz val="9"/>
        <color indexed="8"/>
        <rFont val="Arial"/>
        <family val="2"/>
      </rPr>
      <t>3</t>
    </r>
    <r>
      <rPr>
        <sz val="9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</si>
  <si>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北桥中心小学</t>
    </r>
    <phoneticPr fontId="2" type="noConversion"/>
  </si>
  <si>
    <t>田园外小银都校区</t>
    <phoneticPr fontId="2" type="noConversion"/>
  </si>
  <si>
    <r>
      <rPr>
        <sz val="10"/>
        <rFont val="宋体"/>
        <family val="3"/>
        <charset val="134"/>
      </rPr>
      <t>君莲学校</t>
    </r>
    <phoneticPr fontId="2" type="noConversion"/>
  </si>
  <si>
    <t>考试中心搬离，小学部并入，一门5保安一门人车分离2保安</t>
    <phoneticPr fontId="2" type="noConversion"/>
  </si>
  <si>
    <t>2018年7月1日派驻</t>
    <phoneticPr fontId="2" type="noConversion"/>
  </si>
  <si>
    <t>华东理工大学附属闵行梅陇实验学校（中学）</t>
    <phoneticPr fontId="2" type="noConversion"/>
  </si>
  <si>
    <t>原曹行中学搬迁至新校舍并更名，另人车分离增加2人，合计7人</t>
    <phoneticPr fontId="2" type="noConversion"/>
  </si>
  <si>
    <t>华东理工大学附属闵行梅陇实验学校（小学）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</si>
  <si>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</si>
  <si>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浦江二小（浦涛路）</t>
    <phoneticPr fontId="2" type="noConversion"/>
  </si>
  <si>
    <t>原浦航小学</t>
    <phoneticPr fontId="2" type="noConversion"/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</si>
  <si>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10</t>
    </r>
    <r>
      <rPr>
        <sz val="10"/>
        <color indexed="8"/>
        <rFont val="宋体"/>
        <family val="3"/>
        <charset val="134"/>
      </rPr>
      <t>月新增人车分离一人</t>
    </r>
    <phoneticPr fontId="2" type="noConversion"/>
  </si>
  <si>
    <r>
      <t>2020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7</t>
    </r>
    <r>
      <rPr>
        <sz val="9"/>
        <color indexed="8"/>
        <rFont val="宋体"/>
        <family val="3"/>
        <charset val="134"/>
      </rPr>
      <t>月新增</t>
    </r>
    <r>
      <rPr>
        <sz val="9"/>
        <color indexed="8"/>
        <rFont val="Arial"/>
        <family val="2"/>
      </rPr>
      <t>6</t>
    </r>
    <r>
      <rPr>
        <sz val="9"/>
        <color indexed="8"/>
        <rFont val="宋体"/>
        <family val="3"/>
        <charset val="134"/>
      </rPr>
      <t>人，</t>
    </r>
    <r>
      <rPr>
        <sz val="9"/>
        <color indexed="8"/>
        <rFont val="Arial"/>
        <family val="2"/>
      </rPr>
      <t>2023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5</t>
    </r>
    <r>
      <rPr>
        <sz val="9"/>
        <color indexed="8"/>
        <rFont val="宋体"/>
        <family val="3"/>
        <charset val="134"/>
      </rPr>
      <t>月起车行门再增加</t>
    </r>
    <r>
      <rPr>
        <sz val="9"/>
        <color indexed="8"/>
        <rFont val="Arial"/>
        <family val="2"/>
      </rPr>
      <t>1</t>
    </r>
    <r>
      <rPr>
        <sz val="9"/>
        <color indexed="8"/>
        <rFont val="宋体"/>
        <family val="3"/>
        <charset val="134"/>
      </rPr>
      <t>人，</t>
    </r>
    <r>
      <rPr>
        <sz val="9"/>
        <color indexed="8"/>
        <rFont val="Arial"/>
        <family val="2"/>
      </rPr>
      <t>2023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9</t>
    </r>
    <r>
      <rPr>
        <sz val="9"/>
        <color indexed="8"/>
        <rFont val="宋体"/>
        <family val="3"/>
        <charset val="134"/>
      </rPr>
      <t>月起再增开人行门</t>
    </r>
    <r>
      <rPr>
        <sz val="9"/>
        <color indexed="8"/>
        <rFont val="Arial"/>
        <family val="2"/>
      </rPr>
      <t>5</t>
    </r>
    <r>
      <rPr>
        <sz val="9"/>
        <color indexed="8"/>
        <rFont val="宋体"/>
        <family val="3"/>
        <charset val="134"/>
      </rPr>
      <t>人</t>
    </r>
    <phoneticPr fontId="2" type="noConversion"/>
  </si>
  <si>
    <r>
      <t>2022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</si>
  <si>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闵行区马桥中心幼儿园</t>
    <phoneticPr fontId="2" type="noConversion"/>
  </si>
  <si>
    <t>幼儿园</t>
    <phoneticPr fontId="2" type="noConversion"/>
  </si>
  <si>
    <t>马桥镇</t>
    <phoneticPr fontId="2" type="noConversion"/>
  </si>
  <si>
    <t>七</t>
    <phoneticPr fontId="2" type="noConversion"/>
  </si>
  <si>
    <r>
      <rPr>
        <sz val="10"/>
        <rFont val="宋体"/>
        <family val="3"/>
        <charset val="134"/>
      </rPr>
      <t>闵行区马桥富杰幼儿园</t>
    </r>
    <r>
      <rPr>
        <sz val="10"/>
        <rFont val="Arial"/>
        <family val="2"/>
      </rPr>
      <t xml:space="preserve">              </t>
    </r>
    <phoneticPr fontId="2" type="noConversion"/>
  </si>
  <si>
    <r>
      <rPr>
        <sz val="10"/>
        <rFont val="宋体"/>
        <family val="3"/>
        <charset val="134"/>
      </rPr>
      <t>闵行区马桥富杰幼儿园银康分园</t>
    </r>
    <r>
      <rPr>
        <sz val="10"/>
        <rFont val="Arial"/>
        <family val="2"/>
      </rPr>
      <t xml:space="preserve">            </t>
    </r>
    <phoneticPr fontId="2" type="noConversion"/>
  </si>
  <si>
    <t>上海市闵行区马桥富卓幼儿园</t>
    <phoneticPr fontId="2" type="noConversion"/>
  </si>
  <si>
    <t>上海市闵行区马桥富国幼儿园</t>
    <phoneticPr fontId="2" type="noConversion"/>
  </si>
  <si>
    <r>
      <t>2020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月新增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</si>
  <si>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虹鹿幼儿园</t>
    </r>
    <phoneticPr fontId="2" type="noConversion"/>
  </si>
  <si>
    <t>虹桥镇</t>
    <phoneticPr fontId="2" type="noConversion"/>
  </si>
  <si>
    <r>
      <rPr>
        <sz val="10"/>
        <rFont val="宋体"/>
        <family val="3"/>
        <charset val="134"/>
      </rPr>
      <t>虹鹿井亭分园</t>
    </r>
    <phoneticPr fontId="2" type="noConversion"/>
  </si>
  <si>
    <t>虹桥中心幼儿园古北分园</t>
    <phoneticPr fontId="2" type="noConversion"/>
  </si>
  <si>
    <r>
      <rPr>
        <sz val="10"/>
        <rFont val="宋体"/>
        <family val="3"/>
        <charset val="134"/>
      </rPr>
      <t>龙柏一幼</t>
    </r>
    <phoneticPr fontId="2" type="noConversion"/>
  </si>
  <si>
    <t>龙柏一幼分园</t>
    <phoneticPr fontId="2" type="noConversion"/>
  </si>
  <si>
    <r>
      <rPr>
        <sz val="10"/>
        <rFont val="宋体"/>
        <family val="3"/>
        <charset val="134"/>
      </rPr>
      <t>龙柏二幼</t>
    </r>
    <phoneticPr fontId="2" type="noConversion"/>
  </si>
  <si>
    <t>龙柏二幼分园</t>
    <phoneticPr fontId="2" type="noConversion"/>
  </si>
  <si>
    <t>华东师范大学附属闵行虹桥幼儿园</t>
    <phoneticPr fontId="2" type="noConversion"/>
  </si>
  <si>
    <r>
      <rPr>
        <sz val="10"/>
        <rFont val="宋体"/>
        <family val="3"/>
        <charset val="134"/>
      </rPr>
      <t>佳佳幼儿园</t>
    </r>
    <phoneticPr fontId="2" type="noConversion"/>
  </si>
  <si>
    <t>莘庄镇</t>
    <phoneticPr fontId="2" type="noConversion"/>
  </si>
  <si>
    <t>佳佳幼儿园（联东）</t>
    <phoneticPr fontId="2" type="noConversion"/>
  </si>
  <si>
    <t>四</t>
    <phoneticPr fontId="2" type="noConversion"/>
  </si>
  <si>
    <t>佳佳幼儿园（都市）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</si>
  <si>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年新开办（民办维多利亚幼儿园搬迁，校舍用于佳佳都市园）</t>
    </r>
    <phoneticPr fontId="2" type="noConversion"/>
  </si>
  <si>
    <r>
      <rPr>
        <sz val="10"/>
        <rFont val="宋体"/>
        <family val="3"/>
        <charset val="134"/>
      </rPr>
      <t>康城幼儿园</t>
    </r>
    <phoneticPr fontId="2" type="noConversion"/>
  </si>
  <si>
    <t>康城幼儿园新梅分园</t>
    <phoneticPr fontId="2" type="noConversion"/>
  </si>
  <si>
    <t>原民办新梅幼儿园，2023年7月起由康城幼儿园接管</t>
    <phoneticPr fontId="2" type="noConversion"/>
  </si>
  <si>
    <t>上海市闵行区实验幼儿园</t>
    <phoneticPr fontId="2" type="noConversion"/>
  </si>
  <si>
    <r>
      <rPr>
        <sz val="10"/>
        <rFont val="宋体"/>
        <family val="3"/>
        <charset val="134"/>
      </rPr>
      <t>七宝中心幼儿园</t>
    </r>
    <phoneticPr fontId="2" type="noConversion"/>
  </si>
  <si>
    <t>七宝镇</t>
    <phoneticPr fontId="2" type="noConversion"/>
  </si>
  <si>
    <r>
      <rPr>
        <sz val="10"/>
        <rFont val="宋体"/>
        <family val="3"/>
        <charset val="134"/>
      </rPr>
      <t>诸翟中心幼儿园</t>
    </r>
    <phoneticPr fontId="2" type="noConversion"/>
  </si>
  <si>
    <t>华漕镇</t>
    <phoneticPr fontId="2" type="noConversion"/>
  </si>
  <si>
    <t>诸翟中心幼儿园（九韵）</t>
    <phoneticPr fontId="2" type="noConversion"/>
  </si>
  <si>
    <r>
      <rPr>
        <sz val="10"/>
        <rFont val="宋体"/>
        <family val="3"/>
        <charset val="134"/>
      </rPr>
      <t>纪王中心幼儿园</t>
    </r>
    <phoneticPr fontId="2" type="noConversion"/>
  </si>
  <si>
    <t>纪王中心幼儿园（银杏）</t>
    <phoneticPr fontId="2" type="noConversion"/>
  </si>
  <si>
    <r>
      <rPr>
        <sz val="10"/>
        <rFont val="宋体"/>
        <family val="3"/>
        <charset val="134"/>
      </rPr>
      <t>华漕幼儿园</t>
    </r>
    <phoneticPr fontId="2" type="noConversion"/>
  </si>
  <si>
    <t>一</t>
    <phoneticPr fontId="2" type="noConversion"/>
  </si>
  <si>
    <r>
      <rPr>
        <sz val="10"/>
        <rFont val="宋体"/>
        <family val="3"/>
        <charset val="134"/>
      </rPr>
      <t>华漕金色幼儿园</t>
    </r>
    <r>
      <rPr>
        <sz val="10"/>
        <rFont val="Arial"/>
        <family val="2"/>
      </rPr>
      <t xml:space="preserve"> </t>
    </r>
    <phoneticPr fontId="2" type="noConversion"/>
  </si>
  <si>
    <t>华漕金色幼儿园（申长）</t>
    <phoneticPr fontId="2" type="noConversion"/>
  </si>
  <si>
    <t>上海市闵行区华漕镇季乐路幼儿园</t>
    <phoneticPr fontId="2" type="noConversion"/>
  </si>
  <si>
    <t>颛桥镇</t>
    <phoneticPr fontId="2" type="noConversion"/>
  </si>
  <si>
    <t>1人用于人车分离</t>
    <phoneticPr fontId="2" type="noConversion"/>
  </si>
  <si>
    <t>颛桥一幼（银桥）</t>
    <phoneticPr fontId="2" type="noConversion"/>
  </si>
  <si>
    <t>民办银桥幼儿园转公办，作为颛桥第一幼儿园分园</t>
    <phoneticPr fontId="2" type="noConversion"/>
  </si>
  <si>
    <t>颛桥镇幼儿园</t>
    <phoneticPr fontId="2" type="noConversion"/>
  </si>
  <si>
    <t>颛桥镇幼儿园（新闵）</t>
    <phoneticPr fontId="2" type="noConversion"/>
  </si>
  <si>
    <t>颛桥镇幼儿园（繁盛）</t>
    <phoneticPr fontId="2" type="noConversion"/>
  </si>
  <si>
    <t>田园都市幼儿园</t>
    <phoneticPr fontId="2" type="noConversion"/>
  </si>
  <si>
    <t>原颛桥第一幼儿园田园分园</t>
    <phoneticPr fontId="2" type="noConversion"/>
  </si>
  <si>
    <t>田园都市幼儿园银三园</t>
    <phoneticPr fontId="2" type="noConversion"/>
  </si>
  <si>
    <t>原颛桥第一幼儿园银三分园</t>
    <phoneticPr fontId="2" type="noConversion"/>
  </si>
  <si>
    <r>
      <rPr>
        <sz val="10"/>
        <rFont val="宋体"/>
        <family val="3"/>
        <charset val="134"/>
      </rPr>
      <t>君莲幼儿园</t>
    </r>
    <phoneticPr fontId="2" type="noConversion"/>
  </si>
  <si>
    <t>六</t>
    <phoneticPr fontId="2" type="noConversion"/>
  </si>
  <si>
    <t>君莲幼儿园（春都）</t>
    <phoneticPr fontId="2" type="noConversion"/>
  </si>
  <si>
    <t>原春都分园</t>
    <phoneticPr fontId="2" type="noConversion"/>
  </si>
  <si>
    <t>上海师范大学闵行实验幼儿园</t>
    <phoneticPr fontId="2" type="noConversion"/>
  </si>
  <si>
    <t>上海师范大学闵行实验幼儿园翔泰分园</t>
    <phoneticPr fontId="2" type="noConversion"/>
  </si>
  <si>
    <t>上海市闵行区颛桥镇第二幼儿园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</si>
  <si>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</si>
  <si>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梅陇镇</t>
    <phoneticPr fontId="2" type="noConversion"/>
  </si>
  <si>
    <t>梅陇镇中心幼儿园（二村）</t>
    <phoneticPr fontId="2" type="noConversion"/>
  </si>
  <si>
    <r>
      <rPr>
        <sz val="10"/>
        <color indexed="8"/>
        <rFont val="宋体"/>
        <family val="3"/>
        <charset val="134"/>
      </rPr>
      <t>东门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人、西门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</si>
  <si>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梅陇镇中心幼儿园（南方）</t>
    <phoneticPr fontId="2" type="noConversion"/>
  </si>
  <si>
    <r>
      <rPr>
        <sz val="10"/>
        <rFont val="宋体"/>
        <family val="3"/>
        <charset val="134"/>
      </rPr>
      <t>曹行中心幼儿园</t>
    </r>
    <r>
      <rPr>
        <sz val="10"/>
        <rFont val="Arial"/>
        <family val="2"/>
      </rPr>
      <t xml:space="preserve"> </t>
    </r>
    <phoneticPr fontId="2" type="noConversion"/>
  </si>
  <si>
    <t>曹行中心幼儿园蔷薇分园</t>
    <phoneticPr fontId="2" type="noConversion"/>
  </si>
  <si>
    <t>上海市闵行区梅陇金都幼儿园（银泰）</t>
    <phoneticPr fontId="2" type="noConversion"/>
  </si>
  <si>
    <t>上海市闵行区春申景城幼儿园</t>
    <phoneticPr fontId="2" type="noConversion"/>
  </si>
  <si>
    <t>上海市闵行区春申景城幼儿园（高兴）</t>
    <phoneticPr fontId="2" type="noConversion"/>
  </si>
  <si>
    <t>上海市闵行区春申景城幼儿园（春申）</t>
    <phoneticPr fontId="2" type="noConversion"/>
  </si>
  <si>
    <t>上海市闵行区春申景城幼儿园（春城）</t>
    <phoneticPr fontId="2" type="noConversion"/>
  </si>
  <si>
    <r>
      <rPr>
        <sz val="10"/>
        <color indexed="8"/>
        <rFont val="宋体"/>
        <family val="3"/>
        <charset val="134"/>
      </rPr>
      <t>原民办金拇指幼儿园，</t>
    </r>
    <r>
      <rPr>
        <sz val="10"/>
        <color indexed="8"/>
        <rFont val="Arial"/>
        <family val="2"/>
      </rP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月起由春申景城幼儿园接管</t>
    </r>
    <phoneticPr fontId="2" type="noConversion"/>
  </si>
  <si>
    <r>
      <rPr>
        <sz val="10"/>
        <rFont val="宋体"/>
        <family val="3"/>
        <charset val="134"/>
      </rPr>
      <t>晶采坊幼儿园</t>
    </r>
    <phoneticPr fontId="2" type="noConversion"/>
  </si>
  <si>
    <r>
      <rPr>
        <sz val="10"/>
        <rFont val="宋体"/>
        <family val="3"/>
        <charset val="134"/>
      </rPr>
      <t>罗阳河畔幼儿园</t>
    </r>
    <phoneticPr fontId="2" type="noConversion"/>
  </si>
  <si>
    <t>罗阳河畔幼儿分园</t>
    <phoneticPr fontId="2" type="noConversion"/>
  </si>
  <si>
    <t>上海市闵行区梅陇梅锦幼儿园</t>
    <phoneticPr fontId="2" type="noConversion"/>
  </si>
  <si>
    <t>2022年9月新开办</t>
    <phoneticPr fontId="2" type="noConversion"/>
  </si>
  <si>
    <r>
      <rPr>
        <sz val="10"/>
        <color indexed="8"/>
        <rFont val="宋体"/>
        <family val="3"/>
        <charset val="134"/>
      </rPr>
      <t>马桥镇</t>
    </r>
    <phoneticPr fontId="2" type="noConversion"/>
  </si>
  <si>
    <t>农民工小学</t>
    <phoneticPr fontId="1" type="noConversion"/>
  </si>
  <si>
    <r>
      <rPr>
        <sz val="10"/>
        <color indexed="8"/>
        <rFont val="宋体"/>
        <family val="3"/>
        <charset val="134"/>
      </rPr>
      <t>颛桥镇</t>
    </r>
    <phoneticPr fontId="2" type="noConversion"/>
  </si>
  <si>
    <r>
      <rPr>
        <sz val="10"/>
        <color indexed="8"/>
        <rFont val="宋体"/>
        <family val="3"/>
        <charset val="134"/>
      </rPr>
      <t>梅陇镇</t>
    </r>
    <phoneticPr fontId="2" type="noConversion"/>
  </si>
  <si>
    <r>
      <t xml:space="preserve"> </t>
    </r>
    <r>
      <rPr>
        <sz val="10"/>
        <color indexed="8"/>
        <rFont val="宋体"/>
        <family val="3"/>
        <charset val="134"/>
      </rPr>
      <t>梅陇镇</t>
    </r>
    <phoneticPr fontId="2" type="noConversion"/>
  </si>
  <si>
    <r>
      <rPr>
        <sz val="10"/>
        <rFont val="宋体"/>
        <family val="3"/>
        <charset val="134"/>
      </rPr>
      <t>梅陇镇</t>
    </r>
    <phoneticPr fontId="2" type="noConversion"/>
  </si>
  <si>
    <t>弘梅小学（曹行校区）</t>
    <phoneticPr fontId="2" type="noConversion"/>
  </si>
  <si>
    <t>弘梅二小（朱行校区)</t>
    <phoneticPr fontId="2" type="noConversion"/>
  </si>
  <si>
    <t>弘梅二小（陇西校区）</t>
    <phoneticPr fontId="2" type="noConversion"/>
  </si>
  <si>
    <r>
      <rPr>
        <sz val="10"/>
        <rFont val="宋体"/>
        <family val="3"/>
        <charset val="134"/>
      </rPr>
      <t>浦江镇</t>
    </r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</si>
  <si>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</si>
  <si>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吴泾镇</t>
    <phoneticPr fontId="2" type="noConversion"/>
  </si>
  <si>
    <t>塘湾小学（剑川路校区）</t>
    <phoneticPr fontId="2" type="noConversion"/>
  </si>
  <si>
    <r>
      <rPr>
        <sz val="10"/>
        <rFont val="宋体"/>
        <family val="3"/>
        <charset val="134"/>
      </rPr>
      <t>虹桥镇</t>
    </r>
    <phoneticPr fontId="2" type="noConversion"/>
  </si>
  <si>
    <r>
      <rPr>
        <sz val="10"/>
        <rFont val="宋体"/>
        <family val="3"/>
        <charset val="134"/>
      </rPr>
      <t>华漕镇</t>
    </r>
    <phoneticPr fontId="2" type="noConversion"/>
  </si>
  <si>
    <t>马桥镇 汇总</t>
  </si>
  <si>
    <t>虹桥镇 汇总</t>
  </si>
  <si>
    <t>莘庄镇 汇总</t>
  </si>
  <si>
    <t>七宝镇 汇总</t>
  </si>
  <si>
    <t>华漕镇 汇总</t>
  </si>
  <si>
    <t>颛桥镇 汇总</t>
  </si>
  <si>
    <t>梅陇镇 汇总</t>
  </si>
  <si>
    <t>浦江镇 汇总</t>
  </si>
  <si>
    <t>吴泾镇 汇总</t>
  </si>
  <si>
    <t>2025年镇级保安经费预算表</t>
    <phoneticPr fontId="1" type="noConversion"/>
  </si>
  <si>
    <t>学段</t>
    <phoneticPr fontId="1" type="noConversion"/>
  </si>
  <si>
    <t>幼儿园</t>
    <phoneticPr fontId="1" type="noConversion"/>
  </si>
  <si>
    <t>成人</t>
    <phoneticPr fontId="1" type="noConversion"/>
  </si>
  <si>
    <t>一贯制</t>
    <phoneticPr fontId="1" type="noConversion"/>
  </si>
  <si>
    <t>小学</t>
    <phoneticPr fontId="1" type="noConversion"/>
  </si>
  <si>
    <t>幼儿园</t>
    <phoneticPr fontId="1" type="noConversion"/>
  </si>
  <si>
    <t>初中</t>
    <phoneticPr fontId="1" type="noConversion"/>
  </si>
  <si>
    <t>初中</t>
    <phoneticPr fontId="1" type="noConversion"/>
  </si>
  <si>
    <t>小学</t>
    <phoneticPr fontId="1" type="noConversion"/>
  </si>
  <si>
    <t>成人</t>
    <phoneticPr fontId="1" type="noConversion"/>
  </si>
  <si>
    <t>2025年镇管单位补充公用经费预算表(年初预算）</t>
    <phoneticPr fontId="1" type="noConversion"/>
  </si>
  <si>
    <t>因故额外增加临时额度（2024人保提供）</t>
    <phoneticPr fontId="1" type="noConversion"/>
  </si>
  <si>
    <t>2025年金额（年初预算：按中位数测算，学校实际执行按人事部门规定标准执行，严禁超标准发放）</t>
    <phoneticPr fontId="1" type="noConversion"/>
  </si>
  <si>
    <t>课后延时</t>
    <phoneticPr fontId="1" type="noConversion"/>
  </si>
  <si>
    <t>奖金</t>
    <phoneticPr fontId="1" type="noConversion"/>
  </si>
  <si>
    <t>掌勺津贴</t>
    <phoneticPr fontId="1" type="noConversion"/>
  </si>
  <si>
    <t>小计</t>
    <phoneticPr fontId="1" type="noConversion"/>
  </si>
  <si>
    <t>一贯制</t>
    <phoneticPr fontId="1" type="noConversion"/>
  </si>
  <si>
    <t>华师虹桥幼儿园</t>
    <phoneticPr fontId="1" type="noConversion"/>
  </si>
  <si>
    <t>闵行区梅陇实验学校</t>
    <phoneticPr fontId="1" type="noConversion"/>
  </si>
  <si>
    <t>梅陇永联幼儿园</t>
    <phoneticPr fontId="1" type="noConversion"/>
  </si>
  <si>
    <t>福山实验学校</t>
    <phoneticPr fontId="1" type="noConversion"/>
  </si>
  <si>
    <t>上师大附中</t>
    <phoneticPr fontId="1" type="noConversion"/>
  </si>
  <si>
    <t>七宝启英宝盛幼儿园</t>
    <phoneticPr fontId="1" type="noConversion"/>
  </si>
  <si>
    <r>
      <t>2024年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</si>
  <si>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单 位</t>
  </si>
  <si>
    <t>属性2</t>
  </si>
  <si>
    <t>学段</t>
  </si>
  <si>
    <t>2024年核定金额</t>
    <phoneticPr fontId="1" type="noConversion"/>
  </si>
  <si>
    <t>2024年分配金额</t>
    <phoneticPr fontId="1" type="noConversion"/>
  </si>
  <si>
    <t>2025年清算金额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</si>
  <si>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</si>
  <si>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</si>
  <si>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总绩效</t>
  </si>
  <si>
    <t>课后延时</t>
  </si>
  <si>
    <t>义务</t>
  </si>
  <si>
    <t>九年一贯</t>
  </si>
  <si>
    <t>非义务</t>
  </si>
  <si>
    <t>社校</t>
  </si>
  <si>
    <t>幼儿园</t>
  </si>
  <si>
    <t>上海市闵行区康城幼儿园</t>
  </si>
  <si>
    <t>上海市闵行区实验幼儿园</t>
  </si>
  <si>
    <t>莘庄小计</t>
    <phoneticPr fontId="1" type="noConversion"/>
  </si>
  <si>
    <t>小学</t>
  </si>
  <si>
    <t>华东师范大学闵行永德实验小学</t>
  </si>
  <si>
    <t>吴泾小计</t>
    <phoneticPr fontId="1" type="noConversion"/>
  </si>
  <si>
    <t>初中</t>
  </si>
  <si>
    <t>闵行区航华第二幼儿园</t>
  </si>
  <si>
    <t>上海市闵行区星辰幼儿园</t>
  </si>
  <si>
    <t>上海市闵行区春欣幼儿园</t>
  </si>
  <si>
    <t>上海市闵行区七宝实验幼儿园</t>
  </si>
  <si>
    <t>上海市闵行区七宝皇都幼儿园</t>
  </si>
  <si>
    <t>上海市闵行区七宝明强幼儿园</t>
  </si>
  <si>
    <t>上海市闵行区七宝幼儿园</t>
  </si>
  <si>
    <t>上海市闵行区启英宝盛幼儿园</t>
  </si>
  <si>
    <t>七宝小计</t>
    <phoneticPr fontId="1" type="noConversion"/>
  </si>
  <si>
    <t>上海市闵行区福山实验学校</t>
  </si>
  <si>
    <t>上海市闵行区浦江镇第二幼儿园</t>
  </si>
  <si>
    <t>上海市闵行区浦江宝邸幼儿园</t>
  </si>
  <si>
    <t>上海市闵行区浦莲幼儿园</t>
  </si>
  <si>
    <t>上海市闵行区浦航幼儿园</t>
  </si>
  <si>
    <t>上海市闵行区浦江闸航路幼儿园</t>
  </si>
  <si>
    <t>上海市闵行区浦瑞幼儿园</t>
  </si>
  <si>
    <t>浦江小计</t>
    <phoneticPr fontId="1" type="noConversion"/>
  </si>
  <si>
    <t>华东理工大学附属闵行梅陇实验学校</t>
  </si>
  <si>
    <t>上海中医药大学附属闵行晶城中学</t>
  </si>
  <si>
    <t>上海中医药大学附属闵行蔷薇小学</t>
  </si>
  <si>
    <t>上海市闵行区梅陇镇社区学校</t>
  </si>
  <si>
    <t>上海市闵行区春申景城幼儿园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</si>
  <si>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</si>
  <si>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</si>
  <si>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</si>
  <si>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</si>
  <si>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</si>
  <si>
    <t>梅陇小计</t>
    <phoneticPr fontId="1" type="noConversion"/>
  </si>
  <si>
    <t>上海市闵行区马桥复旦万科实验中学</t>
  </si>
  <si>
    <t>上海市马桥强恕学校</t>
  </si>
  <si>
    <t>上海市闵行区马桥文来外国语小学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</si>
  <si>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</si>
  <si>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</si>
  <si>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</si>
  <si>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</si>
  <si>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</si>
  <si>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上海市闵行区马桥富国幼儿园</t>
  </si>
  <si>
    <t>马桥小计</t>
    <phoneticPr fontId="1" type="noConversion"/>
  </si>
  <si>
    <t>上海市闵行区纪王学校</t>
  </si>
  <si>
    <t>上海市闵行区华漕镇社区学校</t>
  </si>
  <si>
    <t>上海市闵行区华漕镇季乐路幼儿园</t>
  </si>
  <si>
    <t>上海市闵行区诸翟中心幼儿园</t>
  </si>
  <si>
    <t>上海市闵行区华漕镇金色幼儿园</t>
  </si>
  <si>
    <t>华漕小计</t>
    <phoneticPr fontId="1" type="noConversion"/>
  </si>
  <si>
    <t>上海市闵行区颛桥镇幼儿园</t>
  </si>
  <si>
    <t>上海市闵行区颛桥镇第一幼儿园</t>
  </si>
  <si>
    <t>上海市闵行区君莲幼儿园</t>
  </si>
  <si>
    <t>上海市闵行区颛桥镇田园都市幼儿园</t>
  </si>
  <si>
    <t>上海市闵行区颛桥镇第二幼儿园</t>
  </si>
  <si>
    <t>颛桥小计</t>
    <phoneticPr fontId="1" type="noConversion"/>
  </si>
  <si>
    <t>华东师范大学附属闵行虹桥学校</t>
    <phoneticPr fontId="2" type="noConversion"/>
  </si>
  <si>
    <t>华东师范大学附属闵行虹桥幼儿园</t>
    <phoneticPr fontId="2" type="noConversion"/>
  </si>
  <si>
    <t>上海市闵行区虹鹿幼儿园</t>
  </si>
  <si>
    <t>示范幼儿园</t>
  </si>
  <si>
    <t>虹桥小计</t>
    <phoneticPr fontId="1" type="noConversion"/>
  </si>
  <si>
    <t>镇级合计</t>
    <phoneticPr fontId="1" type="noConversion"/>
  </si>
  <si>
    <t>课后延时（1-12月）</t>
    <phoneticPr fontId="1" type="noConversion"/>
  </si>
  <si>
    <t>2024年镇管学校制度外用工清算核定表（补充公用经费清算不含储备老师）</t>
    <phoneticPr fontId="45" type="noConversion"/>
  </si>
  <si>
    <t>镇属</t>
    <phoneticPr fontId="45" type="noConversion"/>
  </si>
  <si>
    <t>学校名称</t>
  </si>
  <si>
    <t>课后延时</t>
    <phoneticPr fontId="1" type="noConversion"/>
  </si>
  <si>
    <t>2024年已下达课后延时金额</t>
    <phoneticPr fontId="1" type="noConversion"/>
  </si>
  <si>
    <t>清算课后延时金额</t>
    <phoneticPr fontId="1" type="noConversion"/>
  </si>
  <si>
    <t>莘庄</t>
    <phoneticPr fontId="45" type="noConversion"/>
  </si>
  <si>
    <t>吴泾</t>
    <phoneticPr fontId="45" type="noConversion"/>
  </si>
  <si>
    <t>七宝</t>
    <phoneticPr fontId="45" type="noConversion"/>
  </si>
  <si>
    <t>浦江</t>
    <phoneticPr fontId="45" type="noConversion"/>
  </si>
  <si>
    <t>梅陇</t>
    <phoneticPr fontId="45" type="noConversion"/>
  </si>
  <si>
    <t>上海市闵行区曹行小学</t>
  </si>
  <si>
    <t>马桥</t>
    <phoneticPr fontId="45" type="noConversion"/>
  </si>
  <si>
    <t>华漕</t>
    <phoneticPr fontId="45" type="noConversion"/>
  </si>
  <si>
    <t>颛桥</t>
    <phoneticPr fontId="45" type="noConversion"/>
  </si>
  <si>
    <t>虹桥</t>
    <phoneticPr fontId="45" type="noConversion"/>
  </si>
  <si>
    <t>闵行区颛桥中心小学</t>
    <phoneticPr fontId="1" type="noConversion"/>
  </si>
  <si>
    <t>闵行区职业年金补记人员汇总表（事业单位人员）</t>
    <phoneticPr fontId="2" type="noConversion"/>
  </si>
  <si>
    <t>事业单位名称</t>
  </si>
  <si>
    <t>镇属</t>
    <phoneticPr fontId="2" type="noConversion"/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</si>
  <si>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</si>
  <si>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</si>
  <si>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</si>
  <si>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</si>
  <si>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</si>
  <si>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</si>
  <si>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</si>
  <si>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吴泾</t>
    <phoneticPr fontId="2" type="noConversion"/>
  </si>
  <si>
    <t>徐佳</t>
  </si>
  <si>
    <t>310112198311232141</t>
  </si>
  <si>
    <t>否</t>
  </si>
  <si>
    <t>2012年8月-2014年9月</t>
  </si>
  <si>
    <t>2年2个月</t>
  </si>
  <si>
    <t>吴泾小计</t>
    <phoneticPr fontId="1" type="noConversion"/>
  </si>
  <si>
    <t>莘庄</t>
    <phoneticPr fontId="2" type="noConversion"/>
  </si>
  <si>
    <t>王琛妍</t>
  </si>
  <si>
    <t>31010819791007246X</t>
  </si>
  <si>
    <t>2000年7月-2014年9月</t>
  </si>
  <si>
    <t>14年2个月</t>
  </si>
  <si>
    <t>陈佳敏</t>
  </si>
  <si>
    <t>310112198309285666</t>
  </si>
  <si>
    <t>2005年6月-2014年9月</t>
  </si>
  <si>
    <t>9年3个月</t>
  </si>
  <si>
    <t>莘庄小计</t>
    <phoneticPr fontId="1" type="noConversion"/>
  </si>
  <si>
    <t>七宝</t>
    <phoneticPr fontId="2" type="noConversion"/>
  </si>
  <si>
    <t>金琴琳</t>
  </si>
  <si>
    <t>31022119730507042X</t>
  </si>
  <si>
    <t>2003年2月-2014年9月</t>
  </si>
  <si>
    <t>11年6个月</t>
  </si>
  <si>
    <t>张耘</t>
  </si>
  <si>
    <t>310102197211210028</t>
  </si>
  <si>
    <t>1991年7月-2014年9月</t>
  </si>
  <si>
    <t>23年3个月</t>
  </si>
  <si>
    <t>七宝小计</t>
    <phoneticPr fontId="1" type="noConversion"/>
  </si>
  <si>
    <t>浦江</t>
    <phoneticPr fontId="2" type="noConversion"/>
  </si>
  <si>
    <t>陆玉婷</t>
  </si>
  <si>
    <t>310112198611294926</t>
  </si>
  <si>
    <t>2012年9月-2014年9月</t>
  </si>
  <si>
    <t>2年1个月</t>
  </si>
  <si>
    <t>杜彩芸</t>
  </si>
  <si>
    <t>310112198612134625</t>
  </si>
  <si>
    <t>2008年7月-2014年9月</t>
  </si>
  <si>
    <t>6年3个月</t>
  </si>
  <si>
    <t>浦江小计</t>
    <phoneticPr fontId="1" type="noConversion"/>
  </si>
  <si>
    <t>梅陇</t>
    <phoneticPr fontId="2" type="noConversion"/>
  </si>
  <si>
    <t>罗纤纤</t>
  </si>
  <si>
    <t>340403199001270628</t>
  </si>
  <si>
    <t>2013年7月-2014年9月</t>
  </si>
  <si>
    <t>1年3个月</t>
  </si>
  <si>
    <t>上海市闵行区晶采坊幼儿园</t>
  </si>
  <si>
    <t>翁林璟</t>
  </si>
  <si>
    <t>310112198701213026</t>
  </si>
  <si>
    <t>2013年8月-2014年9月</t>
  </si>
  <si>
    <t>1年2个月</t>
  </si>
  <si>
    <t>俞晶卉</t>
  </si>
  <si>
    <t>310229199112030026</t>
  </si>
  <si>
    <t>2014年7月-2014年9月</t>
  </si>
  <si>
    <t>3个月</t>
  </si>
  <si>
    <t>傅肖琳</t>
  </si>
  <si>
    <t>310106199102180821</t>
  </si>
  <si>
    <t>陆璐婧</t>
  </si>
  <si>
    <t>310110198511235141</t>
  </si>
  <si>
    <t>祁嫔</t>
  </si>
  <si>
    <t>310112197912302120</t>
  </si>
  <si>
    <t>1998年7月-2014年9月</t>
  </si>
  <si>
    <t>16年3个月</t>
  </si>
  <si>
    <t>刘静</t>
  </si>
  <si>
    <t>31011219811123242X</t>
  </si>
  <si>
    <t>2004年8月-2014年9月</t>
  </si>
  <si>
    <t>10年2个月</t>
  </si>
  <si>
    <t>丁晓玲</t>
  </si>
  <si>
    <t>31011219810930392X</t>
  </si>
  <si>
    <t>2005年8月-2014年9月</t>
  </si>
  <si>
    <t>9年2个月</t>
  </si>
  <si>
    <t>王艳琴</t>
  </si>
  <si>
    <t>14042319770504082X</t>
  </si>
  <si>
    <t>刘嘉瑾</t>
  </si>
  <si>
    <t>310109198811252044</t>
  </si>
  <si>
    <t>2012年7月-2014年9月</t>
  </si>
  <si>
    <t>2年3个月</t>
  </si>
  <si>
    <t>汤小云</t>
  </si>
  <si>
    <t>310221197511153226</t>
  </si>
  <si>
    <t>2003年8月-2014年9月</t>
  </si>
  <si>
    <t>11年2个月</t>
  </si>
  <si>
    <t>张洁</t>
  </si>
  <si>
    <t>310112199112032723</t>
  </si>
  <si>
    <t>杨柳青</t>
  </si>
  <si>
    <t>310112198711040026</t>
  </si>
  <si>
    <t>25个月
（2年1个月）</t>
  </si>
  <si>
    <t>梅陇小计</t>
    <phoneticPr fontId="1" type="noConversion"/>
  </si>
  <si>
    <t>马桥</t>
    <phoneticPr fontId="2" type="noConversion"/>
  </si>
  <si>
    <t>韩伊</t>
  </si>
  <si>
    <t>310112197505010024</t>
  </si>
  <si>
    <t>2022年10月</t>
  </si>
  <si>
    <t>1993年7月-2014年9月</t>
  </si>
  <si>
    <t>21年3个月</t>
  </si>
  <si>
    <t>浦叶</t>
  </si>
  <si>
    <t>31011219811121212X</t>
  </si>
  <si>
    <t>2022年7月</t>
  </si>
  <si>
    <t>叶旖</t>
  </si>
  <si>
    <t>310112199107030328</t>
  </si>
  <si>
    <t>沈莉萍</t>
  </si>
  <si>
    <t>310224197506274727</t>
  </si>
  <si>
    <t>21年2个月</t>
  </si>
  <si>
    <t>马桥小计</t>
    <phoneticPr fontId="1" type="noConversion"/>
  </si>
  <si>
    <t>华漕</t>
    <phoneticPr fontId="2" type="noConversion"/>
  </si>
  <si>
    <t>顾序文</t>
  </si>
  <si>
    <t>310115198202175028</t>
  </si>
  <si>
    <t>曹汐然</t>
  </si>
  <si>
    <t>310112199105310625</t>
  </si>
  <si>
    <t>　2年3个月</t>
  </si>
  <si>
    <t>华漕小计</t>
    <phoneticPr fontId="1" type="noConversion"/>
  </si>
  <si>
    <t>虹桥</t>
    <phoneticPr fontId="2" type="noConversion"/>
  </si>
  <si>
    <t>叶宇蓓</t>
  </si>
  <si>
    <t>310108197607212423</t>
  </si>
  <si>
    <t>1994年7月-2014年9月</t>
  </si>
  <si>
    <t>20年2个月</t>
  </si>
  <si>
    <t>顾莹莹</t>
  </si>
  <si>
    <t>310105198704090021</t>
  </si>
  <si>
    <t>周君</t>
  </si>
  <si>
    <t>310103198308317041</t>
  </si>
  <si>
    <t>孙旻贤</t>
  </si>
  <si>
    <t>310105197805142826</t>
  </si>
  <si>
    <t>1998年7月-2005年12月
2009年8月-2014年9月</t>
  </si>
  <si>
    <t>12年8个月</t>
  </si>
  <si>
    <t>张燕</t>
  </si>
  <si>
    <t>310225198903101265</t>
  </si>
  <si>
    <t>2010年7月-2014年9月</t>
  </si>
  <si>
    <t>51个月（4年3个月）</t>
  </si>
  <si>
    <t>徐梦奇</t>
  </si>
  <si>
    <t>310105198812013621</t>
  </si>
  <si>
    <t>2011年7月-2014年9月</t>
  </si>
  <si>
    <t>39个月（3年3个月）</t>
  </si>
  <si>
    <t>王瑾</t>
  </si>
  <si>
    <t>210304197405180242</t>
  </si>
  <si>
    <t>122个月（10年2个月）</t>
  </si>
  <si>
    <t>其他单位已交不实</t>
    <phoneticPr fontId="1" type="noConversion"/>
  </si>
  <si>
    <t>徐燕婷</t>
  </si>
  <si>
    <t>310108198004162484</t>
  </si>
  <si>
    <t>171（14年3个月）</t>
  </si>
  <si>
    <t>钱莉</t>
  </si>
  <si>
    <t>310113198012145327</t>
  </si>
  <si>
    <t>110(9年2个月)</t>
  </si>
  <si>
    <t>贾文仪</t>
  </si>
  <si>
    <t>310105198812050027</t>
  </si>
  <si>
    <t>51(4年3个月)</t>
  </si>
  <si>
    <t>陈燕</t>
  </si>
  <si>
    <t>310112199006081521</t>
  </si>
  <si>
    <t>39(3年3个月)</t>
  </si>
  <si>
    <t>虹桥小计</t>
    <phoneticPr fontId="1" type="noConversion"/>
  </si>
  <si>
    <t>颛桥</t>
    <phoneticPr fontId="2" type="noConversion"/>
  </si>
  <si>
    <t>王昱程</t>
  </si>
  <si>
    <t>310105199107280000</t>
  </si>
  <si>
    <t>颛桥小计</t>
    <phoneticPr fontId="2" type="noConversion"/>
  </si>
  <si>
    <t>总计</t>
    <phoneticPr fontId="2" type="noConversion"/>
  </si>
  <si>
    <r>
      <rPr>
        <sz val="11"/>
        <rFont val="宋体"/>
        <family val="3"/>
        <charset val="134"/>
      </rPr>
      <t>学校名称</t>
    </r>
    <phoneticPr fontId="2" type="noConversion"/>
  </si>
  <si>
    <t>总量</t>
  </si>
  <si>
    <t>其中校长职级</t>
  </si>
  <si>
    <t>上海市闵行区七宝皇都幼儿园</t>
    <phoneticPr fontId="1" type="noConversion"/>
  </si>
  <si>
    <t>七宝</t>
    <phoneticPr fontId="1" type="noConversion"/>
  </si>
  <si>
    <t>华漕</t>
    <phoneticPr fontId="1" type="noConversion"/>
  </si>
  <si>
    <t>2024年绩效增量</t>
    <phoneticPr fontId="1" type="noConversion"/>
  </si>
  <si>
    <t>公/民办</t>
    <phoneticPr fontId="1" type="noConversion"/>
  </si>
  <si>
    <t>项目内容</t>
  </si>
  <si>
    <t>项目明细</t>
  </si>
  <si>
    <t>数量</t>
  </si>
  <si>
    <t>单价</t>
  </si>
  <si>
    <t>金额</t>
  </si>
  <si>
    <t>公办</t>
    <phoneticPr fontId="1" type="noConversion"/>
  </si>
  <si>
    <t>所属街镇</t>
  </si>
  <si>
    <t>审核金额</t>
  </si>
  <si>
    <t>学区化集团化建设</t>
  </si>
  <si>
    <t>学区化办学建设</t>
  </si>
  <si>
    <t>各学段针对学区建设发展开展的项目、活动等</t>
  </si>
  <si>
    <t>义务教育新课程新教材建设标准专项经费</t>
  </si>
  <si>
    <t>实验设备、文化环境、专家费、评估费、培训费等</t>
  </si>
  <si>
    <t>闵行区华漕镇教育委员会</t>
  </si>
  <si>
    <t>2025年镇级单位预算表（普教二科第二批）</t>
    <phoneticPr fontId="1" type="noConversion"/>
  </si>
  <si>
    <t>中小学教育教学</t>
    <phoneticPr fontId="1" type="noConversion"/>
  </si>
  <si>
    <t>二次分配</t>
    <phoneticPr fontId="1" type="noConversion"/>
  </si>
  <si>
    <t>学校全称</t>
  </si>
  <si>
    <t>维修类型</t>
  </si>
  <si>
    <t>建筑物名称</t>
  </si>
  <si>
    <t>校舍修缮内容</t>
  </si>
  <si>
    <t>工程量</t>
  </si>
  <si>
    <t>单价（元）</t>
  </si>
  <si>
    <t>合价（元）</t>
  </si>
  <si>
    <t>校舍修缮</t>
  </si>
  <si>
    <t>项</t>
  </si>
  <si>
    <t>（一）建安费合计</t>
  </si>
  <si>
    <t>（二）工程建设其他费</t>
  </si>
  <si>
    <t>空气检测费（如有）</t>
  </si>
  <si>
    <t>场地检测费（如有）</t>
  </si>
  <si>
    <t>总投资（一）+（二）</t>
  </si>
  <si>
    <t>m2</t>
  </si>
  <si>
    <t>台</t>
  </si>
  <si>
    <t>个</t>
  </si>
  <si>
    <t>2024年镇级校舍维修尾款清算（第二次清算）</t>
    <phoneticPr fontId="45" type="noConversion"/>
  </si>
  <si>
    <t>已执行
金额费用</t>
    <phoneticPr fontId="45" type="noConversion"/>
  </si>
  <si>
    <t>华博小学</t>
  </si>
  <si>
    <t>2024年华博小学暑期修缮项目</t>
  </si>
  <si>
    <r>
      <rPr>
        <b/>
        <sz val="10"/>
        <rFont val="宋体"/>
        <family val="3"/>
        <charset val="134"/>
      </rPr>
      <t>办学类型</t>
    </r>
  </si>
  <si>
    <t>分类</t>
  </si>
  <si>
    <r>
      <rPr>
        <b/>
        <sz val="10"/>
        <rFont val="宋体"/>
        <family val="3"/>
        <charset val="134"/>
      </rPr>
      <t>学校名称</t>
    </r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</si>
  <si>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</si>
  <si>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</si>
  <si>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</si>
  <si>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r>
      <rPr>
        <b/>
        <sz val="10"/>
        <rFont val="宋体"/>
        <family val="3"/>
        <charset val="134"/>
      </rPr>
      <t>规格型号或数量单位</t>
    </r>
  </si>
  <si>
    <r>
      <rPr>
        <b/>
        <sz val="10"/>
        <rFont val="宋体"/>
        <family val="3"/>
        <charset val="134"/>
      </rPr>
      <t>备注</t>
    </r>
  </si>
  <si>
    <t>华漕镇</t>
  </si>
  <si>
    <t>归属</t>
  </si>
  <si>
    <t>幼儿园</t>
    <phoneticPr fontId="1" type="noConversion"/>
  </si>
  <si>
    <t>新开办</t>
    <phoneticPr fontId="45" type="noConversion"/>
  </si>
  <si>
    <t>批</t>
    <phoneticPr fontId="45" type="noConversion"/>
  </si>
  <si>
    <t>为民办实事项目</t>
    <phoneticPr fontId="45" type="noConversion"/>
  </si>
  <si>
    <t>空调设备购置</t>
    <phoneticPr fontId="1" type="noConversion"/>
  </si>
  <si>
    <t>普通教室空调购置3匹</t>
    <phoneticPr fontId="1" type="noConversion"/>
  </si>
  <si>
    <t>台</t>
    <phoneticPr fontId="45" type="noConversion"/>
  </si>
  <si>
    <t>九年一贯</t>
    <phoneticPr fontId="1" type="noConversion"/>
  </si>
  <si>
    <t>06-02地块幼儿园</t>
    <phoneticPr fontId="1" type="noConversion"/>
  </si>
  <si>
    <t>新开办学校（预估）</t>
    <phoneticPr fontId="1" type="noConversion"/>
  </si>
  <si>
    <t>华漕镇06-02地块幼儿园新建工程</t>
    <phoneticPr fontId="1" type="noConversion"/>
  </si>
  <si>
    <t>华漕镇06-02地块幼儿园新建工程（预估）</t>
    <phoneticPr fontId="1" type="noConversion"/>
  </si>
  <si>
    <t>华漕镇</t>
    <phoneticPr fontId="45" type="noConversion"/>
  </si>
  <si>
    <t>上海市闵行区华漕学校</t>
    <phoneticPr fontId="1" type="noConversion"/>
  </si>
  <si>
    <t>华博（北沈教学点）普通教室空调购置</t>
    <phoneticPr fontId="1" type="noConversion"/>
  </si>
  <si>
    <t>华博（纪王托管点）普通教室空调购置</t>
    <phoneticPr fontId="1" type="noConversion"/>
  </si>
  <si>
    <t>公务车更新</t>
    <phoneticPr fontId="45" type="noConversion"/>
  </si>
  <si>
    <t>闵行区诸翟学校</t>
    <phoneticPr fontId="1" type="noConversion"/>
  </si>
  <si>
    <t>公务车更新</t>
    <phoneticPr fontId="1" type="noConversion"/>
  </si>
  <si>
    <t>小型轿车</t>
    <phoneticPr fontId="1" type="noConversion"/>
  </si>
  <si>
    <t>辆</t>
    <phoneticPr fontId="45" type="noConversion"/>
  </si>
  <si>
    <t>其中1000上牌杂费</t>
    <phoneticPr fontId="45" type="noConversion"/>
  </si>
  <si>
    <t>华漕镇</t>
    <phoneticPr fontId="45" type="noConversion"/>
  </si>
  <si>
    <t>九年一贯</t>
    <phoneticPr fontId="1" type="noConversion"/>
  </si>
  <si>
    <t>闵行区华漕学校</t>
    <phoneticPr fontId="1" type="noConversion"/>
  </si>
  <si>
    <t>中型普客</t>
    <phoneticPr fontId="1" type="noConversion"/>
  </si>
  <si>
    <t>设备购置与更新</t>
    <phoneticPr fontId="45" type="noConversion"/>
  </si>
  <si>
    <t>上海市闵行区华漕学校</t>
    <phoneticPr fontId="1" type="noConversion"/>
  </si>
  <si>
    <t>设备购置与更新</t>
    <phoneticPr fontId="1" type="noConversion"/>
  </si>
  <si>
    <t>教室灯光改造</t>
    <phoneticPr fontId="1" type="noConversion"/>
  </si>
  <si>
    <t>普通教室灯光改造华漕学校（北沈路教学点）</t>
    <phoneticPr fontId="1" type="noConversion"/>
  </si>
  <si>
    <t>批</t>
    <phoneticPr fontId="45" type="noConversion"/>
  </si>
  <si>
    <t>2025年抚恤金(1-3月）</t>
    <phoneticPr fontId="45" type="noConversion"/>
  </si>
  <si>
    <t>镇属</t>
    <phoneticPr fontId="1" type="noConversion"/>
  </si>
  <si>
    <t>金额</t>
    <phoneticPr fontId="1" type="noConversion"/>
  </si>
  <si>
    <t>华漕</t>
    <phoneticPr fontId="1" type="noConversion"/>
  </si>
  <si>
    <t>镇属</t>
    <phoneticPr fontId="45" type="noConversion"/>
  </si>
  <si>
    <r>
      <t xml:space="preserve">总投资
</t>
    </r>
    <r>
      <rPr>
        <b/>
        <sz val="10"/>
        <rFont val="宋体"/>
        <family val="3"/>
        <charset val="134"/>
      </rPr>
      <t>（财政批复）</t>
    </r>
    <phoneticPr fontId="45" type="noConversion"/>
  </si>
  <si>
    <r>
      <t xml:space="preserve">建安费
</t>
    </r>
    <r>
      <rPr>
        <b/>
        <sz val="10"/>
        <rFont val="宋体"/>
        <family val="3"/>
        <charset val="134"/>
      </rPr>
      <t>（财政批复）</t>
    </r>
    <phoneticPr fontId="45" type="noConversion"/>
  </si>
  <si>
    <t>施工合同价</t>
    <phoneticPr fontId="45" type="noConversion"/>
  </si>
  <si>
    <t>工程审定价</t>
    <phoneticPr fontId="45" type="noConversion"/>
  </si>
  <si>
    <t>二类费用</t>
    <phoneticPr fontId="45" type="noConversion"/>
  </si>
  <si>
    <t>应执行
金额费用</t>
    <phoneticPr fontId="45" type="noConversion"/>
  </si>
  <si>
    <t>尾款清算
金额费用</t>
    <phoneticPr fontId="45" type="noConversion"/>
  </si>
  <si>
    <r>
      <rPr>
        <b/>
        <sz val="18"/>
        <rFont val="宋体"/>
        <family val="1"/>
        <charset val="134"/>
      </rPr>
      <t>（镇管）</t>
    </r>
    <r>
      <rPr>
        <b/>
        <sz val="18"/>
        <rFont val="Times New Roman"/>
        <family val="1"/>
      </rPr>
      <t>2025</t>
    </r>
    <r>
      <rPr>
        <b/>
        <sz val="18"/>
        <rFont val="宋体"/>
        <family val="3"/>
        <charset val="134"/>
      </rPr>
      <t>年闵行区教育设备专项预算申报汇总表</t>
    </r>
    <phoneticPr fontId="45" type="noConversion"/>
  </si>
  <si>
    <t>审定金额(元)</t>
  </si>
  <si>
    <t>教学楼</t>
  </si>
  <si>
    <t>1F护墙板更换（含拆除及新做）</t>
  </si>
  <si>
    <t>㎡</t>
  </si>
  <si>
    <t>1F木地板更换（含拆除）</t>
  </si>
  <si>
    <t>1F地面30厚水泥砂浆粉刷找平层</t>
  </si>
  <si>
    <t>点</t>
  </si>
  <si>
    <t>校舍维修</t>
  </si>
  <si>
    <t>建筑外墙涂料整体修缮（含脚手架）</t>
  </si>
  <si>
    <t>空调架</t>
  </si>
  <si>
    <t>厕所维修(含拆除、水电、洁具、装饰等）</t>
  </si>
  <si>
    <t>场地</t>
  </si>
  <si>
    <t>原塑胶场地拆除及修补、新做细沥青基层</t>
  </si>
  <si>
    <t>新做15厚EPDM塑胶（含划线）</t>
  </si>
  <si>
    <t>原窨井及局部侧石抬高</t>
  </si>
  <si>
    <t>塑胶场地</t>
  </si>
  <si>
    <t>厨房天花改造、灯具排气扇</t>
  </si>
  <si>
    <t>原外墙涂料、马赛克铲除至基层，及水泥砂浆基层找平</t>
  </si>
  <si>
    <t>建筑外墙涂料整体修缮</t>
  </si>
  <si>
    <t>空调配电</t>
  </si>
  <si>
    <t>1#2#3#楼</t>
  </si>
  <si>
    <t>空调总配电箱</t>
  </si>
  <si>
    <t>空调配电箱</t>
  </si>
  <si>
    <t>单相空调插座</t>
  </si>
  <si>
    <t>三相空调插座箱</t>
  </si>
  <si>
    <t>300*100桥架</t>
  </si>
  <si>
    <t>m</t>
  </si>
  <si>
    <t>WDZB-YJV-4*70+E35</t>
  </si>
  <si>
    <t>WDZB-YJV-4*50+E25</t>
  </si>
  <si>
    <t>WDZB-YJV-5*6</t>
  </si>
  <si>
    <t>WDZB-YJV-3*6</t>
  </si>
  <si>
    <t>JDG40</t>
  </si>
  <si>
    <t>室外部分</t>
  </si>
  <si>
    <t>SC150</t>
  </si>
  <si>
    <t>WDZB-YJV-4*240+E120</t>
  </si>
  <si>
    <t>WDZB-YJV-4*95+E50</t>
  </si>
  <si>
    <t>WDZBN-YJY-4*150+1*70</t>
  </si>
  <si>
    <t>电缆井</t>
  </si>
  <si>
    <t>土方开挖及回填</t>
  </si>
  <si>
    <t>道路地面拆除后修复</t>
  </si>
  <si>
    <t>变电房部分</t>
  </si>
  <si>
    <t>变压器800KVA</t>
  </si>
  <si>
    <t>高压开关柜</t>
  </si>
  <si>
    <t>低压开关柜</t>
  </si>
  <si>
    <t>2#电源进线柜AA1</t>
  </si>
  <si>
    <t>配电箱AA2</t>
  </si>
  <si>
    <t>WDZBN-YJY-4*120+E70</t>
  </si>
  <si>
    <t>灯具</t>
  </si>
  <si>
    <t>三相插座箱</t>
  </si>
  <si>
    <t>双联二三级插座</t>
  </si>
  <si>
    <t>三联单控开关</t>
  </si>
  <si>
    <t>室内电缆沟、墙面、地面老旧重新施工、粉刷</t>
  </si>
  <si>
    <t>接地系统</t>
  </si>
  <si>
    <t>老旧设备拆除、垃圾外运</t>
  </si>
  <si>
    <t>系统调试</t>
  </si>
  <si>
    <t>二类费</t>
  </si>
  <si>
    <t>建安费*12%</t>
  </si>
  <si>
    <t>工程建设检测配套费</t>
  </si>
  <si>
    <t>多回路进线费用</t>
  </si>
  <si>
    <t>（二）工程建设其他费合计</t>
  </si>
  <si>
    <t>本次下达</t>
    <phoneticPr fontId="1" type="noConversion"/>
  </si>
  <si>
    <t>2025年度镇管学校校舍维修项目审核明细表</t>
    <phoneticPr fontId="1" type="noConversion"/>
  </si>
  <si>
    <t>闵行区华漕镇中心幼儿园</t>
    <phoneticPr fontId="1" type="noConversion"/>
  </si>
  <si>
    <t>上海市闵行区纪王学校</t>
    <phoneticPr fontId="1" type="noConversion"/>
  </si>
  <si>
    <t>华漕镇金色幼儿园（北沈园）</t>
    <phoneticPr fontId="1" type="noConversion"/>
  </si>
  <si>
    <t>闵行区诸翟中心幼儿园</t>
    <phoneticPr fontId="1" type="noConversion"/>
  </si>
  <si>
    <t>一贯制</t>
    <phoneticPr fontId="1" type="noConversion"/>
  </si>
  <si>
    <t>义务教育精准化教学</t>
  </si>
  <si>
    <t>公办</t>
    <phoneticPr fontId="1" type="noConversion"/>
  </si>
  <si>
    <t>2025年保安经费追加预算（镇级单位）</t>
    <phoneticPr fontId="1" type="noConversion"/>
  </si>
  <si>
    <r>
      <rPr>
        <b/>
        <sz val="10"/>
        <rFont val="微软雅黑"/>
        <family val="2"/>
        <charset val="134"/>
      </rPr>
      <t>学校名称</t>
    </r>
    <phoneticPr fontId="1" type="noConversion"/>
  </si>
  <si>
    <r>
      <rPr>
        <b/>
        <sz val="10"/>
        <rFont val="微软雅黑"/>
        <family val="2"/>
        <charset val="134"/>
      </rPr>
      <t>学校办别</t>
    </r>
  </si>
  <si>
    <r>
      <rPr>
        <b/>
        <sz val="10"/>
        <rFont val="微软雅黑"/>
        <family val="2"/>
        <charset val="134"/>
      </rPr>
      <t>办学类型</t>
    </r>
  </si>
  <si>
    <r>
      <rPr>
        <b/>
        <sz val="10"/>
        <rFont val="微软雅黑"/>
        <family val="2"/>
        <charset val="134"/>
      </rPr>
      <t>所在街镇</t>
    </r>
  </si>
  <si>
    <t>人数</t>
    <phoneticPr fontId="1" type="noConversion"/>
  </si>
  <si>
    <t>原因</t>
    <phoneticPr fontId="1" type="noConversion"/>
  </si>
  <si>
    <r>
      <rPr>
        <b/>
        <sz val="10"/>
        <rFont val="微软雅黑"/>
        <family val="2"/>
        <charset val="134"/>
      </rPr>
      <t>单价</t>
    </r>
    <phoneticPr fontId="1" type="noConversion"/>
  </si>
  <si>
    <r>
      <rPr>
        <b/>
        <sz val="10"/>
        <color theme="1"/>
        <rFont val="微软雅黑"/>
        <family val="2"/>
        <charset val="134"/>
      </rPr>
      <t>金额</t>
    </r>
    <phoneticPr fontId="1" type="noConversion"/>
  </si>
  <si>
    <r>
      <rPr>
        <sz val="10"/>
        <color theme="1"/>
        <rFont val="宋体"/>
        <family val="3"/>
        <charset val="134"/>
      </rPr>
      <t>幼儿园</t>
    </r>
    <phoneticPr fontId="1" type="noConversion"/>
  </si>
  <si>
    <r>
      <rPr>
        <sz val="10"/>
        <color theme="1"/>
        <rFont val="宋体"/>
        <family val="3"/>
        <charset val="134"/>
      </rPr>
      <t>新开办</t>
    </r>
    <phoneticPr fontId="1" type="noConversion"/>
  </si>
  <si>
    <r>
      <rPr>
        <sz val="10"/>
        <color theme="1"/>
        <rFont val="宋体"/>
        <family val="3"/>
        <charset val="134"/>
      </rPr>
      <t>华漕镇季乐路幼儿园芳乐分园</t>
    </r>
    <phoneticPr fontId="1" type="noConversion"/>
  </si>
  <si>
    <t>公办</t>
    <phoneticPr fontId="1" type="noConversion"/>
  </si>
  <si>
    <r>
      <rPr>
        <sz val="10"/>
        <color theme="1"/>
        <rFont val="宋体"/>
        <family val="3"/>
        <charset val="134"/>
      </rPr>
      <t>华漕镇</t>
    </r>
    <phoneticPr fontId="1" type="noConversion"/>
  </si>
  <si>
    <t>其中：教育局</t>
  </si>
  <si>
    <t>待细化</t>
    <phoneticPr fontId="45" type="noConversion"/>
  </si>
  <si>
    <t>2025年教育统筹经费第二次分配明细表</t>
    <phoneticPr fontId="1" type="noConversion"/>
  </si>
  <si>
    <t>单位：元</t>
  </si>
  <si>
    <t>项目</t>
  </si>
  <si>
    <t>核定金额</t>
  </si>
  <si>
    <t>减：2024年预排教育事业专项资金</t>
  </si>
  <si>
    <t>其中：乡镇</t>
    <phoneticPr fontId="1" type="noConversion"/>
  </si>
  <si>
    <t>抚恤金</t>
    <phoneticPr fontId="1" type="noConversion"/>
  </si>
  <si>
    <t>设备更新与购置</t>
    <phoneticPr fontId="1" type="noConversion"/>
  </si>
  <si>
    <t>校舍维修</t>
    <phoneticPr fontId="1" type="noConversion"/>
  </si>
  <si>
    <t>保安经费</t>
    <phoneticPr fontId="1" type="noConversion"/>
  </si>
  <si>
    <t>华漕镇：</t>
    <phoneticPr fontId="1" type="noConversion"/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</si>
</sst>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0_ "/>
    <numFmt numFmtId="178" formatCode="0.00_ ;\-0.00;;"/>
    <numFmt numFmtId="179" formatCode="0.00_);[Red]\(0.00\)"/>
    <numFmt numFmtId="180" formatCode="0_ "/>
    <numFmt numFmtId="181" formatCode="[$-F800]dddd\,\ mmmm\ dd\,\ yyyy"/>
    <numFmt numFmtId="182" formatCode="_ \¥* #,##0.00_ ;_ \¥* \-#,##0.00_ ;_ \¥* &quot;-&quot;??_ ;_ @_ "/>
    <numFmt numFmtId="183" formatCode="yyyy&quot;年&quot;m&quot;月&quot;;@"/>
    <numFmt numFmtId="184" formatCode="#,##0.00_ "/>
    <numFmt numFmtId="185" formatCode="0_);[Red]\(0\)"/>
  </numFmts>
  <fonts count="13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Arial"/>
      <family val="2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b/>
      <sz val="9"/>
      <color rgb="FFFF0000"/>
      <name val="宋体"/>
      <family val="3"/>
      <charset val="134"/>
    </font>
    <font>
      <b/>
      <sz val="14"/>
      <color indexed="8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indexed="8"/>
      <name val="Arial"/>
      <family val="2"/>
    </font>
    <font>
      <b/>
      <sz val="10"/>
      <name val="宋体"/>
      <family val="3"/>
      <charset val="134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9"/>
      <color indexed="81"/>
      <name val="Tahoma"/>
      <family val="2"/>
    </font>
    <font>
      <sz val="9"/>
      <color indexed="8"/>
      <name val="Arial"/>
      <family val="2"/>
    </font>
    <font>
      <sz val="14"/>
      <name val="宋体"/>
      <family val="2"/>
      <charset val="134"/>
    </font>
    <font>
      <sz val="10"/>
      <color theme="1"/>
      <name val="宋体"/>
      <family val="3"/>
      <charset val="134"/>
    </font>
    <font>
      <sz val="9"/>
      <color rgb="FFFF0000"/>
      <name val="宋体"/>
      <family val="2"/>
      <charset val="134"/>
    </font>
    <font>
      <sz val="9"/>
      <color rgb="FFFF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b/>
      <sz val="16"/>
      <name val="宋体"/>
      <family val="3"/>
      <charset val="134"/>
    </font>
    <font>
      <sz val="16"/>
      <name val="宋体"/>
      <family val="3"/>
      <charset val="134"/>
    </font>
    <font>
      <b/>
      <sz val="9"/>
      <name val="宋体"/>
      <family val="3"/>
      <charset val="134"/>
    </font>
    <font>
      <sz val="9"/>
      <color rgb="FFFF000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9"/>
      <name val="宋体"/>
      <family val="2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sz val="9"/>
      <color theme="1"/>
      <name val="SimSun"/>
      <charset val="134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color indexed="64"/>
      <name val="仿宋"/>
      <family val="3"/>
      <charset val="134"/>
    </font>
    <font>
      <sz val="12"/>
      <color rgb="FF7030A0"/>
      <name val="仿宋"/>
      <family val="3"/>
      <charset val="134"/>
    </font>
    <font>
      <sz val="11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宋体"/>
      <family val="3"/>
      <charset val="134"/>
    </font>
    <font>
      <b/>
      <sz val="9"/>
      <name val="Tahoma"/>
      <family val="2"/>
    </font>
    <font>
      <sz val="9"/>
      <name val="Tahoma"/>
      <family val="2"/>
    </font>
    <font>
      <sz val="11"/>
      <name val="Times New Roman"/>
      <family val="1"/>
    </font>
    <font>
      <sz val="11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2"/>
      <name val="Arial"/>
      <family val="2"/>
    </font>
    <font>
      <sz val="9"/>
      <color rgb="FF00B050"/>
      <name val="宋体"/>
      <family val="3"/>
      <charset val="134"/>
    </font>
    <font>
      <sz val="10"/>
      <color rgb="FF00B050"/>
      <name val="宋体"/>
      <family val="3"/>
      <charset val="134"/>
    </font>
    <font>
      <sz val="10"/>
      <color rgb="FFFF0000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b/>
      <sz val="18"/>
      <name val="Times New Roman"/>
      <family val="1"/>
      <charset val="134"/>
    </font>
    <font>
      <b/>
      <sz val="18"/>
      <name val="宋体"/>
      <family val="1"/>
      <charset val="134"/>
    </font>
    <font>
      <b/>
      <sz val="18"/>
      <name val="Times New Roman"/>
      <family val="1"/>
    </font>
    <font>
      <sz val="18"/>
      <color theme="1"/>
      <name val="宋体"/>
      <family val="2"/>
      <charset val="134"/>
      <scheme val="minor"/>
    </font>
    <font>
      <sz val="9"/>
      <name val="Arial"/>
      <family val="2"/>
    </font>
    <font>
      <b/>
      <sz val="10"/>
      <color theme="1"/>
      <name val="宋体"/>
      <family val="3"/>
      <charset val="134"/>
    </font>
    <font>
      <sz val="8"/>
      <color theme="1"/>
      <name val="宋体"/>
      <family val="3"/>
      <charset val="134"/>
    </font>
    <font>
      <sz val="10.5"/>
      <color theme="3" tint="0.59999389629810485"/>
      <name val="仿宋_GB2312"/>
      <charset val="134"/>
    </font>
    <font>
      <sz val="9"/>
      <color theme="3" tint="0.59999389629810485"/>
      <name val="宋体"/>
      <family val="3"/>
      <charset val="134"/>
    </font>
    <font>
      <sz val="10"/>
      <color theme="3" tint="0.59999389629810485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0"/>
      <color theme="1"/>
      <name val="Arial"/>
      <family val="2"/>
    </font>
    <font>
      <b/>
      <sz val="10"/>
      <color theme="1"/>
      <name val="微软雅黑"/>
      <family val="2"/>
      <charset val="134"/>
    </font>
    <font>
      <sz val="10"/>
      <color theme="1"/>
      <name val="Arial"/>
      <family val="2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</fonts>
  <fills count="3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2014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7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7" fillId="0" borderId="0">
      <alignment vertical="center"/>
    </xf>
    <xf numFmtId="0" fontId="4" fillId="0" borderId="0"/>
    <xf numFmtId="179" fontId="7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41" fontId="47" fillId="0" borderId="0" applyFont="0" applyFill="0" applyBorder="0" applyAlignment="0" applyProtection="0">
      <alignment vertical="center"/>
    </xf>
    <xf numFmtId="0" fontId="7" fillId="0" borderId="0"/>
    <xf numFmtId="178" fontId="7" fillId="0" borderId="0" applyFont="0" applyFill="0" applyBorder="0" applyAlignment="0" applyProtection="0">
      <alignment vertical="center"/>
    </xf>
  </cellStyleXfs>
  <cellXfs count="428">
    <xf numFmtId="0" fontId="0" fillId="0" borderId="0" xfId="0">
      <alignment vertical="center"/>
    </xf>
    <xf numFmtId="0" fontId="2" fillId="28" borderId="0" xfId="0" applyFont="1" applyFill="1" applyAlignment="1" applyProtection="1">
      <protection locked="0"/>
    </xf>
    <xf numFmtId="0" fontId="41" fillId="28" borderId="0" xfId="0" applyFont="1" applyFill="1" applyAlignment="1" applyProtection="1">
      <protection locked="0"/>
    </xf>
    <xf numFmtId="0" fontId="2" fillId="2" borderId="0" xfId="0" applyFont="1" applyFill="1" applyAlignment="1" applyProtection="1">
      <protection locked="0"/>
    </xf>
    <xf numFmtId="49" fontId="40" fillId="28" borderId="14" xfId="0" applyNumberFormat="1" applyFont="1" applyFill="1" applyBorder="1" applyAlignment="1" applyProtection="1">
      <alignment vertical="center"/>
      <protection locked="0"/>
    </xf>
    <xf numFmtId="0" fontId="2" fillId="28" borderId="14" xfId="0" applyFont="1" applyFill="1" applyBorder="1" applyAlignment="1" applyProtection="1">
      <alignment wrapText="1"/>
      <protection locked="0"/>
    </xf>
    <xf numFmtId="178" fontId="2" fillId="28" borderId="14" xfId="0" applyNumberFormat="1" applyFont="1" applyFill="1" applyBorder="1" applyAlignment="1" applyProtection="1">
      <protection locked="0"/>
    </xf>
    <xf numFmtId="178" fontId="2" fillId="2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alignment wrapText="1"/>
      <protection locked="0"/>
    </xf>
    <xf numFmtId="49" fontId="40" fillId="28" borderId="1" xfId="0" applyNumberFormat="1" applyFont="1" applyFill="1" applyBorder="1" applyAlignment="1" applyProtection="1">
      <alignment vertical="center"/>
      <protection locked="0"/>
    </xf>
    <xf numFmtId="0" fontId="2" fillId="28" borderId="1" xfId="0" applyFont="1" applyFill="1" applyBorder="1" applyAlignment="1" applyProtection="1">
      <alignment wrapText="1"/>
      <protection locked="0"/>
    </xf>
    <xf numFmtId="178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0" fontId="2" fillId="28" borderId="0" xfId="0" applyFont="1" applyFill="1" applyAlignment="1" applyProtection="1">
      <alignment horizontal="center"/>
      <protection locked="0"/>
    </xf>
    <xf numFmtId="0" fontId="2" fillId="28" borderId="0" xfId="0" applyFont="1" applyFill="1" applyAlignment="1" applyProtection="1">
      <alignment wrapText="1"/>
      <protection locked="0"/>
    </xf>
    <xf numFmtId="0" fontId="41" fillId="2" borderId="0" xfId="0" applyFont="1" applyFill="1" applyAlignment="1" applyProtection="1">
      <protection locked="0"/>
    </xf>
    <xf numFmtId="49" fontId="40" fillId="2" borderId="14" xfId="0" applyNumberFormat="1" applyFont="1" applyFill="1" applyBorder="1" applyAlignment="1" applyProtection="1">
      <alignment vertical="center"/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49" fontId="40" fillId="2" borderId="1" xfId="0" applyNumberFormat="1" applyFont="1" applyFill="1" applyBorder="1" applyAlignment="1" applyProtection="1">
      <alignment vertic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78" fontId="2" fillId="2" borderId="1" xfId="0" applyNumberFormat="1" applyFont="1" applyFill="1" applyBorder="1" applyAlignment="1" applyProtection="1">
      <protection locked="0"/>
    </xf>
    <xf numFmtId="0" fontId="2" fillId="2" borderId="0" xfId="0" applyFont="1" applyFill="1" applyAlignment="1" applyProtection="1">
      <alignment horizontal="center"/>
      <protection locked="0"/>
    </xf>
    <xf numFmtId="0" fontId="2" fillId="2" borderId="0" xfId="0" applyFont="1" applyFill="1" applyAlignment="1" applyProtection="1">
      <alignment wrapText="1"/>
      <protection locked="0"/>
    </xf>
    <xf numFmtId="176" fontId="2" fillId="2" borderId="0" xfId="0" applyNumberFormat="1" applyFont="1" applyFill="1" applyAlignment="1" applyProtection="1">
      <protection locked="0"/>
    </xf>
    <xf numFmtId="178" fontId="2" fillId="2" borderId="0" xfId="0" applyNumberFormat="1" applyFont="1" applyFill="1" applyAlignment="1" applyProtection="1">
      <protection locked="0"/>
    </xf>
    <xf numFmtId="0" fontId="46" fillId="28" borderId="0" xfId="0" applyFont="1" applyFill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50" fillId="0" borderId="16" xfId="0" applyFont="1" applyBorder="1" applyAlignment="1">
      <alignment horizontal="center" vertical="center"/>
    </xf>
    <xf numFmtId="0" fontId="4" fillId="0" borderId="16" xfId="2006" applyBorder="1" applyAlignment="1">
      <alignment horizontal="center" vertical="center"/>
    </xf>
    <xf numFmtId="0" fontId="7" fillId="0" borderId="16" xfId="0" applyNumberFormat="1" applyFont="1" applyBorder="1" applyAlignment="1">
      <alignment horizontal="center" vertical="center"/>
    </xf>
    <xf numFmtId="0" fontId="4" fillId="0" borderId="16" xfId="2006" applyFont="1" applyFill="1" applyBorder="1" applyAlignment="1">
      <alignment horizontal="center" vertical="center"/>
    </xf>
    <xf numFmtId="180" fontId="0" fillId="0" borderId="16" xfId="0" applyNumberFormat="1" applyBorder="1" applyAlignment="1">
      <alignment horizontal="center" vertical="center"/>
    </xf>
    <xf numFmtId="0" fontId="39" fillId="28" borderId="16" xfId="0" applyNumberFormat="1" applyFont="1" applyFill="1" applyBorder="1" applyAlignment="1" applyProtection="1">
      <alignment horizontal="center" vertical="center"/>
      <protection locked="0"/>
    </xf>
    <xf numFmtId="0" fontId="39" fillId="28" borderId="16" xfId="0" applyNumberFormat="1" applyFont="1" applyFill="1" applyBorder="1" applyAlignment="1" applyProtection="1">
      <alignment horizontal="center" vertical="center" wrapText="1"/>
      <protection locked="0"/>
    </xf>
    <xf numFmtId="49" fontId="39" fillId="28" borderId="16" xfId="0" applyNumberFormat="1" applyFont="1" applyFill="1" applyBorder="1" applyAlignment="1" applyProtection="1">
      <alignment horizontal="center" vertical="center" wrapText="1"/>
      <protection locked="0"/>
    </xf>
    <xf numFmtId="0" fontId="40" fillId="28" borderId="16" xfId="0" applyNumberFormat="1" applyFont="1" applyFill="1" applyBorder="1" applyAlignment="1" applyProtection="1">
      <alignment horizontal="center"/>
      <protection locked="0"/>
    </xf>
    <xf numFmtId="49" fontId="40" fillId="28" borderId="16" xfId="0" applyNumberFormat="1" applyFont="1" applyFill="1" applyBorder="1" applyAlignment="1" applyProtection="1">
      <protection locked="0"/>
    </xf>
    <xf numFmtId="49" fontId="40" fillId="28" borderId="16" xfId="0" applyNumberFormat="1" applyFont="1" applyFill="1" applyBorder="1" applyAlignment="1" applyProtection="1">
      <alignment wrapText="1"/>
      <protection locked="0"/>
    </xf>
    <xf numFmtId="178" fontId="41" fillId="28" borderId="16" xfId="0" applyNumberFormat="1" applyFont="1" applyFill="1" applyBorder="1" applyAlignment="1" applyProtection="1"/>
    <xf numFmtId="49" fontId="41" fillId="28" borderId="16" xfId="0" applyNumberFormat="1" applyFont="1" applyFill="1" applyBorder="1" applyAlignment="1" applyProtection="1">
      <alignment wrapText="1"/>
      <protection locked="0"/>
    </xf>
    <xf numFmtId="178" fontId="41" fillId="28" borderId="16" xfId="0" applyNumberFormat="1" applyFont="1" applyFill="1" applyBorder="1" applyAlignment="1" applyProtection="1">
      <protection locked="0"/>
    </xf>
    <xf numFmtId="49" fontId="41" fillId="28" borderId="16" xfId="0" applyNumberFormat="1" applyFont="1" applyFill="1" applyBorder="1" applyAlignment="1" applyProtection="1">
      <alignment horizontal="left" wrapText="1"/>
      <protection locked="0"/>
    </xf>
    <xf numFmtId="49" fontId="41" fillId="28" borderId="16" xfId="0" applyNumberFormat="1" applyFont="1" applyFill="1" applyBorder="1" applyAlignment="1" applyProtection="1">
      <protection locked="0"/>
    </xf>
    <xf numFmtId="49" fontId="2" fillId="28" borderId="16" xfId="0" applyNumberFormat="1" applyFont="1" applyFill="1" applyBorder="1" applyAlignment="1" applyProtection="1">
      <protection locked="0"/>
    </xf>
    <xf numFmtId="49" fontId="2" fillId="28" borderId="16" xfId="0" applyNumberFormat="1" applyFont="1" applyFill="1" applyBorder="1" applyAlignment="1" applyProtection="1">
      <alignment wrapText="1"/>
      <protection locked="0"/>
    </xf>
    <xf numFmtId="178" fontId="2" fillId="28" borderId="16" xfId="0" applyNumberFormat="1" applyFont="1" applyFill="1" applyBorder="1" applyAlignment="1" applyProtection="1">
      <protection locked="0"/>
    </xf>
    <xf numFmtId="178" fontId="2" fillId="28" borderId="16" xfId="0" applyNumberFormat="1" applyFont="1" applyFill="1" applyBorder="1" applyAlignment="1" applyProtection="1"/>
    <xf numFmtId="0" fontId="2" fillId="28" borderId="16" xfId="0" applyFont="1" applyFill="1" applyBorder="1" applyAlignment="1" applyProtection="1">
      <alignment wrapText="1"/>
      <protection locked="0"/>
    </xf>
    <xf numFmtId="0" fontId="41" fillId="28" borderId="16" xfId="0" applyFont="1" applyFill="1" applyBorder="1" applyAlignment="1" applyProtection="1">
      <alignment wrapText="1"/>
      <protection locked="0"/>
    </xf>
    <xf numFmtId="179" fontId="2" fillId="28" borderId="16" xfId="0" applyNumberFormat="1" applyFont="1" applyFill="1" applyBorder="1" applyAlignment="1" applyProtection="1">
      <protection locked="0"/>
    </xf>
    <xf numFmtId="49" fontId="40" fillId="28" borderId="16" xfId="0" applyNumberFormat="1" applyFont="1" applyFill="1" applyBorder="1" applyAlignment="1" applyProtection="1">
      <alignment horizontal="left"/>
      <protection locked="0"/>
    </xf>
    <xf numFmtId="178" fontId="41" fillId="2" borderId="16" xfId="0" applyNumberFormat="1" applyFont="1" applyFill="1" applyBorder="1" applyAlignment="1" applyProtection="1"/>
    <xf numFmtId="0" fontId="52" fillId="28" borderId="16" xfId="0" applyNumberFormat="1" applyFont="1" applyFill="1" applyBorder="1" applyAlignment="1" applyProtection="1">
      <alignment horizontal="center" vertical="center" wrapText="1"/>
      <protection locked="0"/>
    </xf>
    <xf numFmtId="178" fontId="2" fillId="28" borderId="0" xfId="0" applyNumberFormat="1" applyFont="1" applyFill="1" applyAlignment="1" applyProtection="1">
      <protection locked="0"/>
    </xf>
    <xf numFmtId="0" fontId="39" fillId="2" borderId="16" xfId="0" applyNumberFormat="1" applyFont="1" applyFill="1" applyBorder="1" applyAlignment="1" applyProtection="1">
      <alignment horizontal="center" vertical="center" wrapText="1"/>
      <protection locked="0"/>
    </xf>
    <xf numFmtId="178" fontId="41" fillId="2" borderId="16" xfId="0" applyNumberFormat="1" applyFont="1" applyFill="1" applyBorder="1" applyAlignment="1" applyProtection="1">
      <protection locked="0"/>
    </xf>
    <xf numFmtId="0" fontId="40" fillId="2" borderId="16" xfId="0" applyNumberFormat="1" applyFont="1" applyFill="1" applyBorder="1" applyAlignment="1" applyProtection="1">
      <alignment horizontal="center"/>
      <protection locked="0"/>
    </xf>
    <xf numFmtId="49" fontId="40" fillId="2" borderId="16" xfId="0" applyNumberFormat="1" applyFont="1" applyFill="1" applyBorder="1" applyAlignment="1" applyProtection="1">
      <protection locked="0"/>
    </xf>
    <xf numFmtId="49" fontId="40" fillId="2" borderId="16" xfId="0" applyNumberFormat="1" applyFont="1" applyFill="1" applyBorder="1" applyAlignment="1" applyProtection="1">
      <alignment wrapText="1"/>
      <protection locked="0"/>
    </xf>
    <xf numFmtId="176" fontId="41" fillId="2" borderId="16" xfId="0" applyNumberFormat="1" applyFont="1" applyFill="1" applyBorder="1" applyAlignment="1" applyProtection="1"/>
    <xf numFmtId="49" fontId="41" fillId="2" borderId="16" xfId="0" applyNumberFormat="1" applyFont="1" applyFill="1" applyBorder="1" applyAlignment="1" applyProtection="1">
      <protection locked="0"/>
    </xf>
    <xf numFmtId="49" fontId="2" fillId="2" borderId="16" xfId="0" applyNumberFormat="1" applyFont="1" applyFill="1" applyBorder="1" applyAlignment="1" applyProtection="1">
      <protection locked="0"/>
    </xf>
    <xf numFmtId="49" fontId="2" fillId="2" borderId="16" xfId="0" applyNumberFormat="1" applyFont="1" applyFill="1" applyBorder="1" applyAlignment="1" applyProtection="1">
      <alignment wrapText="1"/>
      <protection locked="0"/>
    </xf>
    <xf numFmtId="178" fontId="2" fillId="2" borderId="16" xfId="0" applyNumberFormat="1" applyFont="1" applyFill="1" applyBorder="1" applyAlignment="1" applyProtection="1">
      <protection locked="0"/>
    </xf>
    <xf numFmtId="178" fontId="2" fillId="2" borderId="16" xfId="0" applyNumberFormat="1" applyFont="1" applyFill="1" applyBorder="1" applyAlignment="1" applyProtection="1"/>
    <xf numFmtId="49" fontId="41" fillId="2" borderId="16" xfId="0" applyNumberFormat="1" applyFont="1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Alignment="1" applyProtection="1">
      <alignment horizontal="center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0" fontId="41" fillId="2" borderId="16" xfId="0" applyFont="1" applyFill="1" applyBorder="1" applyAlignment="1" applyProtection="1">
      <alignment wrapText="1"/>
      <protection locked="0"/>
    </xf>
    <xf numFmtId="179" fontId="2" fillId="2" borderId="16" xfId="0" applyNumberFormat="1" applyFont="1" applyFill="1" applyBorder="1" applyAlignment="1" applyProtection="1">
      <protection locked="0"/>
    </xf>
    <xf numFmtId="49" fontId="40" fillId="2" borderId="16" xfId="0" applyNumberFormat="1" applyFont="1" applyFill="1" applyBorder="1" applyAlignment="1" applyProtection="1">
      <alignment horizontal="left"/>
      <protection locked="0"/>
    </xf>
    <xf numFmtId="0" fontId="2" fillId="2" borderId="0" xfId="0" applyNumberFormat="1" applyFont="1" applyFill="1" applyAlignment="1" applyProtection="1">
      <protection locked="0"/>
    </xf>
    <xf numFmtId="176" fontId="41" fillId="28" borderId="16" xfId="0" applyNumberFormat="1" applyFont="1" applyFill="1" applyBorder="1" applyAlignment="1" applyProtection="1"/>
    <xf numFmtId="0" fontId="43" fillId="0" borderId="16" xfId="0" applyNumberFormat="1" applyFont="1" applyBorder="1" applyAlignment="1">
      <alignment horizontal="center" vertical="center"/>
    </xf>
    <xf numFmtId="0" fontId="56" fillId="28" borderId="0" xfId="0" applyFont="1" applyFill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56" fillId="2" borderId="16" xfId="0" applyFont="1" applyFill="1" applyBorder="1" applyAlignment="1">
      <alignment horizontal="left" vertical="center" wrapText="1"/>
    </xf>
    <xf numFmtId="181" fontId="43" fillId="2" borderId="0" xfId="0" applyNumberFormat="1" applyFont="1" applyFill="1">
      <alignment vertical="center"/>
    </xf>
    <xf numFmtId="181" fontId="2" fillId="29" borderId="16" xfId="0" applyNumberFormat="1" applyFont="1" applyFill="1" applyBorder="1" applyAlignment="1">
      <alignment horizontal="center" vertical="center" wrapText="1"/>
    </xf>
    <xf numFmtId="181" fontId="45" fillId="2" borderId="16" xfId="0" applyNumberFormat="1" applyFont="1" applyFill="1" applyBorder="1" applyAlignment="1">
      <alignment horizontal="center" vertical="center"/>
    </xf>
    <xf numFmtId="181" fontId="2" fillId="2" borderId="16" xfId="0" applyNumberFormat="1" applyFont="1" applyFill="1" applyBorder="1" applyAlignment="1">
      <alignment horizontal="center" vertical="center"/>
    </xf>
    <xf numFmtId="176" fontId="2" fillId="2" borderId="16" xfId="0" applyNumberFormat="1" applyFont="1" applyFill="1" applyBorder="1" applyAlignment="1">
      <alignment horizontal="center" vertical="center"/>
    </xf>
    <xf numFmtId="176" fontId="45" fillId="2" borderId="16" xfId="0" applyNumberFormat="1" applyFont="1" applyFill="1" applyBorder="1" applyAlignment="1">
      <alignment horizontal="center" vertical="center"/>
    </xf>
    <xf numFmtId="181" fontId="45" fillId="2" borderId="0" xfId="0" applyNumberFormat="1" applyFont="1" applyFill="1">
      <alignment vertical="center"/>
    </xf>
    <xf numFmtId="176" fontId="45" fillId="29" borderId="16" xfId="0" applyNumberFormat="1" applyFont="1" applyFill="1" applyBorder="1" applyAlignment="1">
      <alignment horizontal="center" vertical="center"/>
    </xf>
    <xf numFmtId="181" fontId="43" fillId="29" borderId="0" xfId="0" applyNumberFormat="1" applyFont="1" applyFill="1">
      <alignment vertical="center"/>
    </xf>
    <xf numFmtId="176" fontId="2" fillId="2" borderId="16" xfId="0" applyNumberFormat="1" applyFont="1" applyFill="1" applyBorder="1" applyAlignment="1">
      <alignment horizontal="center" vertical="center" wrapText="1"/>
    </xf>
    <xf numFmtId="181" fontId="2" fillId="2" borderId="16" xfId="0" applyNumberFormat="1" applyFont="1" applyFill="1" applyBorder="1" applyAlignment="1">
      <alignment horizontal="center" vertical="center" wrapText="1"/>
    </xf>
    <xf numFmtId="176" fontId="43" fillId="2" borderId="0" xfId="0" applyNumberFormat="1" applyFont="1" applyFill="1">
      <alignment vertical="center"/>
    </xf>
    <xf numFmtId="0" fontId="65" fillId="0" borderId="16" xfId="0" applyFont="1" applyFill="1" applyBorder="1" applyAlignment="1">
      <alignment horizontal="center" vertical="center"/>
    </xf>
    <xf numFmtId="1" fontId="2" fillId="2" borderId="16" xfId="0" applyNumberFormat="1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181" fontId="66" fillId="29" borderId="16" xfId="0" applyNumberFormat="1" applyFont="1" applyFill="1" applyBorder="1" applyAlignment="1">
      <alignment horizontal="center" vertical="center" wrapText="1"/>
    </xf>
    <xf numFmtId="176" fontId="67" fillId="2" borderId="16" xfId="0" applyNumberFormat="1" applyFont="1" applyFill="1" applyBorder="1" applyAlignment="1">
      <alignment horizontal="center" vertical="center"/>
    </xf>
    <xf numFmtId="181" fontId="67" fillId="2" borderId="0" xfId="0" applyNumberFormat="1" applyFont="1" applyFill="1">
      <alignment vertical="center"/>
    </xf>
    <xf numFmtId="0" fontId="42" fillId="0" borderId="0" xfId="0" applyNumberFormat="1" applyFont="1">
      <alignment vertical="center"/>
    </xf>
    <xf numFmtId="0" fontId="43" fillId="30" borderId="16" xfId="0" applyNumberFormat="1" applyFont="1" applyFill="1" applyBorder="1" applyAlignment="1">
      <alignment horizontal="center" vertical="center"/>
    </xf>
    <xf numFmtId="0" fontId="43" fillId="0" borderId="0" xfId="0" applyNumberFormat="1" applyFont="1">
      <alignment vertical="center"/>
    </xf>
    <xf numFmtId="0" fontId="68" fillId="2" borderId="16" xfId="1225" applyNumberFormat="1" applyFont="1" applyFill="1" applyBorder="1" applyAlignment="1">
      <alignment horizontal="left" vertical="center"/>
    </xf>
    <xf numFmtId="176" fontId="43" fillId="0" borderId="16" xfId="0" applyNumberFormat="1" applyFont="1" applyBorder="1" applyAlignment="1">
      <alignment horizontal="center" vertical="center"/>
    </xf>
    <xf numFmtId="0" fontId="4" fillId="2" borderId="16" xfId="0" applyNumberFormat="1" applyFont="1" applyFill="1" applyBorder="1" applyAlignment="1">
      <alignment horizontal="left" vertical="center"/>
    </xf>
    <xf numFmtId="0" fontId="44" fillId="30" borderId="16" xfId="0" applyNumberFormat="1" applyFont="1" applyFill="1" applyBorder="1" applyAlignment="1">
      <alignment horizontal="center" vertical="center"/>
    </xf>
    <xf numFmtId="0" fontId="40" fillId="30" borderId="16" xfId="0" applyNumberFormat="1" applyFont="1" applyFill="1" applyBorder="1" applyAlignment="1" applyProtection="1">
      <alignment horizontal="center" vertical="center" wrapText="1"/>
      <protection locked="0"/>
    </xf>
    <xf numFmtId="176" fontId="43" fillId="30" borderId="16" xfId="0" applyNumberFormat="1" applyFont="1" applyFill="1" applyBorder="1" applyAlignment="1">
      <alignment horizontal="center" vertical="center"/>
    </xf>
    <xf numFmtId="0" fontId="40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2" fillId="2" borderId="16" xfId="0" applyNumberFormat="1" applyFont="1" applyFill="1" applyBorder="1" applyAlignment="1">
      <alignment horizontal="left" vertical="center"/>
    </xf>
    <xf numFmtId="0" fontId="45" fillId="2" borderId="16" xfId="1225" applyNumberFormat="1" applyFont="1" applyFill="1" applyBorder="1" applyAlignment="1">
      <alignment horizontal="left" vertical="center"/>
    </xf>
    <xf numFmtId="0" fontId="48" fillId="0" borderId="16" xfId="0" applyNumberFormat="1" applyFont="1" applyBorder="1">
      <alignment vertical="center"/>
    </xf>
    <xf numFmtId="0" fontId="43" fillId="0" borderId="16" xfId="0" applyNumberFormat="1" applyFont="1" applyBorder="1">
      <alignment vertical="center"/>
    </xf>
    <xf numFmtId="0" fontId="3" fillId="0" borderId="0" xfId="0" applyNumberFormat="1" applyFont="1">
      <alignment vertical="center"/>
    </xf>
    <xf numFmtId="176" fontId="41" fillId="28" borderId="16" xfId="0" applyNumberFormat="1" applyFont="1" applyFill="1" applyBorder="1" applyAlignment="1" applyProtection="1">
      <alignment wrapText="1"/>
      <protection locked="0"/>
    </xf>
    <xf numFmtId="176" fontId="2" fillId="28" borderId="16" xfId="0" applyNumberFormat="1" applyFont="1" applyFill="1" applyBorder="1" applyAlignment="1" applyProtection="1">
      <alignment wrapText="1"/>
      <protection locked="0"/>
    </xf>
    <xf numFmtId="176" fontId="2" fillId="28" borderId="14" xfId="0" applyNumberFormat="1" applyFont="1" applyFill="1" applyBorder="1" applyAlignment="1" applyProtection="1">
      <alignment wrapText="1"/>
      <protection locked="0"/>
    </xf>
    <xf numFmtId="176" fontId="2" fillId="28" borderId="1" xfId="0" applyNumberFormat="1" applyFont="1" applyFill="1" applyBorder="1" applyAlignment="1" applyProtection="1">
      <alignment wrapText="1"/>
      <protection locked="0"/>
    </xf>
    <xf numFmtId="176" fontId="41" fillId="28" borderId="16" xfId="0" applyNumberFormat="1" applyFont="1" applyFill="1" applyBorder="1" applyAlignment="1" applyProtection="1">
      <alignment horizontal="right" wrapText="1"/>
      <protection locked="0"/>
    </xf>
    <xf numFmtId="0" fontId="2" fillId="28" borderId="0" xfId="0" applyFont="1" applyFill="1" applyAlignment="1" applyProtection="1">
      <alignment horizontal="center" vertical="center"/>
      <protection locked="0"/>
    </xf>
    <xf numFmtId="177" fontId="45" fillId="2" borderId="16" xfId="0" applyNumberFormat="1" applyFont="1" applyFill="1" applyBorder="1" applyAlignment="1">
      <alignment horizontal="center" vertical="center"/>
    </xf>
    <xf numFmtId="0" fontId="71" fillId="28" borderId="0" xfId="0" applyFont="1" applyFill="1" applyAlignment="1" applyProtection="1">
      <protection locked="0"/>
    </xf>
    <xf numFmtId="176" fontId="2" fillId="2" borderId="16" xfId="0" applyNumberFormat="1" applyFont="1" applyFill="1" applyBorder="1" applyAlignment="1" applyProtection="1"/>
    <xf numFmtId="0" fontId="43" fillId="2" borderId="16" xfId="0" applyNumberFormat="1" applyFont="1" applyFill="1" applyBorder="1" applyAlignment="1">
      <alignment horizontal="center" vertical="center"/>
    </xf>
    <xf numFmtId="0" fontId="45" fillId="2" borderId="16" xfId="0" applyNumberFormat="1" applyFont="1" applyFill="1" applyBorder="1" applyAlignment="1">
      <alignment horizontal="center" vertical="center"/>
    </xf>
    <xf numFmtId="176" fontId="43" fillId="2" borderId="16" xfId="0" applyNumberFormat="1" applyFont="1" applyFill="1" applyBorder="1" applyAlignment="1">
      <alignment horizontal="center" vertical="center"/>
    </xf>
    <xf numFmtId="0" fontId="43" fillId="2" borderId="0" xfId="0" applyNumberFormat="1" applyFont="1" applyFill="1" applyAlignment="1">
      <alignment horizontal="center" vertical="center"/>
    </xf>
    <xf numFmtId="181" fontId="43" fillId="2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vertical="center" wrapText="1"/>
    </xf>
    <xf numFmtId="0" fontId="46" fillId="28" borderId="0" xfId="0" applyFont="1" applyFill="1" applyAlignment="1">
      <alignment horizontal="center" vertical="center" wrapText="1"/>
    </xf>
    <xf numFmtId="43" fontId="46" fillId="28" borderId="0" xfId="1720" applyNumberFormat="1" applyFont="1" applyFill="1" applyAlignment="1">
      <alignment horizontal="center" vertical="center"/>
    </xf>
    <xf numFmtId="43" fontId="46" fillId="28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horizontal="left" vertical="center" wrapText="1"/>
    </xf>
    <xf numFmtId="179" fontId="46" fillId="28" borderId="0" xfId="1720" applyNumberFormat="1" applyFont="1" applyFill="1" applyAlignment="1">
      <alignment horizontal="center" vertical="center"/>
    </xf>
    <xf numFmtId="179" fontId="46" fillId="28" borderId="0" xfId="0" applyNumberFormat="1" applyFont="1" applyFill="1" applyAlignment="1">
      <alignment horizontal="center" vertical="center"/>
    </xf>
    <xf numFmtId="0" fontId="55" fillId="2" borderId="16" xfId="0" applyFont="1" applyFill="1" applyBorder="1" applyAlignment="1">
      <alignment horizontal="center" vertical="center" wrapText="1"/>
    </xf>
    <xf numFmtId="0" fontId="54" fillId="2" borderId="16" xfId="0" applyFont="1" applyFill="1" applyBorder="1" applyAlignment="1">
      <alignment horizontal="center" vertical="center" wrapText="1"/>
    </xf>
    <xf numFmtId="179" fontId="55" fillId="2" borderId="16" xfId="1720" applyNumberFormat="1" applyFont="1" applyFill="1" applyBorder="1" applyAlignment="1">
      <alignment horizontal="center" vertical="center" wrapText="1"/>
    </xf>
    <xf numFmtId="179" fontId="55" fillId="2" borderId="16" xfId="0" applyNumberFormat="1" applyFont="1" applyFill="1" applyBorder="1" applyAlignment="1">
      <alignment horizontal="center" vertical="center" wrapText="1"/>
    </xf>
    <xf numFmtId="0" fontId="54" fillId="2" borderId="16" xfId="0" applyFont="1" applyFill="1" applyBorder="1" applyAlignment="1">
      <alignment horizontal="center" vertical="center"/>
    </xf>
    <xf numFmtId="0" fontId="31" fillId="2" borderId="16" xfId="0" applyFont="1" applyFill="1" applyBorder="1" applyAlignment="1">
      <alignment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/>
    </xf>
    <xf numFmtId="0" fontId="31" fillId="2" borderId="16" xfId="0" applyFont="1" applyFill="1" applyBorder="1" applyAlignment="1">
      <alignment horizontal="center" vertical="center"/>
    </xf>
    <xf numFmtId="43" fontId="31" fillId="2" borderId="16" xfId="1720" applyNumberFormat="1" applyFont="1" applyFill="1" applyBorder="1" applyAlignment="1">
      <alignment horizontal="center" vertical="center"/>
    </xf>
    <xf numFmtId="43" fontId="31" fillId="2" borderId="16" xfId="0" applyNumberFormat="1" applyFont="1" applyFill="1" applyBorder="1" applyAlignment="1">
      <alignment horizontal="center" vertical="center"/>
    </xf>
    <xf numFmtId="0" fontId="56" fillId="2" borderId="16" xfId="0" applyFont="1" applyFill="1" applyBorder="1" applyAlignment="1">
      <alignment horizontal="center" vertical="center"/>
    </xf>
    <xf numFmtId="43" fontId="56" fillId="2" borderId="16" xfId="0" applyNumberFormat="1" applyFont="1" applyFill="1" applyBorder="1" applyAlignment="1">
      <alignment horizontal="left" vertical="center" wrapText="1"/>
    </xf>
    <xf numFmtId="0" fontId="4" fillId="2" borderId="16" xfId="0" applyFont="1" applyFill="1" applyBorder="1" applyAlignment="1">
      <alignment vertical="center" wrapText="1"/>
    </xf>
    <xf numFmtId="0" fontId="31" fillId="2" borderId="16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left" vertical="center" wrapText="1"/>
    </xf>
    <xf numFmtId="0" fontId="8" fillId="2" borderId="16" xfId="0" applyFont="1" applyFill="1" applyBorder="1" applyAlignment="1">
      <alignment horizontal="left" vertical="center"/>
    </xf>
    <xf numFmtId="0" fontId="59" fillId="2" borderId="16" xfId="0" applyNumberFormat="1" applyFont="1" applyFill="1" applyBorder="1" applyAlignment="1">
      <alignment horizontal="center" vertical="center"/>
    </xf>
    <xf numFmtId="0" fontId="31" fillId="2" borderId="16" xfId="0" applyFont="1" applyFill="1" applyBorder="1" applyAlignment="1">
      <alignment horizontal="left" vertical="center" wrapText="1"/>
    </xf>
    <xf numFmtId="0" fontId="58" fillId="2" borderId="16" xfId="0" applyFont="1" applyFill="1" applyBorder="1" applyAlignment="1">
      <alignment horizontal="center" vertical="center" wrapText="1"/>
    </xf>
    <xf numFmtId="0" fontId="31" fillId="2" borderId="16" xfId="2009" applyFont="1" applyFill="1" applyBorder="1" applyAlignment="1">
      <alignment vertical="center" wrapText="1"/>
    </xf>
    <xf numFmtId="0" fontId="4" fillId="2" borderId="16" xfId="2009" applyFont="1" applyFill="1" applyBorder="1" applyAlignment="1">
      <alignment horizontal="center" vertical="center" wrapText="1"/>
    </xf>
    <xf numFmtId="0" fontId="4" fillId="2" borderId="16" xfId="2009" applyFont="1" applyFill="1" applyBorder="1" applyAlignment="1">
      <alignment vertical="center" wrapText="1"/>
    </xf>
    <xf numFmtId="0" fontId="60" fillId="2" borderId="16" xfId="0" applyFont="1" applyFill="1" applyBorder="1" applyAlignment="1">
      <alignment horizontal="center" vertical="center"/>
    </xf>
    <xf numFmtId="57" fontId="56" fillId="2" borderId="16" xfId="0" applyNumberFormat="1" applyFont="1" applyFill="1" applyBorder="1" applyAlignment="1">
      <alignment horizontal="left" vertical="center" wrapText="1"/>
    </xf>
    <xf numFmtId="0" fontId="56" fillId="2" borderId="16" xfId="0" applyFont="1" applyFill="1" applyBorder="1" applyAlignment="1">
      <alignment horizontal="center" vertical="center" wrapText="1"/>
    </xf>
    <xf numFmtId="0" fontId="63" fillId="2" borderId="16" xfId="0" applyFont="1" applyFill="1" applyBorder="1" applyAlignment="1">
      <alignment horizontal="left" vertical="center" wrapText="1"/>
    </xf>
    <xf numFmtId="0" fontId="56" fillId="2" borderId="16" xfId="0" applyFont="1" applyFill="1" applyBorder="1" applyAlignment="1">
      <alignment horizontal="left" vertical="center"/>
    </xf>
    <xf numFmtId="0" fontId="59" fillId="2" borderId="16" xfId="0" applyFont="1" applyFill="1" applyBorder="1" applyAlignment="1">
      <alignment horizontal="center" vertical="center"/>
    </xf>
    <xf numFmtId="43" fontId="31" fillId="2" borderId="16" xfId="0" applyNumberFormat="1" applyFont="1" applyFill="1" applyBorder="1" applyAlignment="1">
      <alignment horizontal="right" vertical="center"/>
    </xf>
    <xf numFmtId="0" fontId="4" fillId="2" borderId="16" xfId="0" applyFont="1" applyFill="1" applyBorder="1" applyAlignment="1">
      <alignment horizontal="left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57" fillId="2" borderId="16" xfId="0" applyFont="1" applyFill="1" applyBorder="1" applyAlignment="1">
      <alignment horizontal="center" vertical="center" wrapText="1"/>
    </xf>
    <xf numFmtId="181" fontId="2" fillId="29" borderId="16" xfId="0" applyNumberFormat="1" applyFont="1" applyFill="1" applyBorder="1" applyAlignment="1">
      <alignment horizontal="center" vertical="center"/>
    </xf>
    <xf numFmtId="181" fontId="45" fillId="29" borderId="16" xfId="0" applyNumberFormat="1" applyFont="1" applyFill="1" applyBorder="1" applyAlignment="1">
      <alignment horizontal="center" vertical="center"/>
    </xf>
    <xf numFmtId="176" fontId="2" fillId="2" borderId="16" xfId="2000" applyNumberFormat="1" applyFont="1" applyFill="1" applyBorder="1" applyAlignment="1">
      <alignment horizontal="center" vertical="center" wrapText="1"/>
    </xf>
    <xf numFmtId="176" fontId="2" fillId="2" borderId="16" xfId="2000" applyNumberFormat="1" applyFont="1" applyFill="1" applyBorder="1" applyAlignment="1">
      <alignment horizontal="center" vertical="center"/>
    </xf>
    <xf numFmtId="178" fontId="73" fillId="28" borderId="16" xfId="0" applyNumberFormat="1" applyFont="1" applyFill="1" applyBorder="1" applyAlignment="1" applyProtection="1">
      <protection locked="0"/>
    </xf>
    <xf numFmtId="178" fontId="73" fillId="2" borderId="16" xfId="0" applyNumberFormat="1" applyFont="1" applyFill="1" applyBorder="1" applyAlignment="1" applyProtection="1">
      <protection locked="0"/>
    </xf>
    <xf numFmtId="0" fontId="0" fillId="2" borderId="0" xfId="0" applyFill="1">
      <alignment vertical="center"/>
    </xf>
    <xf numFmtId="0" fontId="2" fillId="2" borderId="16" xfId="0" applyFont="1" applyFill="1" applyBorder="1" applyAlignment="1">
      <alignment horizontal="center" vertical="center"/>
    </xf>
    <xf numFmtId="0" fontId="76" fillId="2" borderId="16" xfId="0" applyFont="1" applyFill="1" applyBorder="1" applyAlignment="1">
      <alignment horizontal="center" vertical="center" wrapText="1"/>
    </xf>
    <xf numFmtId="0" fontId="48" fillId="2" borderId="16" xfId="0" applyFont="1" applyFill="1" applyBorder="1" applyAlignment="1">
      <alignment horizontal="center" vertical="center"/>
    </xf>
    <xf numFmtId="176" fontId="43" fillId="2" borderId="16" xfId="0" applyNumberFormat="1" applyFont="1" applyFill="1" applyBorder="1">
      <alignment vertical="center"/>
    </xf>
    <xf numFmtId="0" fontId="43" fillId="2" borderId="0" xfId="0" applyFont="1" applyFill="1">
      <alignment vertical="center"/>
    </xf>
    <xf numFmtId="0" fontId="43" fillId="2" borderId="16" xfId="0" applyFont="1" applyFill="1" applyBorder="1" applyAlignment="1">
      <alignment horizontal="center" vertical="center"/>
    </xf>
    <xf numFmtId="0" fontId="4" fillId="2" borderId="16" xfId="0" applyNumberFormat="1" applyFont="1" applyFill="1" applyBorder="1" applyAlignment="1" applyProtection="1">
      <alignment horizontal="left" vertical="center"/>
    </xf>
    <xf numFmtId="0" fontId="4" fillId="2" borderId="16" xfId="0" applyNumberFormat="1" applyFont="1" applyFill="1" applyBorder="1" applyAlignment="1" applyProtection="1">
      <alignment horizontal="center" vertical="center"/>
    </xf>
    <xf numFmtId="0" fontId="77" fillId="2" borderId="16" xfId="0" applyFont="1" applyFill="1" applyBorder="1" applyAlignment="1">
      <alignment horizontal="center" vertical="center" wrapText="1"/>
    </xf>
    <xf numFmtId="176" fontId="48" fillId="2" borderId="16" xfId="0" applyNumberFormat="1" applyFont="1" applyFill="1" applyBorder="1" applyAlignment="1">
      <alignment horizontal="center" vertical="center"/>
    </xf>
    <xf numFmtId="0" fontId="48" fillId="2" borderId="0" xfId="0" applyFont="1" applyFill="1">
      <alignment vertical="center"/>
    </xf>
    <xf numFmtId="176" fontId="0" fillId="2" borderId="0" xfId="0" applyNumberFormat="1" applyFill="1">
      <alignment vertical="center"/>
    </xf>
    <xf numFmtId="0" fontId="0" fillId="0" borderId="0" xfId="0" applyFont="1">
      <alignment vertical="center"/>
    </xf>
    <xf numFmtId="0" fontId="2" fillId="2" borderId="16" xfId="0" applyNumberFormat="1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48" fillId="0" borderId="16" xfId="0" applyFont="1" applyBorder="1">
      <alignment vertical="center"/>
    </xf>
    <xf numFmtId="0" fontId="80" fillId="0" borderId="16" xfId="0" applyNumberFormat="1" applyFont="1" applyFill="1" applyBorder="1">
      <alignment vertical="center"/>
    </xf>
    <xf numFmtId="176" fontId="80" fillId="0" borderId="16" xfId="0" applyNumberFormat="1" applyFont="1" applyFill="1" applyBorder="1">
      <alignment vertical="center"/>
    </xf>
    <xf numFmtId="176" fontId="48" fillId="0" borderId="16" xfId="0" applyNumberFormat="1" applyFont="1" applyBorder="1">
      <alignment vertical="center"/>
    </xf>
    <xf numFmtId="0" fontId="81" fillId="0" borderId="16" xfId="0" applyNumberFormat="1" applyFont="1" applyBorder="1">
      <alignment vertical="center"/>
    </xf>
    <xf numFmtId="0" fontId="81" fillId="0" borderId="16" xfId="0" applyFont="1" applyBorder="1">
      <alignment vertical="center"/>
    </xf>
    <xf numFmtId="176" fontId="80" fillId="2" borderId="16" xfId="0" applyNumberFormat="1" applyFont="1" applyFill="1" applyBorder="1">
      <alignment vertical="center"/>
    </xf>
    <xf numFmtId="176" fontId="48" fillId="2" borderId="16" xfId="0" applyNumberFormat="1" applyFont="1" applyFill="1" applyBorder="1">
      <alignment vertical="center"/>
    </xf>
    <xf numFmtId="0" fontId="82" fillId="0" borderId="16" xfId="0" applyNumberFormat="1" applyFont="1" applyFill="1" applyBorder="1">
      <alignment vertical="center"/>
    </xf>
    <xf numFmtId="0" fontId="0" fillId="0" borderId="0" xfId="0" applyAlignment="1">
      <alignment vertical="center"/>
    </xf>
    <xf numFmtId="182" fontId="84" fillId="0" borderId="16" xfId="0" applyNumberFormat="1" applyFont="1" applyFill="1" applyBorder="1" applyAlignment="1">
      <alignment horizontal="center" vertical="center" wrapText="1"/>
    </xf>
    <xf numFmtId="49" fontId="84" fillId="0" borderId="16" xfId="0" applyNumberFormat="1" applyFont="1" applyFill="1" applyBorder="1" applyAlignment="1">
      <alignment horizontal="center" vertical="center" wrapText="1"/>
    </xf>
    <xf numFmtId="183" fontId="84" fillId="0" borderId="16" xfId="0" applyNumberFormat="1" applyFont="1" applyFill="1" applyBorder="1" applyAlignment="1">
      <alignment horizontal="center" vertical="center" wrapText="1"/>
    </xf>
    <xf numFmtId="0" fontId="85" fillId="0" borderId="0" xfId="0" applyFont="1" applyAlignment="1">
      <alignment vertical="center"/>
    </xf>
    <xf numFmtId="0" fontId="86" fillId="0" borderId="16" xfId="0" applyFont="1" applyFill="1" applyBorder="1" applyAlignment="1" applyProtection="1">
      <alignment horizontal="center" vertical="center"/>
    </xf>
    <xf numFmtId="0" fontId="86" fillId="0" borderId="16" xfId="0" applyFont="1" applyFill="1" applyBorder="1" applyAlignment="1" applyProtection="1">
      <alignment horizontal="center" vertical="center" wrapText="1"/>
    </xf>
    <xf numFmtId="49" fontId="86" fillId="0" borderId="16" xfId="0" applyNumberFormat="1" applyFont="1" applyFill="1" applyBorder="1" applyAlignment="1" applyProtection="1">
      <alignment horizontal="center" vertical="center" wrapText="1"/>
    </xf>
    <xf numFmtId="183" fontId="86" fillId="0" borderId="16" xfId="0" applyNumberFormat="1" applyFont="1" applyFill="1" applyBorder="1" applyAlignment="1" applyProtection="1">
      <alignment horizontal="center" vertical="center"/>
    </xf>
    <xf numFmtId="176" fontId="87" fillId="0" borderId="16" xfId="0" applyNumberFormat="1" applyFont="1" applyFill="1" applyBorder="1" applyAlignment="1">
      <alignment horizontal="center" vertical="center"/>
    </xf>
    <xf numFmtId="176" fontId="88" fillId="0" borderId="16" xfId="0" applyNumberFormat="1" applyFont="1" applyFill="1" applyBorder="1" applyAlignment="1">
      <alignment horizontal="center" vertical="center"/>
    </xf>
    <xf numFmtId="0" fontId="89" fillId="0" borderId="16" xfId="0" applyFont="1" applyFill="1" applyBorder="1" applyAlignment="1">
      <alignment horizontal="center" vertical="center"/>
    </xf>
    <xf numFmtId="176" fontId="85" fillId="0" borderId="16" xfId="0" applyNumberFormat="1" applyFont="1" applyFill="1" applyBorder="1" applyAlignment="1">
      <alignment horizontal="center" vertical="center"/>
    </xf>
    <xf numFmtId="0" fontId="86" fillId="0" borderId="16" xfId="0" applyFont="1" applyFill="1" applyBorder="1" applyAlignment="1">
      <alignment horizontal="center" vertical="center" wrapText="1"/>
    </xf>
    <xf numFmtId="0" fontId="86" fillId="0" borderId="16" xfId="0" applyFont="1" applyFill="1" applyBorder="1" applyAlignment="1">
      <alignment horizontal="center" vertical="center"/>
    </xf>
    <xf numFmtId="183" fontId="86" fillId="0" borderId="16" xfId="0" applyNumberFormat="1" applyFont="1" applyFill="1" applyBorder="1" applyAlignment="1">
      <alignment horizontal="center" vertical="center"/>
    </xf>
    <xf numFmtId="49" fontId="86" fillId="0" borderId="16" xfId="0" applyNumberFormat="1" applyFont="1" applyFill="1" applyBorder="1" applyAlignment="1">
      <alignment horizontal="center" vertical="center" wrapText="1"/>
    </xf>
    <xf numFmtId="176" fontId="90" fillId="0" borderId="16" xfId="0" applyNumberFormat="1" applyFont="1" applyFill="1" applyBorder="1" applyAlignment="1">
      <alignment horizontal="center" vertical="center"/>
    </xf>
    <xf numFmtId="0" fontId="86" fillId="0" borderId="1" xfId="0" applyFont="1" applyFill="1" applyBorder="1" applyAlignment="1" applyProtection="1">
      <alignment horizontal="center" vertical="center"/>
    </xf>
    <xf numFmtId="0" fontId="86" fillId="0" borderId="0" xfId="0" applyFont="1" applyFill="1" applyBorder="1" applyAlignment="1" applyProtection="1">
      <alignment horizontal="center" vertical="center"/>
    </xf>
    <xf numFmtId="0" fontId="86" fillId="0" borderId="0" xfId="0" applyFont="1" applyFill="1" applyAlignment="1" applyProtection="1">
      <alignment horizontal="center" vertical="center"/>
    </xf>
    <xf numFmtId="0" fontId="86" fillId="0" borderId="1" xfId="0" applyFont="1" applyFill="1" applyBorder="1" applyAlignment="1" applyProtection="1">
      <alignment horizontal="center" vertical="center" wrapText="1"/>
    </xf>
    <xf numFmtId="49" fontId="86" fillId="0" borderId="1" xfId="0" applyNumberFormat="1" applyFont="1" applyFill="1" applyBorder="1" applyAlignment="1">
      <alignment horizontal="center" vertical="center" wrapText="1"/>
    </xf>
    <xf numFmtId="0" fontId="85" fillId="0" borderId="0" xfId="0" applyFont="1" applyAlignment="1">
      <alignment horizontal="center" vertical="center"/>
    </xf>
    <xf numFmtId="0" fontId="86" fillId="0" borderId="17" xfId="0" applyFont="1" applyFill="1" applyBorder="1" applyAlignment="1" applyProtection="1">
      <alignment horizontal="center" vertical="center"/>
    </xf>
    <xf numFmtId="0" fontId="91" fillId="0" borderId="0" xfId="0" applyFont="1" applyAlignment="1">
      <alignment horizontal="center" vertical="center"/>
    </xf>
    <xf numFmtId="176" fontId="2" fillId="31" borderId="16" xfId="0" applyNumberFormat="1" applyFont="1" applyFill="1" applyBorder="1" applyAlignment="1">
      <alignment horizontal="center" vertical="center" wrapText="1"/>
    </xf>
    <xf numFmtId="0" fontId="94" fillId="0" borderId="16" xfId="0" applyFont="1" applyFill="1" applyBorder="1" applyAlignment="1">
      <alignment horizontal="center" vertical="center" wrapText="1"/>
    </xf>
    <xf numFmtId="0" fontId="0" fillId="0" borderId="16" xfId="0" applyFont="1" applyBorder="1" applyAlignment="1">
      <alignment horizontal="center" vertical="center"/>
    </xf>
    <xf numFmtId="0" fontId="95" fillId="0" borderId="16" xfId="0" applyFont="1" applyFill="1" applyBorder="1" applyAlignment="1">
      <alignment horizontal="center" vertical="center" wrapText="1"/>
    </xf>
    <xf numFmtId="0" fontId="0" fillId="0" borderId="16" xfId="0" applyNumberFormat="1" applyFont="1" applyBorder="1" applyAlignment="1">
      <alignment horizontal="center" vertical="center"/>
    </xf>
    <xf numFmtId="0" fontId="98" fillId="2" borderId="0" xfId="0" applyNumberFormat="1" applyFont="1" applyFill="1" applyBorder="1" applyAlignment="1">
      <alignment wrapText="1"/>
    </xf>
    <xf numFmtId="0" fontId="98" fillId="2" borderId="0" xfId="0" applyNumberFormat="1" applyFont="1" applyFill="1" applyBorder="1" applyAlignment="1"/>
    <xf numFmtId="0" fontId="57" fillId="2" borderId="16" xfId="0" applyNumberFormat="1" applyFont="1" applyFill="1" applyBorder="1" applyAlignment="1" applyProtection="1">
      <alignment horizontal="center" vertical="center" shrinkToFit="1"/>
    </xf>
    <xf numFmtId="0" fontId="99" fillId="2" borderId="16" xfId="0" applyNumberFormat="1" applyFont="1" applyFill="1" applyBorder="1" applyAlignment="1" applyProtection="1">
      <alignment vertical="center" wrapText="1"/>
    </xf>
    <xf numFmtId="184" fontId="99" fillId="2" borderId="16" xfId="0" applyNumberFormat="1" applyFont="1" applyFill="1" applyBorder="1" applyAlignment="1" applyProtection="1">
      <alignment horizontal="center" vertical="center"/>
    </xf>
    <xf numFmtId="0" fontId="73" fillId="2" borderId="16" xfId="0" applyNumberFormat="1" applyFont="1" applyFill="1" applyBorder="1" applyAlignment="1" applyProtection="1">
      <alignment horizontal="left" vertical="center"/>
    </xf>
    <xf numFmtId="0" fontId="73" fillId="2" borderId="16" xfId="0" applyNumberFormat="1" applyFont="1" applyFill="1" applyBorder="1" applyAlignment="1" applyProtection="1">
      <alignment horizontal="center" vertical="center"/>
    </xf>
    <xf numFmtId="0" fontId="73" fillId="2" borderId="16" xfId="0" applyNumberFormat="1" applyFont="1" applyFill="1" applyBorder="1" applyAlignment="1" applyProtection="1">
      <alignment horizontal="left" vertical="center" wrapText="1"/>
    </xf>
    <xf numFmtId="184" fontId="73" fillId="2" borderId="16" xfId="0" applyNumberFormat="1" applyFont="1" applyFill="1" applyBorder="1" applyAlignment="1" applyProtection="1">
      <alignment horizontal="center" vertical="center"/>
    </xf>
    <xf numFmtId="0" fontId="2" fillId="2" borderId="16" xfId="0" applyNumberFormat="1" applyFont="1" applyFill="1" applyBorder="1" applyAlignment="1" applyProtection="1">
      <alignment horizontal="left" vertical="center"/>
    </xf>
    <xf numFmtId="0" fontId="72" fillId="2" borderId="16" xfId="0" applyNumberFormat="1" applyFont="1" applyFill="1" applyBorder="1" applyAlignment="1" applyProtection="1">
      <alignment horizontal="center" vertical="center"/>
    </xf>
    <xf numFmtId="0" fontId="2" fillId="2" borderId="16" xfId="0" applyNumberFormat="1" applyFont="1" applyFill="1" applyBorder="1" applyAlignment="1" applyProtection="1">
      <alignment horizontal="center" vertical="center"/>
    </xf>
    <xf numFmtId="0" fontId="2" fillId="2" borderId="16" xfId="0" applyNumberFormat="1" applyFont="1" applyFill="1" applyBorder="1" applyAlignment="1" applyProtection="1">
      <alignment horizontal="left" vertical="center" wrapText="1"/>
    </xf>
    <xf numFmtId="184" fontId="2" fillId="2" borderId="16" xfId="0" applyNumberFormat="1" applyFont="1" applyFill="1" applyBorder="1" applyAlignment="1" applyProtection="1">
      <alignment horizontal="center" vertical="center"/>
    </xf>
    <xf numFmtId="0" fontId="100" fillId="2" borderId="16" xfId="0" applyNumberFormat="1" applyFont="1" applyFill="1" applyBorder="1" applyAlignment="1">
      <alignment horizontal="left" vertical="center"/>
    </xf>
    <xf numFmtId="0" fontId="100" fillId="2" borderId="16" xfId="0" applyNumberFormat="1" applyFont="1" applyFill="1" applyBorder="1" applyAlignment="1">
      <alignment horizontal="center" vertical="center"/>
    </xf>
    <xf numFmtId="0" fontId="100" fillId="2" borderId="16" xfId="0" applyNumberFormat="1" applyFont="1" applyFill="1" applyBorder="1" applyAlignment="1">
      <alignment vertical="center" wrapText="1"/>
    </xf>
    <xf numFmtId="0" fontId="101" fillId="2" borderId="16" xfId="0" applyNumberFormat="1" applyFont="1" applyFill="1" applyBorder="1" applyAlignment="1">
      <alignment horizontal="left" vertical="center"/>
    </xf>
    <xf numFmtId="0" fontId="101" fillId="2" borderId="16" xfId="0" applyNumberFormat="1" applyFont="1" applyFill="1" applyBorder="1" applyAlignment="1">
      <alignment horizontal="center" vertical="center"/>
    </xf>
    <xf numFmtId="0" fontId="4" fillId="2" borderId="16" xfId="0" applyNumberFormat="1" applyFont="1" applyFill="1" applyBorder="1" applyAlignment="1">
      <alignment horizontal="center" vertical="center"/>
    </xf>
    <xf numFmtId="0" fontId="7" fillId="2" borderId="0" xfId="0" applyNumberFormat="1" applyFont="1" applyFill="1" applyBorder="1" applyAlignment="1"/>
    <xf numFmtId="0" fontId="7" fillId="2" borderId="0" xfId="0" applyNumberFormat="1" applyFont="1" applyFill="1" applyBorder="1" applyAlignment="1">
      <alignment horizontal="center" vertical="center"/>
    </xf>
    <xf numFmtId="0" fontId="57" fillId="0" borderId="16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2" fillId="0" borderId="0" xfId="0" applyFont="1" applyAlignment="1">
      <alignment horizontal="center" vertical="center" wrapText="1"/>
    </xf>
    <xf numFmtId="180" fontId="102" fillId="0" borderId="0" xfId="0" applyNumberFormat="1" applyFont="1" applyAlignment="1">
      <alignment horizontal="center" vertical="center" wrapText="1"/>
    </xf>
    <xf numFmtId="176" fontId="102" fillId="0" borderId="0" xfId="0" applyNumberFormat="1" applyFont="1" applyBorder="1" applyAlignment="1">
      <alignment horizontal="center" vertical="center" wrapText="1"/>
    </xf>
    <xf numFmtId="0" fontId="105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179" fontId="106" fillId="0" borderId="16" xfId="0" applyNumberFormat="1" applyFont="1" applyBorder="1" applyAlignment="1">
      <alignment horizontal="right" vertical="center" shrinkToFit="1"/>
    </xf>
    <xf numFmtId="0" fontId="106" fillId="0" borderId="16" xfId="0" applyFont="1" applyBorder="1" applyAlignment="1">
      <alignment horizontal="center" vertical="center" shrinkToFit="1"/>
    </xf>
    <xf numFmtId="0" fontId="0" fillId="0" borderId="0" xfId="0" applyAlignment="1"/>
    <xf numFmtId="0" fontId="57" fillId="2" borderId="16" xfId="0" applyFont="1" applyFill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95" fillId="2" borderId="16" xfId="0" applyNumberFormat="1" applyFont="1" applyFill="1" applyBorder="1" applyAlignment="1" applyProtection="1">
      <alignment horizontal="left" vertical="center"/>
    </xf>
    <xf numFmtId="0" fontId="110" fillId="2" borderId="16" xfId="1225" applyFont="1" applyFill="1" applyBorder="1" applyAlignment="1">
      <alignment horizontal="left" vertical="center"/>
    </xf>
    <xf numFmtId="0" fontId="3" fillId="0" borderId="0" xfId="0" applyFont="1">
      <alignment vertical="center"/>
    </xf>
    <xf numFmtId="0" fontId="108" fillId="0" borderId="16" xfId="0" applyFont="1" applyBorder="1" applyAlignment="1">
      <alignment horizontal="center" vertical="center"/>
    </xf>
    <xf numFmtId="0" fontId="107" fillId="0" borderId="12" xfId="0" applyFont="1" applyBorder="1" applyAlignment="1">
      <alignment horizontal="center" vertical="center" wrapText="1"/>
    </xf>
    <xf numFmtId="180" fontId="4" fillId="2" borderId="12" xfId="1123" applyNumberFormat="1" applyFont="1" applyFill="1" applyBorder="1" applyAlignment="1">
      <alignment horizontal="center" vertical="center" wrapText="1"/>
    </xf>
    <xf numFmtId="176" fontId="4" fillId="2" borderId="12" xfId="1123" applyNumberFormat="1" applyFont="1" applyFill="1" applyBorder="1" applyAlignment="1">
      <alignment horizontal="center" vertical="center" wrapText="1"/>
    </xf>
    <xf numFmtId="0" fontId="107" fillId="0" borderId="0" xfId="0" applyFont="1" applyAlignment="1">
      <alignment horizontal="center" vertical="center" wrapText="1"/>
    </xf>
    <xf numFmtId="176" fontId="107" fillId="0" borderId="12" xfId="0" applyNumberFormat="1" applyFont="1" applyBorder="1" applyAlignment="1">
      <alignment horizontal="center" vertical="center" wrapText="1"/>
    </xf>
    <xf numFmtId="0" fontId="111" fillId="0" borderId="12" xfId="0" applyNumberFormat="1" applyFont="1" applyBorder="1" applyAlignment="1">
      <alignment horizontal="center" vertical="center" wrapText="1"/>
    </xf>
    <xf numFmtId="0" fontId="4" fillId="0" borderId="16" xfId="0" applyFont="1" applyBorder="1" applyAlignment="1">
      <alignment horizontal="left" vertical="center" wrapText="1"/>
    </xf>
    <xf numFmtId="0" fontId="117" fillId="2" borderId="0" xfId="0" applyNumberFormat="1" applyFont="1" applyFill="1" applyBorder="1" applyAlignment="1">
      <alignment wrapText="1"/>
    </xf>
    <xf numFmtId="0" fontId="2" fillId="2" borderId="0" xfId="0" applyNumberFormat="1" applyFont="1" applyFill="1" applyBorder="1" applyAlignment="1">
      <alignment wrapText="1"/>
    </xf>
    <xf numFmtId="0" fontId="65" fillId="2" borderId="0" xfId="0" applyFont="1" applyFill="1" applyAlignment="1">
      <alignment vertical="center"/>
    </xf>
    <xf numFmtId="184" fontId="57" fillId="2" borderId="16" xfId="0" applyNumberFormat="1" applyFont="1" applyFill="1" applyBorder="1" applyAlignment="1">
      <alignment horizontal="center" vertical="center" wrapText="1"/>
    </xf>
    <xf numFmtId="0" fontId="118" fillId="2" borderId="16" xfId="0" applyFont="1" applyFill="1" applyBorder="1" applyAlignment="1">
      <alignment horizontal="center" vertical="center" wrapText="1"/>
    </xf>
    <xf numFmtId="0" fontId="4" fillId="2" borderId="16" xfId="2012" applyFont="1" applyFill="1" applyBorder="1" applyAlignment="1">
      <alignment horizontal="center" vertical="center" wrapText="1"/>
    </xf>
    <xf numFmtId="184" fontId="65" fillId="2" borderId="16" xfId="0" applyNumberFormat="1" applyFont="1" applyFill="1" applyBorder="1" applyAlignment="1">
      <alignment horizontal="center" vertical="center" wrapText="1"/>
    </xf>
    <xf numFmtId="0" fontId="57" fillId="2" borderId="16" xfId="2012" applyFont="1" applyFill="1" applyBorder="1" applyAlignment="1">
      <alignment horizontal="center" vertical="center" wrapText="1"/>
    </xf>
    <xf numFmtId="185" fontId="4" fillId="2" borderId="16" xfId="0" applyNumberFormat="1" applyFont="1" applyFill="1" applyBorder="1" applyAlignment="1">
      <alignment horizontal="center" vertical="center" wrapText="1"/>
    </xf>
    <xf numFmtId="180" fontId="4" fillId="2" borderId="16" xfId="2012" applyNumberFormat="1" applyFont="1" applyFill="1" applyBorder="1" applyAlignment="1">
      <alignment horizontal="center" vertical="center" wrapText="1"/>
    </xf>
    <xf numFmtId="184" fontId="4" fillId="2" borderId="16" xfId="2012" applyNumberFormat="1" applyFont="1" applyFill="1" applyBorder="1" applyAlignment="1">
      <alignment horizontal="center" vertical="center" wrapText="1"/>
    </xf>
    <xf numFmtId="184" fontId="4" fillId="2" borderId="16" xfId="0" applyNumberFormat="1" applyFont="1" applyFill="1" applyBorder="1" applyAlignment="1">
      <alignment horizontal="center" vertical="center" wrapText="1"/>
    </xf>
    <xf numFmtId="180" fontId="4" fillId="2" borderId="16" xfId="0" applyNumberFormat="1" applyFont="1" applyFill="1" applyBorder="1" applyAlignment="1">
      <alignment horizontal="center" vertical="center"/>
    </xf>
    <xf numFmtId="43" fontId="4" fillId="2" borderId="16" xfId="2012" applyNumberFormat="1" applyFont="1" applyFill="1" applyBorder="1" applyAlignment="1">
      <alignment horizontal="center" vertical="center"/>
    </xf>
    <xf numFmtId="0" fontId="119" fillId="2" borderId="0" xfId="0" applyFont="1" applyFill="1" applyBorder="1" applyAlignment="1">
      <alignment vertical="center"/>
    </xf>
    <xf numFmtId="0" fontId="103" fillId="2" borderId="16" xfId="0" applyFont="1" applyFill="1" applyBorder="1" applyAlignment="1">
      <alignment horizontal="center" vertical="center" wrapText="1"/>
    </xf>
    <xf numFmtId="180" fontId="103" fillId="2" borderId="16" xfId="0" applyNumberFormat="1" applyFont="1" applyFill="1" applyBorder="1" applyAlignment="1">
      <alignment horizontal="center" vertical="center"/>
    </xf>
    <xf numFmtId="0" fontId="112" fillId="2" borderId="16" xfId="0" applyFont="1" applyFill="1" applyBorder="1" applyAlignment="1">
      <alignment horizontal="center" vertical="center" wrapText="1"/>
    </xf>
    <xf numFmtId="180" fontId="68" fillId="2" borderId="16" xfId="0" applyNumberFormat="1" applyFont="1" applyFill="1" applyBorder="1" applyAlignment="1">
      <alignment horizontal="center" vertical="center"/>
    </xf>
    <xf numFmtId="0" fontId="68" fillId="2" borderId="16" xfId="0" applyFont="1" applyFill="1" applyBorder="1" applyAlignment="1">
      <alignment horizontal="center" vertical="center"/>
    </xf>
    <xf numFmtId="43" fontId="68" fillId="2" borderId="16" xfId="2012" applyNumberFormat="1" applyFont="1" applyFill="1" applyBorder="1" applyAlignment="1">
      <alignment horizontal="center" vertical="center"/>
    </xf>
    <xf numFmtId="180" fontId="4" fillId="2" borderId="16" xfId="2012" applyNumberFormat="1" applyFont="1" applyFill="1" applyBorder="1" applyAlignment="1">
      <alignment horizontal="center" vertical="center"/>
    </xf>
    <xf numFmtId="0" fontId="57" fillId="2" borderId="16" xfId="2012" applyFont="1" applyFill="1" applyBorder="1" applyAlignment="1">
      <alignment horizontal="left" vertical="center"/>
    </xf>
    <xf numFmtId="180" fontId="57" fillId="2" borderId="16" xfId="2012" applyNumberFormat="1" applyFont="1" applyFill="1" applyBorder="1" applyAlignment="1">
      <alignment horizontal="center" vertical="center"/>
    </xf>
    <xf numFmtId="43" fontId="57" fillId="2" borderId="16" xfId="0" applyNumberFormat="1" applyFont="1" applyFill="1" applyBorder="1" applyAlignment="1">
      <alignment horizontal="center" vertical="center"/>
    </xf>
    <xf numFmtId="0" fontId="4" fillId="2" borderId="16" xfId="2012" applyFont="1" applyFill="1" applyBorder="1" applyAlignment="1">
      <alignment horizontal="center" vertical="center"/>
    </xf>
    <xf numFmtId="43" fontId="4" fillId="2" borderId="16" xfId="0" applyNumberFormat="1" applyFont="1" applyFill="1" applyBorder="1" applyAlignment="1">
      <alignment horizontal="center" vertical="center"/>
    </xf>
    <xf numFmtId="0" fontId="4" fillId="2" borderId="11" xfId="2012" applyFont="1" applyFill="1" applyBorder="1" applyAlignment="1">
      <alignment horizontal="center" vertical="center" wrapText="1"/>
    </xf>
    <xf numFmtId="185" fontId="68" fillId="2" borderId="16" xfId="0" applyNumberFormat="1" applyFont="1" applyFill="1" applyBorder="1" applyAlignment="1">
      <alignment horizontal="center" vertical="center" wrapText="1"/>
    </xf>
    <xf numFmtId="180" fontId="112" fillId="2" borderId="16" xfId="0" applyNumberFormat="1" applyFont="1" applyFill="1" applyBorder="1" applyAlignment="1">
      <alignment horizontal="center" vertical="center"/>
    </xf>
    <xf numFmtId="43" fontId="68" fillId="2" borderId="16" xfId="0" applyNumberFormat="1" applyFont="1" applyFill="1" applyBorder="1" applyAlignment="1">
      <alignment horizontal="center" vertical="center"/>
    </xf>
    <xf numFmtId="43" fontId="4" fillId="2" borderId="20" xfId="0" applyNumberFormat="1" applyFont="1" applyFill="1" applyBorder="1" applyAlignment="1">
      <alignment horizontal="center" vertical="center" wrapText="1"/>
    </xf>
    <xf numFmtId="0" fontId="65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184" fontId="4" fillId="2" borderId="0" xfId="0" applyNumberFormat="1" applyFont="1" applyFill="1" applyAlignment="1">
      <alignment horizontal="center" vertical="center" wrapText="1"/>
    </xf>
    <xf numFmtId="43" fontId="4" fillId="2" borderId="0" xfId="0" applyNumberFormat="1" applyFont="1" applyFill="1" applyAlignment="1">
      <alignment horizontal="center" vertical="center" wrapText="1"/>
    </xf>
    <xf numFmtId="43" fontId="68" fillId="2" borderId="20" xfId="2012" applyNumberFormat="1" applyFont="1" applyFill="1" applyBorder="1" applyAlignment="1">
      <alignment horizontal="center" vertical="center"/>
    </xf>
    <xf numFmtId="43" fontId="57" fillId="2" borderId="20" xfId="2012" applyNumberFormat="1" applyFont="1" applyFill="1" applyBorder="1" applyAlignment="1">
      <alignment horizontal="center" vertical="center"/>
    </xf>
    <xf numFmtId="43" fontId="57" fillId="2" borderId="20" xfId="0" applyNumberFormat="1" applyFont="1" applyFill="1" applyBorder="1" applyAlignment="1">
      <alignment horizontal="center" vertical="center" wrapText="1"/>
    </xf>
    <xf numFmtId="43" fontId="4" fillId="2" borderId="20" xfId="2012" applyNumberFormat="1" applyFont="1" applyFill="1" applyBorder="1" applyAlignment="1">
      <alignment horizontal="center" vertical="center"/>
    </xf>
    <xf numFmtId="43" fontId="65" fillId="2" borderId="20" xfId="0" applyNumberFormat="1" applyFont="1" applyFill="1" applyBorder="1" applyAlignment="1">
      <alignment horizontal="center" vertical="center" wrapText="1"/>
    </xf>
    <xf numFmtId="43" fontId="57" fillId="2" borderId="20" xfId="2011" applyNumberFormat="1" applyFont="1" applyFill="1" applyBorder="1" applyAlignment="1">
      <alignment horizontal="center" vertical="center" wrapText="1"/>
    </xf>
    <xf numFmtId="185" fontId="111" fillId="2" borderId="19" xfId="0" applyNumberFormat="1" applyFont="1" applyFill="1" applyBorder="1" applyAlignment="1">
      <alignment horizontal="center" vertical="center"/>
    </xf>
    <xf numFmtId="185" fontId="118" fillId="2" borderId="0" xfId="0" applyNumberFormat="1" applyFont="1" applyFill="1" applyAlignment="1">
      <alignment horizontal="center" vertical="center"/>
    </xf>
    <xf numFmtId="184" fontId="99" fillId="2" borderId="16" xfId="0" applyNumberFormat="1" applyFont="1" applyFill="1" applyBorder="1" applyAlignment="1" applyProtection="1">
      <alignment horizontal="center" vertical="center"/>
    </xf>
    <xf numFmtId="0" fontId="121" fillId="2" borderId="16" xfId="0" applyNumberFormat="1" applyFont="1" applyFill="1" applyBorder="1" applyAlignment="1" applyProtection="1">
      <alignment vertical="center" wrapText="1"/>
    </xf>
    <xf numFmtId="184" fontId="121" fillId="2" borderId="16" xfId="0" applyNumberFormat="1" applyFont="1" applyFill="1" applyBorder="1" applyAlignment="1" applyProtection="1">
      <alignment horizontal="center" vertical="center"/>
    </xf>
    <xf numFmtId="0" fontId="120" fillId="2" borderId="16" xfId="0" applyFont="1" applyFill="1" applyBorder="1" applyAlignment="1">
      <alignment horizontal="left" vertical="center" wrapText="1"/>
    </xf>
    <xf numFmtId="0" fontId="122" fillId="2" borderId="16" xfId="0" applyNumberFormat="1" applyFont="1" applyFill="1" applyBorder="1" applyAlignment="1">
      <alignment horizontal="center" vertical="center"/>
    </xf>
    <xf numFmtId="0" fontId="72" fillId="2" borderId="16" xfId="0" applyNumberFormat="1" applyFont="1" applyFill="1" applyBorder="1" applyAlignment="1" applyProtection="1">
      <alignment horizontal="center" vertical="center" shrinkToFit="1"/>
    </xf>
    <xf numFmtId="0" fontId="2" fillId="2" borderId="0" xfId="0" applyNumberFormat="1" applyFont="1" applyFill="1" applyBorder="1" applyAlignment="1">
      <alignment horizontal="center" vertical="center"/>
    </xf>
    <xf numFmtId="0" fontId="58" fillId="0" borderId="19" xfId="0" applyNumberFormat="1" applyFont="1" applyFill="1" applyBorder="1" applyAlignment="1">
      <alignment horizontal="center" vertical="center" wrapText="1"/>
    </xf>
    <xf numFmtId="0" fontId="58" fillId="0" borderId="19" xfId="0" applyFont="1" applyFill="1" applyBorder="1" applyAlignment="1">
      <alignment horizontal="center" vertical="center"/>
    </xf>
    <xf numFmtId="0" fontId="58" fillId="0" borderId="19" xfId="0" applyFont="1" applyFill="1" applyBorder="1" applyAlignment="1">
      <alignment horizontal="center" vertical="center" wrapText="1"/>
    </xf>
    <xf numFmtId="0" fontId="55" fillId="0" borderId="19" xfId="0" applyFont="1" applyFill="1" applyBorder="1" applyAlignment="1">
      <alignment horizontal="center" vertical="center" wrapText="1"/>
    </xf>
    <xf numFmtId="0" fontId="55" fillId="0" borderId="19" xfId="0" applyFont="1" applyFill="1" applyBorder="1" applyAlignment="1" applyProtection="1">
      <alignment horizontal="center" vertical="center" wrapText="1"/>
      <protection locked="0"/>
    </xf>
    <xf numFmtId="43" fontId="58" fillId="0" borderId="19" xfId="0" applyNumberFormat="1" applyFont="1" applyFill="1" applyBorder="1" applyAlignment="1">
      <alignment horizontal="center" vertical="center" wrapText="1"/>
    </xf>
    <xf numFmtId="43" fontId="124" fillId="0" borderId="19" xfId="0" applyNumberFormat="1" applyFont="1" applyBorder="1" applyAlignment="1">
      <alignment horizontal="center" vertical="center"/>
    </xf>
    <xf numFmtId="43" fontId="31" fillId="0" borderId="19" xfId="0" applyNumberFormat="1" applyFont="1" applyFill="1" applyBorder="1" applyAlignment="1">
      <alignment horizontal="center" vertical="center"/>
    </xf>
    <xf numFmtId="43" fontId="126" fillId="0" borderId="19" xfId="0" applyNumberFormat="1" applyFont="1" applyBorder="1">
      <alignment vertical="center"/>
    </xf>
    <xf numFmtId="0" fontId="126" fillId="0" borderId="19" xfId="0" applyNumberFormat="1" applyFont="1" applyFill="1" applyBorder="1" applyAlignment="1">
      <alignment horizontal="left" vertical="center" wrapText="1"/>
    </xf>
    <xf numFmtId="0" fontId="126" fillId="0" borderId="19" xfId="0" applyNumberFormat="1" applyFont="1" applyFill="1" applyBorder="1" applyAlignment="1">
      <alignment horizontal="center" vertical="center" wrapText="1"/>
    </xf>
    <xf numFmtId="0" fontId="126" fillId="0" borderId="19" xfId="0" applyNumberFormat="1" applyFont="1" applyFill="1" applyBorder="1" applyAlignment="1">
      <alignment horizontal="center" vertical="center"/>
    </xf>
    <xf numFmtId="0" fontId="126" fillId="0" borderId="19" xfId="0" applyFont="1" applyBorder="1" applyAlignment="1" applyProtection="1">
      <alignment horizontal="center" vertical="center"/>
      <protection locked="0"/>
    </xf>
    <xf numFmtId="0" fontId="124" fillId="0" borderId="19" xfId="0" applyNumberFormat="1" applyFont="1" applyFill="1" applyBorder="1" applyAlignment="1">
      <alignment horizontal="center" vertical="center"/>
    </xf>
    <xf numFmtId="0" fontId="65" fillId="0" borderId="19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90" fillId="0" borderId="19" xfId="0" applyNumberFormat="1" applyFont="1" applyBorder="1" applyAlignment="1">
      <alignment horizontal="center" vertical="center"/>
    </xf>
    <xf numFmtId="0" fontId="90" fillId="0" borderId="19" xfId="0" applyNumberFormat="1" applyFont="1" applyBorder="1" applyAlignment="1">
      <alignment horizontal="center" vertical="center" wrapText="1"/>
    </xf>
    <xf numFmtId="0" fontId="90" fillId="0" borderId="0" xfId="0" applyNumberFormat="1" applyFont="1" applyBorder="1" applyAlignment="1">
      <alignment horizontal="center" vertical="center"/>
    </xf>
    <xf numFmtId="0" fontId="90" fillId="0" borderId="1" xfId="0" applyNumberFormat="1" applyFont="1" applyBorder="1" applyAlignment="1">
      <alignment horizontal="center" vertical="center"/>
    </xf>
    <xf numFmtId="184" fontId="90" fillId="0" borderId="1" xfId="0" applyNumberFormat="1" applyFont="1" applyBorder="1" applyAlignment="1">
      <alignment horizontal="center" vertical="center"/>
    </xf>
    <xf numFmtId="0" fontId="90" fillId="0" borderId="1" xfId="0" applyNumberFormat="1" applyFont="1" applyBorder="1" applyAlignment="1">
      <alignment horizontal="center" vertical="center" wrapText="1"/>
    </xf>
    <xf numFmtId="184" fontId="90" fillId="0" borderId="19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127" fillId="0" borderId="0" xfId="0" applyNumberFormat="1" applyFont="1" applyBorder="1" applyAlignment="1">
      <alignment horizontal="center" vertical="center"/>
    </xf>
    <xf numFmtId="181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28" fillId="0" borderId="0" xfId="0" applyNumberFormat="1" applyFont="1" applyBorder="1" applyAlignment="1">
      <alignment vertical="center"/>
    </xf>
    <xf numFmtId="181" fontId="0" fillId="0" borderId="0" xfId="0" applyNumberFormat="1" applyBorder="1" applyAlignment="1">
      <alignment vertical="center"/>
    </xf>
    <xf numFmtId="0" fontId="129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37" fillId="28" borderId="0" xfId="0" applyNumberFormat="1" applyFont="1" applyFill="1" applyBorder="1" applyAlignment="1" applyProtection="1">
      <alignment horizontal="center" vertical="center"/>
      <protection locked="0"/>
    </xf>
    <xf numFmtId="0" fontId="38" fillId="28" borderId="0" xfId="0" applyNumberFormat="1" applyFont="1" applyFill="1" applyBorder="1" applyAlignment="1" applyProtection="1">
      <alignment horizontal="center" vertical="center"/>
      <protection locked="0"/>
    </xf>
    <xf numFmtId="0" fontId="69" fillId="28" borderId="0" xfId="0" applyNumberFormat="1" applyFont="1" applyFill="1" applyBorder="1" applyAlignment="1" applyProtection="1">
      <alignment horizontal="center" vertical="center"/>
      <protection locked="0"/>
    </xf>
    <xf numFmtId="0" fontId="70" fillId="28" borderId="0" xfId="0" applyNumberFormat="1" applyFont="1" applyFill="1" applyBorder="1" applyAlignment="1" applyProtection="1">
      <alignment horizontal="center" vertical="center"/>
      <protection locked="0"/>
    </xf>
    <xf numFmtId="0" fontId="39" fillId="28" borderId="11" xfId="0" applyNumberFormat="1" applyFont="1" applyFill="1" applyBorder="1" applyAlignment="1" applyProtection="1">
      <alignment horizontal="center" vertical="center"/>
      <protection locked="0"/>
    </xf>
    <xf numFmtId="0" fontId="39" fillId="28" borderId="1" xfId="0" applyNumberFormat="1" applyFont="1" applyFill="1" applyBorder="1" applyAlignment="1" applyProtection="1">
      <alignment horizontal="center" vertical="center"/>
      <protection locked="0"/>
    </xf>
    <xf numFmtId="0" fontId="37" fillId="2" borderId="0" xfId="0" applyNumberFormat="1" applyFont="1" applyFill="1" applyBorder="1" applyAlignment="1" applyProtection="1">
      <alignment horizontal="center" vertical="center"/>
      <protection locked="0"/>
    </xf>
    <xf numFmtId="0" fontId="38" fillId="2" borderId="0" xfId="0" applyNumberFormat="1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wrapText="1"/>
      <protection locked="0"/>
    </xf>
    <xf numFmtId="0" fontId="39" fillId="2" borderId="11" xfId="0" applyNumberFormat="1" applyFont="1" applyFill="1" applyBorder="1" applyAlignment="1" applyProtection="1">
      <alignment horizontal="center" vertical="center"/>
      <protection locked="0"/>
    </xf>
    <xf numFmtId="0" fontId="39" fillId="2" borderId="1" xfId="0" applyNumberFormat="1" applyFont="1" applyFill="1" applyBorder="1" applyAlignment="1" applyProtection="1">
      <alignment horizontal="center" vertical="center"/>
      <protection locked="0"/>
    </xf>
    <xf numFmtId="0" fontId="74" fillId="2" borderId="15" xfId="0" applyFont="1" applyFill="1" applyBorder="1" applyAlignment="1">
      <alignment horizontal="center" vertical="center"/>
    </xf>
    <xf numFmtId="0" fontId="75" fillId="2" borderId="15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76" fillId="2" borderId="11" xfId="0" applyFont="1" applyFill="1" applyBorder="1" applyAlignment="1">
      <alignment horizontal="center" vertical="center" wrapText="1"/>
    </xf>
    <xf numFmtId="0" fontId="76" fillId="2" borderId="11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96" fillId="0" borderId="15" xfId="0" applyFont="1" applyBorder="1" applyAlignment="1">
      <alignment horizontal="center" vertical="center"/>
    </xf>
    <xf numFmtId="0" fontId="79" fillId="0" borderId="15" xfId="0" applyFont="1" applyBorder="1" applyAlignment="1">
      <alignment horizontal="center" vertical="center"/>
    </xf>
    <xf numFmtId="0" fontId="83" fillId="0" borderId="15" xfId="0" applyFont="1" applyBorder="1" applyAlignment="1" applyProtection="1">
      <alignment horizontal="center" vertical="center"/>
    </xf>
    <xf numFmtId="0" fontId="42" fillId="0" borderId="15" xfId="0" applyNumberFormat="1" applyFont="1" applyBorder="1" applyAlignment="1">
      <alignment horizontal="center" vertical="center"/>
    </xf>
    <xf numFmtId="0" fontId="42" fillId="0" borderId="15" xfId="0" applyNumberFormat="1" applyFont="1" applyBorder="1">
      <alignment vertical="center"/>
    </xf>
    <xf numFmtId="0" fontId="49" fillId="0" borderId="0" xfId="0" applyFont="1" applyAlignment="1">
      <alignment horizontal="center" vertical="center"/>
    </xf>
    <xf numFmtId="0" fontId="53" fillId="28" borderId="15" xfId="0" applyFont="1" applyFill="1" applyBorder="1" applyAlignment="1">
      <alignment horizontal="center" vertical="center"/>
    </xf>
    <xf numFmtId="0" fontId="43" fillId="29" borderId="11" xfId="0" applyNumberFormat="1" applyFont="1" applyFill="1" applyBorder="1" applyAlignment="1">
      <alignment horizontal="center" vertical="center"/>
    </xf>
    <xf numFmtId="0" fontId="43" fillId="29" borderId="1" xfId="0" applyNumberFormat="1" applyFont="1" applyFill="1" applyBorder="1" applyAlignment="1">
      <alignment horizontal="center" vertical="center"/>
    </xf>
    <xf numFmtId="181" fontId="64" fillId="2" borderId="15" xfId="0" applyNumberFormat="1" applyFont="1" applyFill="1" applyBorder="1" applyAlignment="1">
      <alignment horizontal="center" vertical="center"/>
    </xf>
    <xf numFmtId="181" fontId="0" fillId="0" borderId="15" xfId="0" applyNumberFormat="1" applyBorder="1" applyAlignment="1">
      <alignment horizontal="center" vertical="center"/>
    </xf>
    <xf numFmtId="0" fontId="0" fillId="0" borderId="15" xfId="0" applyBorder="1" applyAlignment="1">
      <alignment vertical="center"/>
    </xf>
    <xf numFmtId="181" fontId="2" fillId="29" borderId="16" xfId="0" applyNumberFormat="1" applyFont="1" applyFill="1" applyBorder="1" applyAlignment="1">
      <alignment horizontal="center" vertical="center"/>
    </xf>
    <xf numFmtId="181" fontId="45" fillId="29" borderId="16" xfId="0" applyNumberFormat="1" applyFont="1" applyFill="1" applyBorder="1" applyAlignment="1">
      <alignment horizontal="center" vertical="center"/>
    </xf>
    <xf numFmtId="0" fontId="78" fillId="0" borderId="15" xfId="0" applyFont="1" applyBorder="1" applyAlignment="1">
      <alignment horizontal="center" vertical="center"/>
    </xf>
    <xf numFmtId="0" fontId="79" fillId="0" borderId="15" xfId="0" applyFont="1" applyBorder="1" applyAlignment="1">
      <alignment vertical="center"/>
    </xf>
    <xf numFmtId="0" fontId="109" fillId="0" borderId="0" xfId="0" applyFont="1" applyBorder="1" applyAlignment="1">
      <alignment horizontal="center" vertical="center"/>
    </xf>
    <xf numFmtId="0" fontId="97" fillId="2" borderId="0" xfId="0" applyNumberFormat="1" applyFont="1" applyFill="1" applyBorder="1" applyAlignment="1">
      <alignment horizontal="center" vertical="center"/>
    </xf>
    <xf numFmtId="0" fontId="113" fillId="2" borderId="15" xfId="0" applyFont="1" applyFill="1" applyBorder="1" applyAlignment="1">
      <alignment horizontal="center" vertical="center"/>
    </xf>
    <xf numFmtId="0" fontId="116" fillId="0" borderId="15" xfId="0" applyFont="1" applyBorder="1" applyAlignment="1">
      <alignment vertical="center"/>
    </xf>
    <xf numFmtId="0" fontId="4" fillId="2" borderId="16" xfId="2012" applyFont="1" applyFill="1" applyBorder="1" applyAlignment="1">
      <alignment horizontal="center" vertical="center" wrapText="1"/>
    </xf>
    <xf numFmtId="0" fontId="118" fillId="2" borderId="16" xfId="0" applyFont="1" applyFill="1" applyBorder="1" applyAlignment="1">
      <alignment horizontal="center" vertical="center" wrapText="1"/>
    </xf>
    <xf numFmtId="0" fontId="57" fillId="2" borderId="16" xfId="0" applyFont="1" applyFill="1" applyBorder="1" applyAlignment="1">
      <alignment horizontal="center" vertical="center" wrapText="1"/>
    </xf>
    <xf numFmtId="43" fontId="57" fillId="2" borderId="20" xfId="0" applyNumberFormat="1" applyFont="1" applyFill="1" applyBorder="1" applyAlignment="1">
      <alignment horizontal="center" vertical="center" wrapText="1"/>
    </xf>
    <xf numFmtId="0" fontId="83" fillId="2" borderId="15" xfId="0" applyFont="1" applyFill="1" applyBorder="1" applyAlignment="1">
      <alignment horizontal="center" vertical="center" wrapText="1"/>
    </xf>
    <xf numFmtId="0" fontId="118" fillId="2" borderId="15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 wrapText="1"/>
    </xf>
    <xf numFmtId="43" fontId="4" fillId="2" borderId="21" xfId="0" applyNumberFormat="1" applyFont="1" applyFill="1" applyBorder="1" applyAlignment="1">
      <alignment horizontal="center" vertical="center" wrapText="1"/>
    </xf>
    <xf numFmtId="43" fontId="4" fillId="2" borderId="18" xfId="0" applyNumberFormat="1" applyFont="1" applyFill="1" applyBorder="1" applyAlignment="1">
      <alignment horizontal="center" vertical="center" wrapText="1"/>
    </xf>
    <xf numFmtId="0" fontId="4" fillId="2" borderId="11" xfId="2012" applyFont="1" applyFill="1" applyBorder="1" applyAlignment="1">
      <alignment horizontal="center" vertical="center"/>
    </xf>
    <xf numFmtId="0" fontId="4" fillId="2" borderId="13" xfId="2012" applyFont="1" applyFill="1" applyBorder="1" applyAlignment="1">
      <alignment horizontal="center" vertical="center"/>
    </xf>
    <xf numFmtId="0" fontId="4" fillId="2" borderId="1" xfId="2012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103" fillId="2" borderId="16" xfId="0" applyFont="1" applyFill="1" applyBorder="1" applyAlignment="1">
      <alignment horizontal="center" vertical="center"/>
    </xf>
    <xf numFmtId="185" fontId="118" fillId="2" borderId="11" xfId="0" applyNumberFormat="1" applyFont="1" applyFill="1" applyBorder="1" applyAlignment="1">
      <alignment horizontal="center" vertical="center"/>
    </xf>
    <xf numFmtId="185" fontId="118" fillId="2" borderId="13" xfId="0" applyNumberFormat="1" applyFont="1" applyFill="1" applyBorder="1" applyAlignment="1">
      <alignment horizontal="center" vertical="center"/>
    </xf>
    <xf numFmtId="185" fontId="118" fillId="2" borderId="1" xfId="0" applyNumberFormat="1" applyFont="1" applyFill="1" applyBorder="1" applyAlignment="1">
      <alignment horizontal="center" vertical="center"/>
    </xf>
    <xf numFmtId="184" fontId="4" fillId="2" borderId="11" xfId="0" applyNumberFormat="1" applyFont="1" applyFill="1" applyBorder="1" applyAlignment="1">
      <alignment horizontal="center" vertical="center" wrapText="1"/>
    </xf>
    <xf numFmtId="184" fontId="4" fillId="2" borderId="1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85" fontId="118" fillId="2" borderId="16" xfId="0" applyNumberFormat="1" applyFont="1" applyFill="1" applyBorder="1" applyAlignment="1">
      <alignment horizontal="center" vertical="center" wrapText="1"/>
    </xf>
    <xf numFmtId="185" fontId="57" fillId="2" borderId="11" xfId="2011" applyNumberFormat="1" applyFont="1" applyFill="1" applyBorder="1" applyAlignment="1">
      <alignment horizontal="center" vertical="center" wrapText="1"/>
    </xf>
    <xf numFmtId="185" fontId="57" fillId="2" borderId="13" xfId="2011" applyNumberFormat="1" applyFont="1" applyFill="1" applyBorder="1" applyAlignment="1">
      <alignment horizontal="center" vertical="center" wrapText="1"/>
    </xf>
    <xf numFmtId="185" fontId="57" fillId="2" borderId="1" xfId="2011" applyNumberFormat="1" applyFont="1" applyFill="1" applyBorder="1" applyAlignment="1">
      <alignment horizontal="center" vertical="center" wrapText="1"/>
    </xf>
    <xf numFmtId="185" fontId="111" fillId="2" borderId="11" xfId="0" applyNumberFormat="1" applyFont="1" applyFill="1" applyBorder="1" applyAlignment="1">
      <alignment horizontal="center" vertical="center"/>
    </xf>
    <xf numFmtId="185" fontId="111" fillId="2" borderId="13" xfId="0" applyNumberFormat="1" applyFont="1" applyFill="1" applyBorder="1" applyAlignment="1">
      <alignment horizontal="center" vertical="center"/>
    </xf>
    <xf numFmtId="185" fontId="111" fillId="2" borderId="1" xfId="0" applyNumberFormat="1" applyFont="1" applyFill="1" applyBorder="1" applyAlignment="1">
      <alignment horizontal="center" vertical="center"/>
    </xf>
    <xf numFmtId="0" fontId="104" fillId="0" borderId="15" xfId="0" applyFont="1" applyBorder="1" applyAlignment="1">
      <alignment horizontal="center" vertical="center" wrapText="1"/>
    </xf>
    <xf numFmtId="0" fontId="123" fillId="0" borderId="15" xfId="0" applyFont="1" applyBorder="1" applyAlignment="1">
      <alignment horizontal="center" vertical="center"/>
    </xf>
    <xf numFmtId="0" fontId="42" fillId="0" borderId="15" xfId="0" applyFont="1" applyBorder="1" applyAlignment="1">
      <alignment horizontal="center" vertical="center"/>
    </xf>
  </cellXfs>
  <cellStyles count="2014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294" xfId="2010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莘庄" xfId="2009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1" builtinId="6"/>
    <cellStyle name="千位分隔[0] 2" xfId="2007"/>
    <cellStyle name="千位分隔[0] 3" xfId="2013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723900</xdr:colOff>
      <xdr:row>54</xdr:row>
      <xdr:rowOff>19050</xdr:rowOff>
    </xdr:from>
    <xdr:to>
      <xdr:col>12</xdr:col>
      <xdr:colOff>723900</xdr:colOff>
      <xdr:row>54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86400" y="1405890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676275</xdr:colOff>
      <xdr:row>50</xdr:row>
      <xdr:rowOff>57150</xdr:rowOff>
    </xdr:from>
    <xdr:to>
      <xdr:col>6</xdr:col>
      <xdr:colOff>685800</xdr:colOff>
      <xdr:row>50</xdr:row>
      <xdr:rowOff>104775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53400" y="79057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8</xdr:col>
      <xdr:colOff>76200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>
        <a:xfrm>
          <a:off x="7267575" y="14487525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VD11"/>
  <sheetViews>
    <sheetView tabSelected="1" workbookViewId="0">
      <selection activeCell="F9" sqref="F9:G9"/>
    </sheetView>
  </sheetViews>
  <sheetFormatPr defaultColWidth="9" defaultRowHeight="13.5"/>
  <cols>
    <col min="1" max="1" width="6.25" style="338" customWidth="1"/>
    <col min="2" max="2" width="25.5" style="346" customWidth="1"/>
    <col min="3" max="5" width="21.25" style="338" customWidth="1"/>
    <col min="6" max="6" width="17.375" style="338" customWidth="1"/>
    <col min="7" max="7" width="21.75" style="338" customWidth="1"/>
    <col min="8" max="240" width="9" style="338"/>
    <col min="241" max="241" width="6.625" style="338" customWidth="1"/>
    <col min="242" max="243" width="21.625" style="338" customWidth="1"/>
    <col min="244" max="244" width="16.125" style="338" customWidth="1"/>
    <col min="245" max="245" width="13.875" style="338" customWidth="1"/>
    <col min="246" max="246" width="17.25" style="338" customWidth="1"/>
    <col min="247" max="248" width="20.5" style="338" customWidth="1"/>
    <col min="249" max="249" width="9" style="338" hidden="1" customWidth="1"/>
    <col min="250" max="250" width="18.375" style="338" customWidth="1"/>
    <col min="251" max="252" width="9" style="338" hidden="1" customWidth="1"/>
    <col min="253" max="496" width="9" style="338"/>
    <col min="497" max="497" width="6.625" style="338" customWidth="1"/>
    <col min="498" max="499" width="21.625" style="338" customWidth="1"/>
    <col min="500" max="500" width="16.125" style="338" customWidth="1"/>
    <col min="501" max="501" width="13.875" style="338" customWidth="1"/>
    <col min="502" max="502" width="17.25" style="338" customWidth="1"/>
    <col min="503" max="504" width="20.5" style="338" customWidth="1"/>
    <col min="505" max="505" width="9" style="338" hidden="1" customWidth="1"/>
    <col min="506" max="506" width="18.375" style="338" customWidth="1"/>
    <col min="507" max="508" width="9" style="338" hidden="1" customWidth="1"/>
    <col min="509" max="752" width="9" style="338"/>
    <col min="753" max="753" width="6.625" style="338" customWidth="1"/>
    <col min="754" max="755" width="21.625" style="338" customWidth="1"/>
    <col min="756" max="756" width="16.125" style="338" customWidth="1"/>
    <col min="757" max="757" width="13.875" style="338" customWidth="1"/>
    <col min="758" max="758" width="17.25" style="338" customWidth="1"/>
    <col min="759" max="760" width="20.5" style="338" customWidth="1"/>
    <col min="761" max="761" width="9" style="338" hidden="1" customWidth="1"/>
    <col min="762" max="762" width="18.375" style="338" customWidth="1"/>
    <col min="763" max="764" width="9" style="338" hidden="1" customWidth="1"/>
    <col min="765" max="1008" width="9" style="338"/>
    <col min="1009" max="1009" width="6.625" style="338" customWidth="1"/>
    <col min="1010" max="1011" width="21.625" style="338" customWidth="1"/>
    <col min="1012" max="1012" width="16.125" style="338" customWidth="1"/>
    <col min="1013" max="1013" width="13.875" style="338" customWidth="1"/>
    <col min="1014" max="1014" width="17.25" style="338" customWidth="1"/>
    <col min="1015" max="1016" width="20.5" style="338" customWidth="1"/>
    <col min="1017" max="1017" width="9" style="338" hidden="1" customWidth="1"/>
    <col min="1018" max="1018" width="18.375" style="338" customWidth="1"/>
    <col min="1019" max="1020" width="9" style="338" hidden="1" customWidth="1"/>
    <col min="1021" max="1264" width="9" style="338"/>
    <col min="1265" max="1265" width="6.625" style="338" customWidth="1"/>
    <col min="1266" max="1267" width="21.625" style="338" customWidth="1"/>
    <col min="1268" max="1268" width="16.125" style="338" customWidth="1"/>
    <col min="1269" max="1269" width="13.875" style="338" customWidth="1"/>
    <col min="1270" max="1270" width="17.25" style="338" customWidth="1"/>
    <col min="1271" max="1272" width="20.5" style="338" customWidth="1"/>
    <col min="1273" max="1273" width="9" style="338" hidden="1" customWidth="1"/>
    <col min="1274" max="1274" width="18.375" style="338" customWidth="1"/>
    <col min="1275" max="1276" width="9" style="338" hidden="1" customWidth="1"/>
    <col min="1277" max="1520" width="9" style="338"/>
    <col min="1521" max="1521" width="6.625" style="338" customWidth="1"/>
    <col min="1522" max="1523" width="21.625" style="338" customWidth="1"/>
    <col min="1524" max="1524" width="16.125" style="338" customWidth="1"/>
    <col min="1525" max="1525" width="13.875" style="338" customWidth="1"/>
    <col min="1526" max="1526" width="17.25" style="338" customWidth="1"/>
    <col min="1527" max="1528" width="20.5" style="338" customWidth="1"/>
    <col min="1529" max="1529" width="9" style="338" hidden="1" customWidth="1"/>
    <col min="1530" max="1530" width="18.375" style="338" customWidth="1"/>
    <col min="1531" max="1532" width="9" style="338" hidden="1" customWidth="1"/>
    <col min="1533" max="1776" width="9" style="338"/>
    <col min="1777" max="1777" width="6.625" style="338" customWidth="1"/>
    <col min="1778" max="1779" width="21.625" style="338" customWidth="1"/>
    <col min="1780" max="1780" width="16.125" style="338" customWidth="1"/>
    <col min="1781" max="1781" width="13.875" style="338" customWidth="1"/>
    <col min="1782" max="1782" width="17.25" style="338" customWidth="1"/>
    <col min="1783" max="1784" width="20.5" style="338" customWidth="1"/>
    <col min="1785" max="1785" width="9" style="338" hidden="1" customWidth="1"/>
    <col min="1786" max="1786" width="18.375" style="338" customWidth="1"/>
    <col min="1787" max="1788" width="9" style="338" hidden="1" customWidth="1"/>
    <col min="1789" max="2032" width="9" style="338"/>
    <col min="2033" max="2033" width="6.625" style="338" customWidth="1"/>
    <col min="2034" max="2035" width="21.625" style="338" customWidth="1"/>
    <col min="2036" max="2036" width="16.125" style="338" customWidth="1"/>
    <col min="2037" max="2037" width="13.875" style="338" customWidth="1"/>
    <col min="2038" max="2038" width="17.25" style="338" customWidth="1"/>
    <col min="2039" max="2040" width="20.5" style="338" customWidth="1"/>
    <col min="2041" max="2041" width="9" style="338" hidden="1" customWidth="1"/>
    <col min="2042" max="2042" width="18.375" style="338" customWidth="1"/>
    <col min="2043" max="2044" width="9" style="338" hidden="1" customWidth="1"/>
    <col min="2045" max="2288" width="9" style="338"/>
    <col min="2289" max="2289" width="6.625" style="338" customWidth="1"/>
    <col min="2290" max="2291" width="21.625" style="338" customWidth="1"/>
    <col min="2292" max="2292" width="16.125" style="338" customWidth="1"/>
    <col min="2293" max="2293" width="13.875" style="338" customWidth="1"/>
    <col min="2294" max="2294" width="17.25" style="338" customWidth="1"/>
    <col min="2295" max="2296" width="20.5" style="338" customWidth="1"/>
    <col min="2297" max="2297" width="9" style="338" hidden="1" customWidth="1"/>
    <col min="2298" max="2298" width="18.375" style="338" customWidth="1"/>
    <col min="2299" max="2300" width="9" style="338" hidden="1" customWidth="1"/>
    <col min="2301" max="2544" width="9" style="338"/>
    <col min="2545" max="2545" width="6.625" style="338" customWidth="1"/>
    <col min="2546" max="2547" width="21.625" style="338" customWidth="1"/>
    <col min="2548" max="2548" width="16.125" style="338" customWidth="1"/>
    <col min="2549" max="2549" width="13.875" style="338" customWidth="1"/>
    <col min="2550" max="2550" width="17.25" style="338" customWidth="1"/>
    <col min="2551" max="2552" width="20.5" style="338" customWidth="1"/>
    <col min="2553" max="2553" width="9" style="338" hidden="1" customWidth="1"/>
    <col min="2554" max="2554" width="18.375" style="338" customWidth="1"/>
    <col min="2555" max="2556" width="9" style="338" hidden="1" customWidth="1"/>
    <col min="2557" max="2800" width="9" style="338"/>
    <col min="2801" max="2801" width="6.625" style="338" customWidth="1"/>
    <col min="2802" max="2803" width="21.625" style="338" customWidth="1"/>
    <col min="2804" max="2804" width="16.125" style="338" customWidth="1"/>
    <col min="2805" max="2805" width="13.875" style="338" customWidth="1"/>
    <col min="2806" max="2806" width="17.25" style="338" customWidth="1"/>
    <col min="2807" max="2808" width="20.5" style="338" customWidth="1"/>
    <col min="2809" max="2809" width="9" style="338" hidden="1" customWidth="1"/>
    <col min="2810" max="2810" width="18.375" style="338" customWidth="1"/>
    <col min="2811" max="2812" width="9" style="338" hidden="1" customWidth="1"/>
    <col min="2813" max="3056" width="9" style="338"/>
    <col min="3057" max="3057" width="6.625" style="338" customWidth="1"/>
    <col min="3058" max="3059" width="21.625" style="338" customWidth="1"/>
    <col min="3060" max="3060" width="16.125" style="338" customWidth="1"/>
    <col min="3061" max="3061" width="13.875" style="338" customWidth="1"/>
    <col min="3062" max="3062" width="17.25" style="338" customWidth="1"/>
    <col min="3063" max="3064" width="20.5" style="338" customWidth="1"/>
    <col min="3065" max="3065" width="9" style="338" hidden="1" customWidth="1"/>
    <col min="3066" max="3066" width="18.375" style="338" customWidth="1"/>
    <col min="3067" max="3068" width="9" style="338" hidden="1" customWidth="1"/>
    <col min="3069" max="3312" width="9" style="338"/>
    <col min="3313" max="3313" width="6.625" style="338" customWidth="1"/>
    <col min="3314" max="3315" width="21.625" style="338" customWidth="1"/>
    <col min="3316" max="3316" width="16.125" style="338" customWidth="1"/>
    <col min="3317" max="3317" width="13.875" style="338" customWidth="1"/>
    <col min="3318" max="3318" width="17.25" style="338" customWidth="1"/>
    <col min="3319" max="3320" width="20.5" style="338" customWidth="1"/>
    <col min="3321" max="3321" width="9" style="338" hidden="1" customWidth="1"/>
    <col min="3322" max="3322" width="18.375" style="338" customWidth="1"/>
    <col min="3323" max="3324" width="9" style="338" hidden="1" customWidth="1"/>
    <col min="3325" max="3568" width="9" style="338"/>
    <col min="3569" max="3569" width="6.625" style="338" customWidth="1"/>
    <col min="3570" max="3571" width="21.625" style="338" customWidth="1"/>
    <col min="3572" max="3572" width="16.125" style="338" customWidth="1"/>
    <col min="3573" max="3573" width="13.875" style="338" customWidth="1"/>
    <col min="3574" max="3574" width="17.25" style="338" customWidth="1"/>
    <col min="3575" max="3576" width="20.5" style="338" customWidth="1"/>
    <col min="3577" max="3577" width="9" style="338" hidden="1" customWidth="1"/>
    <col min="3578" max="3578" width="18.375" style="338" customWidth="1"/>
    <col min="3579" max="3580" width="9" style="338" hidden="1" customWidth="1"/>
    <col min="3581" max="3824" width="9" style="338"/>
    <col min="3825" max="3825" width="6.625" style="338" customWidth="1"/>
    <col min="3826" max="3827" width="21.625" style="338" customWidth="1"/>
    <col min="3828" max="3828" width="16.125" style="338" customWidth="1"/>
    <col min="3829" max="3829" width="13.875" style="338" customWidth="1"/>
    <col min="3830" max="3830" width="17.25" style="338" customWidth="1"/>
    <col min="3831" max="3832" width="20.5" style="338" customWidth="1"/>
    <col min="3833" max="3833" width="9" style="338" hidden="1" customWidth="1"/>
    <col min="3834" max="3834" width="18.375" style="338" customWidth="1"/>
    <col min="3835" max="3836" width="9" style="338" hidden="1" customWidth="1"/>
    <col min="3837" max="4080" width="9" style="338"/>
    <col min="4081" max="4081" width="6.625" style="338" customWidth="1"/>
    <col min="4082" max="4083" width="21.625" style="338" customWidth="1"/>
    <col min="4084" max="4084" width="16.125" style="338" customWidth="1"/>
    <col min="4085" max="4085" width="13.875" style="338" customWidth="1"/>
    <col min="4086" max="4086" width="17.25" style="338" customWidth="1"/>
    <col min="4087" max="4088" width="20.5" style="338" customWidth="1"/>
    <col min="4089" max="4089" width="9" style="338" hidden="1" customWidth="1"/>
    <col min="4090" max="4090" width="18.375" style="338" customWidth="1"/>
    <col min="4091" max="4092" width="9" style="338" hidden="1" customWidth="1"/>
    <col min="4093" max="4336" width="9" style="338"/>
    <col min="4337" max="4337" width="6.625" style="338" customWidth="1"/>
    <col min="4338" max="4339" width="21.625" style="338" customWidth="1"/>
    <col min="4340" max="4340" width="16.125" style="338" customWidth="1"/>
    <col min="4341" max="4341" width="13.875" style="338" customWidth="1"/>
    <col min="4342" max="4342" width="17.25" style="338" customWidth="1"/>
    <col min="4343" max="4344" width="20.5" style="338" customWidth="1"/>
    <col min="4345" max="4345" width="9" style="338" hidden="1" customWidth="1"/>
    <col min="4346" max="4346" width="18.375" style="338" customWidth="1"/>
    <col min="4347" max="4348" width="9" style="338" hidden="1" customWidth="1"/>
    <col min="4349" max="4592" width="9" style="338"/>
    <col min="4593" max="4593" width="6.625" style="338" customWidth="1"/>
    <col min="4594" max="4595" width="21.625" style="338" customWidth="1"/>
    <col min="4596" max="4596" width="16.125" style="338" customWidth="1"/>
    <col min="4597" max="4597" width="13.875" style="338" customWidth="1"/>
    <col min="4598" max="4598" width="17.25" style="338" customWidth="1"/>
    <col min="4599" max="4600" width="20.5" style="338" customWidth="1"/>
    <col min="4601" max="4601" width="9" style="338" hidden="1" customWidth="1"/>
    <col min="4602" max="4602" width="18.375" style="338" customWidth="1"/>
    <col min="4603" max="4604" width="9" style="338" hidden="1" customWidth="1"/>
    <col min="4605" max="4848" width="9" style="338"/>
    <col min="4849" max="4849" width="6.625" style="338" customWidth="1"/>
    <col min="4850" max="4851" width="21.625" style="338" customWidth="1"/>
    <col min="4852" max="4852" width="16.125" style="338" customWidth="1"/>
    <col min="4853" max="4853" width="13.875" style="338" customWidth="1"/>
    <col min="4854" max="4854" width="17.25" style="338" customWidth="1"/>
    <col min="4855" max="4856" width="20.5" style="338" customWidth="1"/>
    <col min="4857" max="4857" width="9" style="338" hidden="1" customWidth="1"/>
    <col min="4858" max="4858" width="18.375" style="338" customWidth="1"/>
    <col min="4859" max="4860" width="9" style="338" hidden="1" customWidth="1"/>
    <col min="4861" max="5104" width="9" style="338"/>
    <col min="5105" max="5105" width="6.625" style="338" customWidth="1"/>
    <col min="5106" max="5107" width="21.625" style="338" customWidth="1"/>
    <col min="5108" max="5108" width="16.125" style="338" customWidth="1"/>
    <col min="5109" max="5109" width="13.875" style="338" customWidth="1"/>
    <col min="5110" max="5110" width="17.25" style="338" customWidth="1"/>
    <col min="5111" max="5112" width="20.5" style="338" customWidth="1"/>
    <col min="5113" max="5113" width="9" style="338" hidden="1" customWidth="1"/>
    <col min="5114" max="5114" width="18.375" style="338" customWidth="1"/>
    <col min="5115" max="5116" width="9" style="338" hidden="1" customWidth="1"/>
    <col min="5117" max="5360" width="9" style="338"/>
    <col min="5361" max="5361" width="6.625" style="338" customWidth="1"/>
    <col min="5362" max="5363" width="21.625" style="338" customWidth="1"/>
    <col min="5364" max="5364" width="16.125" style="338" customWidth="1"/>
    <col min="5365" max="5365" width="13.875" style="338" customWidth="1"/>
    <col min="5366" max="5366" width="17.25" style="338" customWidth="1"/>
    <col min="5367" max="5368" width="20.5" style="338" customWidth="1"/>
    <col min="5369" max="5369" width="9" style="338" hidden="1" customWidth="1"/>
    <col min="5370" max="5370" width="18.375" style="338" customWidth="1"/>
    <col min="5371" max="5372" width="9" style="338" hidden="1" customWidth="1"/>
    <col min="5373" max="5616" width="9" style="338"/>
    <col min="5617" max="5617" width="6.625" style="338" customWidth="1"/>
    <col min="5618" max="5619" width="21.625" style="338" customWidth="1"/>
    <col min="5620" max="5620" width="16.125" style="338" customWidth="1"/>
    <col min="5621" max="5621" width="13.875" style="338" customWidth="1"/>
    <col min="5622" max="5622" width="17.25" style="338" customWidth="1"/>
    <col min="5623" max="5624" width="20.5" style="338" customWidth="1"/>
    <col min="5625" max="5625" width="9" style="338" hidden="1" customWidth="1"/>
    <col min="5626" max="5626" width="18.375" style="338" customWidth="1"/>
    <col min="5627" max="5628" width="9" style="338" hidden="1" customWidth="1"/>
    <col min="5629" max="5872" width="9" style="338"/>
    <col min="5873" max="5873" width="6.625" style="338" customWidth="1"/>
    <col min="5874" max="5875" width="21.625" style="338" customWidth="1"/>
    <col min="5876" max="5876" width="16.125" style="338" customWidth="1"/>
    <col min="5877" max="5877" width="13.875" style="338" customWidth="1"/>
    <col min="5878" max="5878" width="17.25" style="338" customWidth="1"/>
    <col min="5879" max="5880" width="20.5" style="338" customWidth="1"/>
    <col min="5881" max="5881" width="9" style="338" hidden="1" customWidth="1"/>
    <col min="5882" max="5882" width="18.375" style="338" customWidth="1"/>
    <col min="5883" max="5884" width="9" style="338" hidden="1" customWidth="1"/>
    <col min="5885" max="6128" width="9" style="338"/>
    <col min="6129" max="6129" width="6.625" style="338" customWidth="1"/>
    <col min="6130" max="6131" width="21.625" style="338" customWidth="1"/>
    <col min="6132" max="6132" width="16.125" style="338" customWidth="1"/>
    <col min="6133" max="6133" width="13.875" style="338" customWidth="1"/>
    <col min="6134" max="6134" width="17.25" style="338" customWidth="1"/>
    <col min="6135" max="6136" width="20.5" style="338" customWidth="1"/>
    <col min="6137" max="6137" width="9" style="338" hidden="1" customWidth="1"/>
    <col min="6138" max="6138" width="18.375" style="338" customWidth="1"/>
    <col min="6139" max="6140" width="9" style="338" hidden="1" customWidth="1"/>
    <col min="6141" max="6384" width="9" style="338"/>
    <col min="6385" max="6385" width="6.625" style="338" customWidth="1"/>
    <col min="6386" max="6387" width="21.625" style="338" customWidth="1"/>
    <col min="6388" max="6388" width="16.125" style="338" customWidth="1"/>
    <col min="6389" max="6389" width="13.875" style="338" customWidth="1"/>
    <col min="6390" max="6390" width="17.25" style="338" customWidth="1"/>
    <col min="6391" max="6392" width="20.5" style="338" customWidth="1"/>
    <col min="6393" max="6393" width="9" style="338" hidden="1" customWidth="1"/>
    <col min="6394" max="6394" width="18.375" style="338" customWidth="1"/>
    <col min="6395" max="6396" width="9" style="338" hidden="1" customWidth="1"/>
    <col min="6397" max="6640" width="9" style="338"/>
    <col min="6641" max="6641" width="6.625" style="338" customWidth="1"/>
    <col min="6642" max="6643" width="21.625" style="338" customWidth="1"/>
    <col min="6644" max="6644" width="16.125" style="338" customWidth="1"/>
    <col min="6645" max="6645" width="13.875" style="338" customWidth="1"/>
    <col min="6646" max="6646" width="17.25" style="338" customWidth="1"/>
    <col min="6647" max="6648" width="20.5" style="338" customWidth="1"/>
    <col min="6649" max="6649" width="9" style="338" hidden="1" customWidth="1"/>
    <col min="6650" max="6650" width="18.375" style="338" customWidth="1"/>
    <col min="6651" max="6652" width="9" style="338" hidden="1" customWidth="1"/>
    <col min="6653" max="6896" width="9" style="338"/>
    <col min="6897" max="6897" width="6.625" style="338" customWidth="1"/>
    <col min="6898" max="6899" width="21.625" style="338" customWidth="1"/>
    <col min="6900" max="6900" width="16.125" style="338" customWidth="1"/>
    <col min="6901" max="6901" width="13.875" style="338" customWidth="1"/>
    <col min="6902" max="6902" width="17.25" style="338" customWidth="1"/>
    <col min="6903" max="6904" width="20.5" style="338" customWidth="1"/>
    <col min="6905" max="6905" width="9" style="338" hidden="1" customWidth="1"/>
    <col min="6906" max="6906" width="18.375" style="338" customWidth="1"/>
    <col min="6907" max="6908" width="9" style="338" hidden="1" customWidth="1"/>
    <col min="6909" max="7152" width="9" style="338"/>
    <col min="7153" max="7153" width="6.625" style="338" customWidth="1"/>
    <col min="7154" max="7155" width="21.625" style="338" customWidth="1"/>
    <col min="7156" max="7156" width="16.125" style="338" customWidth="1"/>
    <col min="7157" max="7157" width="13.875" style="338" customWidth="1"/>
    <col min="7158" max="7158" width="17.25" style="338" customWidth="1"/>
    <col min="7159" max="7160" width="20.5" style="338" customWidth="1"/>
    <col min="7161" max="7161" width="9" style="338" hidden="1" customWidth="1"/>
    <col min="7162" max="7162" width="18.375" style="338" customWidth="1"/>
    <col min="7163" max="7164" width="9" style="338" hidden="1" customWidth="1"/>
    <col min="7165" max="7408" width="9" style="338"/>
    <col min="7409" max="7409" width="6.625" style="338" customWidth="1"/>
    <col min="7410" max="7411" width="21.625" style="338" customWidth="1"/>
    <col min="7412" max="7412" width="16.125" style="338" customWidth="1"/>
    <col min="7413" max="7413" width="13.875" style="338" customWidth="1"/>
    <col min="7414" max="7414" width="17.25" style="338" customWidth="1"/>
    <col min="7415" max="7416" width="20.5" style="338" customWidth="1"/>
    <col min="7417" max="7417" width="9" style="338" hidden="1" customWidth="1"/>
    <col min="7418" max="7418" width="18.375" style="338" customWidth="1"/>
    <col min="7419" max="7420" width="9" style="338" hidden="1" customWidth="1"/>
    <col min="7421" max="7664" width="9" style="338"/>
    <col min="7665" max="7665" width="6.625" style="338" customWidth="1"/>
    <col min="7666" max="7667" width="21.625" style="338" customWidth="1"/>
    <col min="7668" max="7668" width="16.125" style="338" customWidth="1"/>
    <col min="7669" max="7669" width="13.875" style="338" customWidth="1"/>
    <col min="7670" max="7670" width="17.25" style="338" customWidth="1"/>
    <col min="7671" max="7672" width="20.5" style="338" customWidth="1"/>
    <col min="7673" max="7673" width="9" style="338" hidden="1" customWidth="1"/>
    <col min="7674" max="7674" width="18.375" style="338" customWidth="1"/>
    <col min="7675" max="7676" width="9" style="338" hidden="1" customWidth="1"/>
    <col min="7677" max="7920" width="9" style="338"/>
    <col min="7921" max="7921" width="6.625" style="338" customWidth="1"/>
    <col min="7922" max="7923" width="21.625" style="338" customWidth="1"/>
    <col min="7924" max="7924" width="16.125" style="338" customWidth="1"/>
    <col min="7925" max="7925" width="13.875" style="338" customWidth="1"/>
    <col min="7926" max="7926" width="17.25" style="338" customWidth="1"/>
    <col min="7927" max="7928" width="20.5" style="338" customWidth="1"/>
    <col min="7929" max="7929" width="9" style="338" hidden="1" customWidth="1"/>
    <col min="7930" max="7930" width="18.375" style="338" customWidth="1"/>
    <col min="7931" max="7932" width="9" style="338" hidden="1" customWidth="1"/>
    <col min="7933" max="8176" width="9" style="338"/>
    <col min="8177" max="8177" width="6.625" style="338" customWidth="1"/>
    <col min="8178" max="8179" width="21.625" style="338" customWidth="1"/>
    <col min="8180" max="8180" width="16.125" style="338" customWidth="1"/>
    <col min="8181" max="8181" width="13.875" style="338" customWidth="1"/>
    <col min="8182" max="8182" width="17.25" style="338" customWidth="1"/>
    <col min="8183" max="8184" width="20.5" style="338" customWidth="1"/>
    <col min="8185" max="8185" width="9" style="338" hidden="1" customWidth="1"/>
    <col min="8186" max="8186" width="18.375" style="338" customWidth="1"/>
    <col min="8187" max="8188" width="9" style="338" hidden="1" customWidth="1"/>
    <col min="8189" max="8432" width="9" style="338"/>
    <col min="8433" max="8433" width="6.625" style="338" customWidth="1"/>
    <col min="8434" max="8435" width="21.625" style="338" customWidth="1"/>
    <col min="8436" max="8436" width="16.125" style="338" customWidth="1"/>
    <col min="8437" max="8437" width="13.875" style="338" customWidth="1"/>
    <col min="8438" max="8438" width="17.25" style="338" customWidth="1"/>
    <col min="8439" max="8440" width="20.5" style="338" customWidth="1"/>
    <col min="8441" max="8441" width="9" style="338" hidden="1" customWidth="1"/>
    <col min="8442" max="8442" width="18.375" style="338" customWidth="1"/>
    <col min="8443" max="8444" width="9" style="338" hidden="1" customWidth="1"/>
    <col min="8445" max="8688" width="9" style="338"/>
    <col min="8689" max="8689" width="6.625" style="338" customWidth="1"/>
    <col min="8690" max="8691" width="21.625" style="338" customWidth="1"/>
    <col min="8692" max="8692" width="16.125" style="338" customWidth="1"/>
    <col min="8693" max="8693" width="13.875" style="338" customWidth="1"/>
    <col min="8694" max="8694" width="17.25" style="338" customWidth="1"/>
    <col min="8695" max="8696" width="20.5" style="338" customWidth="1"/>
    <col min="8697" max="8697" width="9" style="338" hidden="1" customWidth="1"/>
    <col min="8698" max="8698" width="18.375" style="338" customWidth="1"/>
    <col min="8699" max="8700" width="9" style="338" hidden="1" customWidth="1"/>
    <col min="8701" max="8944" width="9" style="338"/>
    <col min="8945" max="8945" width="6.625" style="338" customWidth="1"/>
    <col min="8946" max="8947" width="21.625" style="338" customWidth="1"/>
    <col min="8948" max="8948" width="16.125" style="338" customWidth="1"/>
    <col min="8949" max="8949" width="13.875" style="338" customWidth="1"/>
    <col min="8950" max="8950" width="17.25" style="338" customWidth="1"/>
    <col min="8951" max="8952" width="20.5" style="338" customWidth="1"/>
    <col min="8953" max="8953" width="9" style="338" hidden="1" customWidth="1"/>
    <col min="8954" max="8954" width="18.375" style="338" customWidth="1"/>
    <col min="8955" max="8956" width="9" style="338" hidden="1" customWidth="1"/>
    <col min="8957" max="9200" width="9" style="338"/>
    <col min="9201" max="9201" width="6.625" style="338" customWidth="1"/>
    <col min="9202" max="9203" width="21.625" style="338" customWidth="1"/>
    <col min="9204" max="9204" width="16.125" style="338" customWidth="1"/>
    <col min="9205" max="9205" width="13.875" style="338" customWidth="1"/>
    <col min="9206" max="9206" width="17.25" style="338" customWidth="1"/>
    <col min="9207" max="9208" width="20.5" style="338" customWidth="1"/>
    <col min="9209" max="9209" width="9" style="338" hidden="1" customWidth="1"/>
    <col min="9210" max="9210" width="18.375" style="338" customWidth="1"/>
    <col min="9211" max="9212" width="9" style="338" hidden="1" customWidth="1"/>
    <col min="9213" max="9456" width="9" style="338"/>
    <col min="9457" max="9457" width="6.625" style="338" customWidth="1"/>
    <col min="9458" max="9459" width="21.625" style="338" customWidth="1"/>
    <col min="9460" max="9460" width="16.125" style="338" customWidth="1"/>
    <col min="9461" max="9461" width="13.875" style="338" customWidth="1"/>
    <col min="9462" max="9462" width="17.25" style="338" customWidth="1"/>
    <col min="9463" max="9464" width="20.5" style="338" customWidth="1"/>
    <col min="9465" max="9465" width="9" style="338" hidden="1" customWidth="1"/>
    <col min="9466" max="9466" width="18.375" style="338" customWidth="1"/>
    <col min="9467" max="9468" width="9" style="338" hidden="1" customWidth="1"/>
    <col min="9469" max="9712" width="9" style="338"/>
    <col min="9713" max="9713" width="6.625" style="338" customWidth="1"/>
    <col min="9714" max="9715" width="21.625" style="338" customWidth="1"/>
    <col min="9716" max="9716" width="16.125" style="338" customWidth="1"/>
    <col min="9717" max="9717" width="13.875" style="338" customWidth="1"/>
    <col min="9718" max="9718" width="17.25" style="338" customWidth="1"/>
    <col min="9719" max="9720" width="20.5" style="338" customWidth="1"/>
    <col min="9721" max="9721" width="9" style="338" hidden="1" customWidth="1"/>
    <col min="9722" max="9722" width="18.375" style="338" customWidth="1"/>
    <col min="9723" max="9724" width="9" style="338" hidden="1" customWidth="1"/>
    <col min="9725" max="9968" width="9" style="338"/>
    <col min="9969" max="9969" width="6.625" style="338" customWidth="1"/>
    <col min="9970" max="9971" width="21.625" style="338" customWidth="1"/>
    <col min="9972" max="9972" width="16.125" style="338" customWidth="1"/>
    <col min="9973" max="9973" width="13.875" style="338" customWidth="1"/>
    <col min="9974" max="9974" width="17.25" style="338" customWidth="1"/>
    <col min="9975" max="9976" width="20.5" style="338" customWidth="1"/>
    <col min="9977" max="9977" width="9" style="338" hidden="1" customWidth="1"/>
    <col min="9978" max="9978" width="18.375" style="338" customWidth="1"/>
    <col min="9979" max="9980" width="9" style="338" hidden="1" customWidth="1"/>
    <col min="9981" max="10224" width="9" style="338"/>
    <col min="10225" max="10225" width="6.625" style="338" customWidth="1"/>
    <col min="10226" max="10227" width="21.625" style="338" customWidth="1"/>
    <col min="10228" max="10228" width="16.125" style="338" customWidth="1"/>
    <col min="10229" max="10229" width="13.875" style="338" customWidth="1"/>
    <col min="10230" max="10230" width="17.25" style="338" customWidth="1"/>
    <col min="10231" max="10232" width="20.5" style="338" customWidth="1"/>
    <col min="10233" max="10233" width="9" style="338" hidden="1" customWidth="1"/>
    <col min="10234" max="10234" width="18.375" style="338" customWidth="1"/>
    <col min="10235" max="10236" width="9" style="338" hidden="1" customWidth="1"/>
    <col min="10237" max="10480" width="9" style="338"/>
    <col min="10481" max="10481" width="6.625" style="338" customWidth="1"/>
    <col min="10482" max="10483" width="21.625" style="338" customWidth="1"/>
    <col min="10484" max="10484" width="16.125" style="338" customWidth="1"/>
    <col min="10485" max="10485" width="13.875" style="338" customWidth="1"/>
    <col min="10486" max="10486" width="17.25" style="338" customWidth="1"/>
    <col min="10487" max="10488" width="20.5" style="338" customWidth="1"/>
    <col min="10489" max="10489" width="9" style="338" hidden="1" customWidth="1"/>
    <col min="10490" max="10490" width="18.375" style="338" customWidth="1"/>
    <col min="10491" max="10492" width="9" style="338" hidden="1" customWidth="1"/>
    <col min="10493" max="10736" width="9" style="338"/>
    <col min="10737" max="10737" width="6.625" style="338" customWidth="1"/>
    <col min="10738" max="10739" width="21.625" style="338" customWidth="1"/>
    <col min="10740" max="10740" width="16.125" style="338" customWidth="1"/>
    <col min="10741" max="10741" width="13.875" style="338" customWidth="1"/>
    <col min="10742" max="10742" width="17.25" style="338" customWidth="1"/>
    <col min="10743" max="10744" width="20.5" style="338" customWidth="1"/>
    <col min="10745" max="10745" width="9" style="338" hidden="1" customWidth="1"/>
    <col min="10746" max="10746" width="18.375" style="338" customWidth="1"/>
    <col min="10747" max="10748" width="9" style="338" hidden="1" customWidth="1"/>
    <col min="10749" max="10992" width="9" style="338"/>
    <col min="10993" max="10993" width="6.625" style="338" customWidth="1"/>
    <col min="10994" max="10995" width="21.625" style="338" customWidth="1"/>
    <col min="10996" max="10996" width="16.125" style="338" customWidth="1"/>
    <col min="10997" max="10997" width="13.875" style="338" customWidth="1"/>
    <col min="10998" max="10998" width="17.25" style="338" customWidth="1"/>
    <col min="10999" max="11000" width="20.5" style="338" customWidth="1"/>
    <col min="11001" max="11001" width="9" style="338" hidden="1" customWidth="1"/>
    <col min="11002" max="11002" width="18.375" style="338" customWidth="1"/>
    <col min="11003" max="11004" width="9" style="338" hidden="1" customWidth="1"/>
    <col min="11005" max="11248" width="9" style="338"/>
    <col min="11249" max="11249" width="6.625" style="338" customWidth="1"/>
    <col min="11250" max="11251" width="21.625" style="338" customWidth="1"/>
    <col min="11252" max="11252" width="16.125" style="338" customWidth="1"/>
    <col min="11253" max="11253" width="13.875" style="338" customWidth="1"/>
    <col min="11254" max="11254" width="17.25" style="338" customWidth="1"/>
    <col min="11255" max="11256" width="20.5" style="338" customWidth="1"/>
    <col min="11257" max="11257" width="9" style="338" hidden="1" customWidth="1"/>
    <col min="11258" max="11258" width="18.375" style="338" customWidth="1"/>
    <col min="11259" max="11260" width="9" style="338" hidden="1" customWidth="1"/>
    <col min="11261" max="11504" width="9" style="338"/>
    <col min="11505" max="11505" width="6.625" style="338" customWidth="1"/>
    <col min="11506" max="11507" width="21.625" style="338" customWidth="1"/>
    <col min="11508" max="11508" width="16.125" style="338" customWidth="1"/>
    <col min="11509" max="11509" width="13.875" style="338" customWidth="1"/>
    <col min="11510" max="11510" width="17.25" style="338" customWidth="1"/>
    <col min="11511" max="11512" width="20.5" style="338" customWidth="1"/>
    <col min="11513" max="11513" width="9" style="338" hidden="1" customWidth="1"/>
    <col min="11514" max="11514" width="18.375" style="338" customWidth="1"/>
    <col min="11515" max="11516" width="9" style="338" hidden="1" customWidth="1"/>
    <col min="11517" max="11760" width="9" style="338"/>
    <col min="11761" max="11761" width="6.625" style="338" customWidth="1"/>
    <col min="11762" max="11763" width="21.625" style="338" customWidth="1"/>
    <col min="11764" max="11764" width="16.125" style="338" customWidth="1"/>
    <col min="11765" max="11765" width="13.875" style="338" customWidth="1"/>
    <col min="11766" max="11766" width="17.25" style="338" customWidth="1"/>
    <col min="11767" max="11768" width="20.5" style="338" customWidth="1"/>
    <col min="11769" max="11769" width="9" style="338" hidden="1" customWidth="1"/>
    <col min="11770" max="11770" width="18.375" style="338" customWidth="1"/>
    <col min="11771" max="11772" width="9" style="338" hidden="1" customWidth="1"/>
    <col min="11773" max="12016" width="9" style="338"/>
    <col min="12017" max="12017" width="6.625" style="338" customWidth="1"/>
    <col min="12018" max="12019" width="21.625" style="338" customWidth="1"/>
    <col min="12020" max="12020" width="16.125" style="338" customWidth="1"/>
    <col min="12021" max="12021" width="13.875" style="338" customWidth="1"/>
    <col min="12022" max="12022" width="17.25" style="338" customWidth="1"/>
    <col min="12023" max="12024" width="20.5" style="338" customWidth="1"/>
    <col min="12025" max="12025" width="9" style="338" hidden="1" customWidth="1"/>
    <col min="12026" max="12026" width="18.375" style="338" customWidth="1"/>
    <col min="12027" max="12028" width="9" style="338" hidden="1" customWidth="1"/>
    <col min="12029" max="12272" width="9" style="338"/>
    <col min="12273" max="12273" width="6.625" style="338" customWidth="1"/>
    <col min="12274" max="12275" width="21.625" style="338" customWidth="1"/>
    <col min="12276" max="12276" width="16.125" style="338" customWidth="1"/>
    <col min="12277" max="12277" width="13.875" style="338" customWidth="1"/>
    <col min="12278" max="12278" width="17.25" style="338" customWidth="1"/>
    <col min="12279" max="12280" width="20.5" style="338" customWidth="1"/>
    <col min="12281" max="12281" width="9" style="338" hidden="1" customWidth="1"/>
    <col min="12282" max="12282" width="18.375" style="338" customWidth="1"/>
    <col min="12283" max="12284" width="9" style="338" hidden="1" customWidth="1"/>
    <col min="12285" max="12528" width="9" style="338"/>
    <col min="12529" max="12529" width="6.625" style="338" customWidth="1"/>
    <col min="12530" max="12531" width="21.625" style="338" customWidth="1"/>
    <col min="12532" max="12532" width="16.125" style="338" customWidth="1"/>
    <col min="12533" max="12533" width="13.875" style="338" customWidth="1"/>
    <col min="12534" max="12534" width="17.25" style="338" customWidth="1"/>
    <col min="12535" max="12536" width="20.5" style="338" customWidth="1"/>
    <col min="12537" max="12537" width="9" style="338" hidden="1" customWidth="1"/>
    <col min="12538" max="12538" width="18.375" style="338" customWidth="1"/>
    <col min="12539" max="12540" width="9" style="338" hidden="1" customWidth="1"/>
    <col min="12541" max="12784" width="9" style="338"/>
    <col min="12785" max="12785" width="6.625" style="338" customWidth="1"/>
    <col min="12786" max="12787" width="21.625" style="338" customWidth="1"/>
    <col min="12788" max="12788" width="16.125" style="338" customWidth="1"/>
    <col min="12789" max="12789" width="13.875" style="338" customWidth="1"/>
    <col min="12790" max="12790" width="17.25" style="338" customWidth="1"/>
    <col min="12791" max="12792" width="20.5" style="338" customWidth="1"/>
    <col min="12793" max="12793" width="9" style="338" hidden="1" customWidth="1"/>
    <col min="12794" max="12794" width="18.375" style="338" customWidth="1"/>
    <col min="12795" max="12796" width="9" style="338" hidden="1" customWidth="1"/>
    <col min="12797" max="13040" width="9" style="338"/>
    <col min="13041" max="13041" width="6.625" style="338" customWidth="1"/>
    <col min="13042" max="13043" width="21.625" style="338" customWidth="1"/>
    <col min="13044" max="13044" width="16.125" style="338" customWidth="1"/>
    <col min="13045" max="13045" width="13.875" style="338" customWidth="1"/>
    <col min="13046" max="13046" width="17.25" style="338" customWidth="1"/>
    <col min="13047" max="13048" width="20.5" style="338" customWidth="1"/>
    <col min="13049" max="13049" width="9" style="338" hidden="1" customWidth="1"/>
    <col min="13050" max="13050" width="18.375" style="338" customWidth="1"/>
    <col min="13051" max="13052" width="9" style="338" hidden="1" customWidth="1"/>
    <col min="13053" max="13296" width="9" style="338"/>
    <col min="13297" max="13297" width="6.625" style="338" customWidth="1"/>
    <col min="13298" max="13299" width="21.625" style="338" customWidth="1"/>
    <col min="13300" max="13300" width="16.125" style="338" customWidth="1"/>
    <col min="13301" max="13301" width="13.875" style="338" customWidth="1"/>
    <col min="13302" max="13302" width="17.25" style="338" customWidth="1"/>
    <col min="13303" max="13304" width="20.5" style="338" customWidth="1"/>
    <col min="13305" max="13305" width="9" style="338" hidden="1" customWidth="1"/>
    <col min="13306" max="13306" width="18.375" style="338" customWidth="1"/>
    <col min="13307" max="13308" width="9" style="338" hidden="1" customWidth="1"/>
    <col min="13309" max="13552" width="9" style="338"/>
    <col min="13553" max="13553" width="6.625" style="338" customWidth="1"/>
    <col min="13554" max="13555" width="21.625" style="338" customWidth="1"/>
    <col min="13556" max="13556" width="16.125" style="338" customWidth="1"/>
    <col min="13557" max="13557" width="13.875" style="338" customWidth="1"/>
    <col min="13558" max="13558" width="17.25" style="338" customWidth="1"/>
    <col min="13559" max="13560" width="20.5" style="338" customWidth="1"/>
    <col min="13561" max="13561" width="9" style="338" hidden="1" customWidth="1"/>
    <col min="13562" max="13562" width="18.375" style="338" customWidth="1"/>
    <col min="13563" max="13564" width="9" style="338" hidden="1" customWidth="1"/>
    <col min="13565" max="13808" width="9" style="338"/>
    <col min="13809" max="13809" width="6.625" style="338" customWidth="1"/>
    <col min="13810" max="13811" width="21.625" style="338" customWidth="1"/>
    <col min="13812" max="13812" width="16.125" style="338" customWidth="1"/>
    <col min="13813" max="13813" width="13.875" style="338" customWidth="1"/>
    <col min="13814" max="13814" width="17.25" style="338" customWidth="1"/>
    <col min="13815" max="13816" width="20.5" style="338" customWidth="1"/>
    <col min="13817" max="13817" width="9" style="338" hidden="1" customWidth="1"/>
    <col min="13818" max="13818" width="18.375" style="338" customWidth="1"/>
    <col min="13819" max="13820" width="9" style="338" hidden="1" customWidth="1"/>
    <col min="13821" max="14064" width="9" style="338"/>
    <col min="14065" max="14065" width="6.625" style="338" customWidth="1"/>
    <col min="14066" max="14067" width="21.625" style="338" customWidth="1"/>
    <col min="14068" max="14068" width="16.125" style="338" customWidth="1"/>
    <col min="14069" max="14069" width="13.875" style="338" customWidth="1"/>
    <col min="14070" max="14070" width="17.25" style="338" customWidth="1"/>
    <col min="14071" max="14072" width="20.5" style="338" customWidth="1"/>
    <col min="14073" max="14073" width="9" style="338" hidden="1" customWidth="1"/>
    <col min="14074" max="14074" width="18.375" style="338" customWidth="1"/>
    <col min="14075" max="14076" width="9" style="338" hidden="1" customWidth="1"/>
    <col min="14077" max="14320" width="9" style="338"/>
    <col min="14321" max="14321" width="6.625" style="338" customWidth="1"/>
    <col min="14322" max="14323" width="21.625" style="338" customWidth="1"/>
    <col min="14324" max="14324" width="16.125" style="338" customWidth="1"/>
    <col min="14325" max="14325" width="13.875" style="338" customWidth="1"/>
    <col min="14326" max="14326" width="17.25" style="338" customWidth="1"/>
    <col min="14327" max="14328" width="20.5" style="338" customWidth="1"/>
    <col min="14329" max="14329" width="9" style="338" hidden="1" customWidth="1"/>
    <col min="14330" max="14330" width="18.375" style="338" customWidth="1"/>
    <col min="14331" max="14332" width="9" style="338" hidden="1" customWidth="1"/>
    <col min="14333" max="14576" width="9" style="338"/>
    <col min="14577" max="14577" width="6.625" style="338" customWidth="1"/>
    <col min="14578" max="14579" width="21.625" style="338" customWidth="1"/>
    <col min="14580" max="14580" width="16.125" style="338" customWidth="1"/>
    <col min="14581" max="14581" width="13.875" style="338" customWidth="1"/>
    <col min="14582" max="14582" width="17.25" style="338" customWidth="1"/>
    <col min="14583" max="14584" width="20.5" style="338" customWidth="1"/>
    <col min="14585" max="14585" width="9" style="338" hidden="1" customWidth="1"/>
    <col min="14586" max="14586" width="18.375" style="338" customWidth="1"/>
    <col min="14587" max="14588" width="9" style="338" hidden="1" customWidth="1"/>
    <col min="14589" max="14832" width="9" style="338"/>
    <col min="14833" max="14833" width="6.625" style="338" customWidth="1"/>
    <col min="14834" max="14835" width="21.625" style="338" customWidth="1"/>
    <col min="14836" max="14836" width="16.125" style="338" customWidth="1"/>
    <col min="14837" max="14837" width="13.875" style="338" customWidth="1"/>
    <col min="14838" max="14838" width="17.25" style="338" customWidth="1"/>
    <col min="14839" max="14840" width="20.5" style="338" customWidth="1"/>
    <col min="14841" max="14841" width="9" style="338" hidden="1" customWidth="1"/>
    <col min="14842" max="14842" width="18.375" style="338" customWidth="1"/>
    <col min="14843" max="14844" width="9" style="338" hidden="1" customWidth="1"/>
    <col min="14845" max="15088" width="9" style="338"/>
    <col min="15089" max="15089" width="6.625" style="338" customWidth="1"/>
    <col min="15090" max="15091" width="21.625" style="338" customWidth="1"/>
    <col min="15092" max="15092" width="16.125" style="338" customWidth="1"/>
    <col min="15093" max="15093" width="13.875" style="338" customWidth="1"/>
    <col min="15094" max="15094" width="17.25" style="338" customWidth="1"/>
    <col min="15095" max="15096" width="20.5" style="338" customWidth="1"/>
    <col min="15097" max="15097" width="9" style="338" hidden="1" customWidth="1"/>
    <col min="15098" max="15098" width="18.375" style="338" customWidth="1"/>
    <col min="15099" max="15100" width="9" style="338" hidden="1" customWidth="1"/>
    <col min="15101" max="15344" width="9" style="338"/>
    <col min="15345" max="15345" width="6.625" style="338" customWidth="1"/>
    <col min="15346" max="15347" width="21.625" style="338" customWidth="1"/>
    <col min="15348" max="15348" width="16.125" style="338" customWidth="1"/>
    <col min="15349" max="15349" width="13.875" style="338" customWidth="1"/>
    <col min="15350" max="15350" width="17.25" style="338" customWidth="1"/>
    <col min="15351" max="15352" width="20.5" style="338" customWidth="1"/>
    <col min="15353" max="15353" width="9" style="338" hidden="1" customWidth="1"/>
    <col min="15354" max="15354" width="18.375" style="338" customWidth="1"/>
    <col min="15355" max="15356" width="9" style="338" hidden="1" customWidth="1"/>
    <col min="15357" max="15600" width="9" style="338"/>
    <col min="15601" max="15601" width="6.625" style="338" customWidth="1"/>
    <col min="15602" max="15603" width="21.625" style="338" customWidth="1"/>
    <col min="15604" max="15604" width="16.125" style="338" customWidth="1"/>
    <col min="15605" max="15605" width="13.875" style="338" customWidth="1"/>
    <col min="15606" max="15606" width="17.25" style="338" customWidth="1"/>
    <col min="15607" max="15608" width="20.5" style="338" customWidth="1"/>
    <col min="15609" max="15609" width="9" style="338" hidden="1" customWidth="1"/>
    <col min="15610" max="15610" width="18.375" style="338" customWidth="1"/>
    <col min="15611" max="15612" width="9" style="338" hidden="1" customWidth="1"/>
    <col min="15613" max="15856" width="9" style="338"/>
    <col min="15857" max="15857" width="6.625" style="338" customWidth="1"/>
    <col min="15858" max="15859" width="21.625" style="338" customWidth="1"/>
    <col min="15860" max="15860" width="16.125" style="338" customWidth="1"/>
    <col min="15861" max="15861" width="13.875" style="338" customWidth="1"/>
    <col min="15862" max="15862" width="17.25" style="338" customWidth="1"/>
    <col min="15863" max="15864" width="20.5" style="338" customWidth="1"/>
    <col min="15865" max="15865" width="9" style="338" hidden="1" customWidth="1"/>
    <col min="15866" max="15866" width="18.375" style="338" customWidth="1"/>
    <col min="15867" max="15868" width="9" style="338" hidden="1" customWidth="1"/>
    <col min="15869" max="16112" width="9" style="338"/>
    <col min="16113" max="16113" width="6.625" style="338" customWidth="1"/>
    <col min="16114" max="16115" width="21.625" style="338" customWidth="1"/>
    <col min="16116" max="16116" width="16.125" style="338" customWidth="1"/>
    <col min="16117" max="16117" width="13.875" style="338" customWidth="1"/>
    <col min="16118" max="16118" width="17.25" style="338" customWidth="1"/>
    <col min="16119" max="16120" width="20.5" style="338" customWidth="1"/>
    <col min="16121" max="16121" width="9" style="338" hidden="1" customWidth="1"/>
    <col min="16122" max="16122" width="18.375" style="338" customWidth="1"/>
    <col min="16123" max="16124" width="9" style="338" hidden="1" customWidth="1"/>
    <col min="16125" max="16384" width="9" style="338"/>
  </cols>
  <sheetData>
    <row r="1" spans="1:7" ht="30" customHeight="1">
      <c r="A1" s="347" t="s">
        <v>1420</v>
      </c>
      <c r="B1" s="348"/>
      <c r="C1" s="348"/>
      <c r="D1" s="348"/>
      <c r="E1" s="348"/>
      <c r="F1" s="349"/>
      <c r="G1" s="349"/>
    </row>
    <row r="2" spans="1:7" ht="35.1" customHeight="1">
      <c r="A2" s="350" t="s">
        <v>1430</v>
      </c>
      <c r="B2" s="351"/>
      <c r="C2" s="352" t="s">
        <v>1421</v>
      </c>
      <c r="D2" s="352"/>
      <c r="E2" s="352"/>
      <c r="F2" s="353"/>
      <c r="G2" s="353"/>
    </row>
    <row r="3" spans="1:7" s="341" customFormat="1" ht="30" customHeight="1">
      <c r="A3" s="339" t="s">
        <v>12</v>
      </c>
      <c r="B3" s="339" t="s">
        <v>1422</v>
      </c>
      <c r="C3" s="339" t="s">
        <v>1423</v>
      </c>
      <c r="D3" s="340" t="s">
        <v>1424</v>
      </c>
      <c r="E3" s="339" t="s">
        <v>1258</v>
      </c>
      <c r="F3" s="339" t="s">
        <v>1418</v>
      </c>
      <c r="G3" s="339" t="s">
        <v>1425</v>
      </c>
    </row>
    <row r="4" spans="1:7" s="341" customFormat="1" ht="30" customHeight="1">
      <c r="A4" s="342">
        <v>1</v>
      </c>
      <c r="B4" s="342" t="s">
        <v>1426</v>
      </c>
      <c r="C4" s="343">
        <f>抚恤金!C6</f>
        <v>570460</v>
      </c>
      <c r="D4" s="344"/>
      <c r="E4" s="343">
        <f>C4-D4</f>
        <v>570460</v>
      </c>
      <c r="F4" s="342"/>
      <c r="G4" s="343">
        <f>C4-F4-D4</f>
        <v>570460</v>
      </c>
    </row>
    <row r="5" spans="1:7" ht="30" customHeight="1">
      <c r="A5" s="342">
        <v>2</v>
      </c>
      <c r="B5" s="342" t="s">
        <v>1257</v>
      </c>
      <c r="C5" s="343">
        <f>中小学教育补充!J10</f>
        <v>2600000</v>
      </c>
      <c r="D5" s="343"/>
      <c r="E5" s="343">
        <f>C5-D5</f>
        <v>2600000</v>
      </c>
      <c r="F5" s="343"/>
      <c r="G5" s="343">
        <f>C5-F5-D5</f>
        <v>2600000</v>
      </c>
    </row>
    <row r="6" spans="1:7" ht="30" customHeight="1">
      <c r="A6" s="339">
        <v>3</v>
      </c>
      <c r="B6" s="339" t="s">
        <v>1427</v>
      </c>
      <c r="C6" s="345">
        <f>'2025年设备购置与更新'!K9</f>
        <v>1154900</v>
      </c>
      <c r="D6" s="345">
        <v>895931.08</v>
      </c>
      <c r="E6" s="343">
        <f t="shared" ref="E6:E8" si="0">C6-D6</f>
        <v>258968.92000000004</v>
      </c>
      <c r="F6" s="345"/>
      <c r="G6" s="343">
        <f t="shared" ref="G6:G8" si="1">C6-F6-D6</f>
        <v>258968.92000000004</v>
      </c>
    </row>
    <row r="7" spans="1:7" ht="30" customHeight="1">
      <c r="A7" s="342">
        <v>4</v>
      </c>
      <c r="B7" s="339" t="s">
        <v>1428</v>
      </c>
      <c r="C7" s="345">
        <f>'2025年校舍维修'!J66+'2024年校舍维修尾款'!K4</f>
        <v>4653580.66</v>
      </c>
      <c r="D7" s="345">
        <v>4653580.66</v>
      </c>
      <c r="E7" s="343">
        <f t="shared" si="0"/>
        <v>0</v>
      </c>
      <c r="F7" s="345"/>
      <c r="G7" s="343">
        <f t="shared" si="1"/>
        <v>0</v>
      </c>
    </row>
    <row r="8" spans="1:7" ht="30" customHeight="1">
      <c r="A8" s="342">
        <v>5</v>
      </c>
      <c r="B8" s="339" t="s">
        <v>1429</v>
      </c>
      <c r="C8" s="345">
        <f>保安经费追加!H4</f>
        <v>262500</v>
      </c>
      <c r="D8" s="345"/>
      <c r="E8" s="343">
        <f t="shared" si="0"/>
        <v>262500</v>
      </c>
      <c r="F8" s="345">
        <f>C8</f>
        <v>262500</v>
      </c>
      <c r="G8" s="343">
        <f t="shared" si="1"/>
        <v>0</v>
      </c>
    </row>
    <row r="9" spans="1:7" ht="30" customHeight="1">
      <c r="A9" s="339"/>
      <c r="B9" s="339" t="s">
        <v>17</v>
      </c>
      <c r="C9" s="345">
        <f>SUM(C4:C8)</f>
        <v>9241440.6600000001</v>
      </c>
      <c r="D9" s="345">
        <f t="shared" ref="D9:G9" si="2">SUM(D4:D8)</f>
        <v>5549511.7400000002</v>
      </c>
      <c r="E9" s="345">
        <f t="shared" si="2"/>
        <v>3691928.92</v>
      </c>
      <c r="F9" s="345">
        <f t="shared" si="2"/>
        <v>262500</v>
      </c>
      <c r="G9" s="345">
        <f t="shared" si="2"/>
        <v>3429428.92</v>
      </c>
    </row>
    <row r="10" spans="1:7" ht="30" customHeight="1"/>
    <row r="11" spans="1:7" ht="30" customHeight="1"/>
  </sheetData>
  <mergeCells count="3">
    <mergeCell ref="A1:G1"/>
    <mergeCell ref="A2:B2"/>
    <mergeCell ref="C2:G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73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A37" sqref="A37:XFD37"/>
    </sheetView>
  </sheetViews>
  <sheetFormatPr defaultRowHeight="11.25"/>
  <cols>
    <col min="1" max="1" width="4.625" style="13" customWidth="1"/>
    <col min="2" max="2" width="24.125" style="1" customWidth="1"/>
    <col min="3" max="3" width="5.625" style="1" customWidth="1"/>
    <col min="4" max="4" width="6.125" style="14" customWidth="1"/>
    <col min="5" max="5" width="11.375" style="1" bestFit="1" customWidth="1"/>
    <col min="6" max="6" width="10.5" style="1" bestFit="1" customWidth="1"/>
    <col min="7" max="13" width="11.375" style="1" bestFit="1" customWidth="1"/>
    <col min="14" max="14" width="14.75" style="1" customWidth="1"/>
    <col min="15" max="15" width="13.75" style="1" customWidth="1"/>
    <col min="16" max="16" width="10.5" style="1" bestFit="1" customWidth="1"/>
    <col min="17" max="16384" width="9" style="1"/>
  </cols>
  <sheetData>
    <row r="1" spans="1:16" ht="20.100000000000001" customHeight="1">
      <c r="A1" s="354" t="s">
        <v>270</v>
      </c>
      <c r="B1" s="355"/>
      <c r="C1" s="355"/>
      <c r="D1" s="355"/>
      <c r="E1" s="355"/>
      <c r="F1" s="355"/>
      <c r="G1" s="355"/>
      <c r="H1" s="355"/>
      <c r="I1" s="355"/>
      <c r="J1" s="355"/>
      <c r="K1" s="355"/>
      <c r="L1" s="355"/>
      <c r="M1" s="355"/>
      <c r="N1" s="355"/>
      <c r="O1" s="355"/>
    </row>
    <row r="2" spans="1:16" ht="24.95" customHeight="1">
      <c r="A2" s="32" t="s">
        <v>12</v>
      </c>
      <c r="B2" s="32" t="s">
        <v>13</v>
      </c>
      <c r="C2" s="32" t="s">
        <v>14</v>
      </c>
      <c r="D2" s="33" t="s">
        <v>15</v>
      </c>
      <c r="E2" s="33" t="s">
        <v>451</v>
      </c>
      <c r="F2" s="33" t="s">
        <v>452</v>
      </c>
      <c r="G2" s="33" t="s">
        <v>453</v>
      </c>
      <c r="H2" s="33" t="s">
        <v>454</v>
      </c>
      <c r="I2" s="33" t="s">
        <v>455</v>
      </c>
      <c r="J2" s="33" t="s">
        <v>456</v>
      </c>
      <c r="K2" s="33" t="s">
        <v>457</v>
      </c>
      <c r="L2" s="33" t="s">
        <v>458</v>
      </c>
      <c r="M2" s="33" t="s">
        <v>459</v>
      </c>
      <c r="N2" s="33" t="s">
        <v>17</v>
      </c>
      <c r="O2" s="34" t="s">
        <v>825</v>
      </c>
      <c r="P2" s="115" t="s">
        <v>826</v>
      </c>
    </row>
    <row r="3" spans="1:16" ht="15" customHeight="1">
      <c r="A3" s="35" t="s">
        <v>19</v>
      </c>
      <c r="B3" s="36" t="s">
        <v>20</v>
      </c>
      <c r="C3" s="36"/>
      <c r="D3" s="37" t="s">
        <v>21</v>
      </c>
      <c r="E3" s="38">
        <f>莘庄!J4</f>
        <v>111810962.47999999</v>
      </c>
      <c r="F3" s="38">
        <f>吴泾!J4</f>
        <v>68838300.350000009</v>
      </c>
      <c r="G3" s="38">
        <f>七宝!Y4</f>
        <v>778555191.93999994</v>
      </c>
      <c r="H3" s="38" t="e">
        <f>#REF!</f>
        <v>#REF!</v>
      </c>
      <c r="I3" s="38" t="e">
        <f>#REF!</f>
        <v>#REF!</v>
      </c>
      <c r="J3" s="38">
        <f>马桥!Q4</f>
        <v>305232463.39000005</v>
      </c>
      <c r="K3" s="38">
        <f>华漕!N4</f>
        <v>261143962.02000001</v>
      </c>
      <c r="L3" s="38">
        <f>颛桥!T4</f>
        <v>452653130.88999999</v>
      </c>
      <c r="M3" s="38">
        <f>虹桥!P4</f>
        <v>243943373.20000002</v>
      </c>
      <c r="N3" s="38" t="e">
        <f t="shared" ref="N3:N34" si="0">SUM(E3:M3)</f>
        <v>#REF!</v>
      </c>
      <c r="O3" s="110">
        <v>3052299499.0499997</v>
      </c>
      <c r="P3" s="53" t="e">
        <f>N3-O3</f>
        <v>#REF!</v>
      </c>
    </row>
    <row r="4" spans="1:16" ht="15" customHeight="1">
      <c r="A4" s="35" t="s">
        <v>22</v>
      </c>
      <c r="B4" s="36" t="s">
        <v>0</v>
      </c>
      <c r="C4" s="36"/>
      <c r="D4" s="37" t="s">
        <v>21</v>
      </c>
      <c r="E4" s="38">
        <f>莘庄!J5</f>
        <v>94358154.689999998</v>
      </c>
      <c r="F4" s="38">
        <f>吴泾!J5</f>
        <v>56821312.580000006</v>
      </c>
      <c r="G4" s="38">
        <f>七宝!Y5</f>
        <v>654113368.06999993</v>
      </c>
      <c r="H4" s="38" t="e">
        <f>#REF!</f>
        <v>#REF!</v>
      </c>
      <c r="I4" s="38" t="e">
        <f>#REF!</f>
        <v>#REF!</v>
      </c>
      <c r="J4" s="38">
        <f>马桥!Q5</f>
        <v>255739161.99000001</v>
      </c>
      <c r="K4" s="38">
        <f>华漕!N5</f>
        <v>215176225.18000001</v>
      </c>
      <c r="L4" s="38">
        <f>颛桥!T5</f>
        <v>378352672.86999995</v>
      </c>
      <c r="M4" s="38">
        <f>虹桥!P5</f>
        <v>203705680</v>
      </c>
      <c r="N4" s="38" t="e">
        <f t="shared" si="0"/>
        <v>#REF!</v>
      </c>
      <c r="O4" s="110">
        <v>2546217287.71</v>
      </c>
      <c r="P4" s="53" t="e">
        <f t="shared" ref="P4:P67" si="1">N4-O4</f>
        <v>#REF!</v>
      </c>
    </row>
    <row r="5" spans="1:16" ht="15" customHeight="1">
      <c r="A5" s="35" t="s">
        <v>23</v>
      </c>
      <c r="B5" s="36" t="s">
        <v>24</v>
      </c>
      <c r="C5" s="36"/>
      <c r="D5" s="37" t="s">
        <v>21</v>
      </c>
      <c r="E5" s="38">
        <f>莘庄!J6</f>
        <v>12809883</v>
      </c>
      <c r="F5" s="38">
        <f>吴泾!J6</f>
        <v>7826969.7300000004</v>
      </c>
      <c r="G5" s="38">
        <f>七宝!Y6</f>
        <v>84132277.75</v>
      </c>
      <c r="H5" s="38" t="e">
        <f>#REF!</f>
        <v>#REF!</v>
      </c>
      <c r="I5" s="38" t="e">
        <f>#REF!</f>
        <v>#REF!</v>
      </c>
      <c r="J5" s="38">
        <f>马桥!Q6</f>
        <v>32050044</v>
      </c>
      <c r="K5" s="38">
        <f>华漕!N6</f>
        <v>29628132</v>
      </c>
      <c r="L5" s="38">
        <f>颛桥!T6</f>
        <v>48741024</v>
      </c>
      <c r="M5" s="38">
        <f>虹桥!P6</f>
        <v>27775860</v>
      </c>
      <c r="N5" s="38" t="e">
        <f t="shared" si="0"/>
        <v>#REF!</v>
      </c>
      <c r="O5" s="110">
        <v>334483423.57999998</v>
      </c>
      <c r="P5" s="53" t="e">
        <f t="shared" si="1"/>
        <v>#REF!</v>
      </c>
    </row>
    <row r="6" spans="1:16" ht="15" customHeight="1">
      <c r="A6" s="35" t="s">
        <v>25</v>
      </c>
      <c r="B6" s="36" t="s">
        <v>26</v>
      </c>
      <c r="C6" s="36" t="s">
        <v>27</v>
      </c>
      <c r="D6" s="37" t="s">
        <v>28</v>
      </c>
      <c r="E6" s="38">
        <f>莘庄!J7</f>
        <v>7052732</v>
      </c>
      <c r="F6" s="38">
        <f>吴泾!J7</f>
        <v>4446945.93</v>
      </c>
      <c r="G6" s="38">
        <f>七宝!Y7</f>
        <v>48593135</v>
      </c>
      <c r="H6" s="38" t="e">
        <f>#REF!</f>
        <v>#REF!</v>
      </c>
      <c r="I6" s="38" t="e">
        <f>#REF!</f>
        <v>#REF!</v>
      </c>
      <c r="J6" s="38">
        <f>马桥!Q7</f>
        <v>18370728</v>
      </c>
      <c r="K6" s="38">
        <f>华漕!N7</f>
        <v>16045872</v>
      </c>
      <c r="L6" s="38">
        <f>颛桥!T7</f>
        <v>28287144</v>
      </c>
      <c r="M6" s="38">
        <f>虹桥!P7</f>
        <v>15341680</v>
      </c>
      <c r="N6" s="38" t="e">
        <f t="shared" si="0"/>
        <v>#REF!</v>
      </c>
      <c r="O6" s="114">
        <v>191273369.87</v>
      </c>
      <c r="P6" s="53" t="e">
        <f t="shared" si="1"/>
        <v>#REF!</v>
      </c>
    </row>
    <row r="7" spans="1:16" ht="15" customHeight="1">
      <c r="A7" s="35" t="s">
        <v>29</v>
      </c>
      <c r="B7" s="36" t="s">
        <v>30</v>
      </c>
      <c r="C7" s="36" t="s">
        <v>27</v>
      </c>
      <c r="D7" s="37" t="s">
        <v>28</v>
      </c>
      <c r="E7" s="38">
        <f>莘庄!J8</f>
        <v>5757151</v>
      </c>
      <c r="F7" s="38">
        <f>吴泾!J8</f>
        <v>3380023.8</v>
      </c>
      <c r="G7" s="38">
        <f>七宝!Y8</f>
        <v>35539142.75</v>
      </c>
      <c r="H7" s="38" t="e">
        <f>#REF!</f>
        <v>#REF!</v>
      </c>
      <c r="I7" s="38" t="e">
        <f>#REF!</f>
        <v>#REF!</v>
      </c>
      <c r="J7" s="38">
        <f>马桥!Q8</f>
        <v>13679316</v>
      </c>
      <c r="K7" s="38">
        <f>华漕!N8</f>
        <v>13582260</v>
      </c>
      <c r="L7" s="38">
        <f>颛桥!T8</f>
        <v>20453880</v>
      </c>
      <c r="M7" s="38">
        <f>虹桥!P8</f>
        <v>12434180</v>
      </c>
      <c r="N7" s="38" t="e">
        <f t="shared" si="0"/>
        <v>#REF!</v>
      </c>
      <c r="O7" s="114">
        <v>143210053.70999998</v>
      </c>
      <c r="P7" s="53" t="e">
        <f t="shared" si="1"/>
        <v>#REF!</v>
      </c>
    </row>
    <row r="8" spans="1:16" ht="15" customHeight="1">
      <c r="A8" s="35" t="s">
        <v>31</v>
      </c>
      <c r="B8" s="36" t="s">
        <v>32</v>
      </c>
      <c r="C8" s="36"/>
      <c r="D8" s="37" t="s">
        <v>21</v>
      </c>
      <c r="E8" s="38">
        <f>莘庄!J9</f>
        <v>1450548</v>
      </c>
      <c r="F8" s="38">
        <f>吴泾!J9</f>
        <v>898734</v>
      </c>
      <c r="G8" s="38">
        <f>七宝!Y9</f>
        <v>9677636</v>
      </c>
      <c r="H8" s="38" t="e">
        <f>#REF!</f>
        <v>#REF!</v>
      </c>
      <c r="I8" s="38" t="e">
        <f>#REF!</f>
        <v>#REF!</v>
      </c>
      <c r="J8" s="38">
        <f>马桥!Q9</f>
        <v>3820128</v>
      </c>
      <c r="K8" s="38">
        <f>华漕!N9</f>
        <v>3158994</v>
      </c>
      <c r="L8" s="38">
        <f>颛桥!T9</f>
        <v>5574600</v>
      </c>
      <c r="M8" s="38">
        <f>虹桥!P9</f>
        <v>3540756</v>
      </c>
      <c r="N8" s="38" t="e">
        <f t="shared" si="0"/>
        <v>#REF!</v>
      </c>
      <c r="O8" s="110">
        <v>37965028.340000004</v>
      </c>
      <c r="P8" s="53" t="e">
        <f t="shared" si="1"/>
        <v>#REF!</v>
      </c>
    </row>
    <row r="9" spans="1:16" ht="15" customHeight="1">
      <c r="A9" s="35" t="s">
        <v>33</v>
      </c>
      <c r="B9" s="36" t="s">
        <v>34</v>
      </c>
      <c r="C9" s="36" t="s">
        <v>27</v>
      </c>
      <c r="D9" s="37" t="s">
        <v>28</v>
      </c>
      <c r="E9" s="38">
        <f>莘庄!J10</f>
        <v>30228</v>
      </c>
      <c r="F9" s="38">
        <f>吴泾!J10</f>
        <v>16974</v>
      </c>
      <c r="G9" s="38">
        <f>七宝!Y10</f>
        <v>120836</v>
      </c>
      <c r="H9" s="38" t="e">
        <f>#REF!</f>
        <v>#REF!</v>
      </c>
      <c r="I9" s="38" t="e">
        <f>#REF!</f>
        <v>#REF!</v>
      </c>
      <c r="J9" s="38">
        <f>马桥!Q10</f>
        <v>50208</v>
      </c>
      <c r="K9" s="38">
        <f>华漕!N10</f>
        <v>59634</v>
      </c>
      <c r="L9" s="38">
        <f>颛桥!T10</f>
        <v>67560</v>
      </c>
      <c r="M9" s="38">
        <f>虹桥!P10</f>
        <v>578676</v>
      </c>
      <c r="N9" s="38" t="e">
        <f t="shared" si="0"/>
        <v>#REF!</v>
      </c>
      <c r="O9" s="110">
        <v>639058.34</v>
      </c>
      <c r="P9" s="53" t="e">
        <f t="shared" si="1"/>
        <v>#REF!</v>
      </c>
    </row>
    <row r="10" spans="1:16" ht="15" customHeight="1">
      <c r="A10" s="35" t="s">
        <v>35</v>
      </c>
      <c r="B10" s="36" t="s">
        <v>36</v>
      </c>
      <c r="C10" s="36"/>
      <c r="D10" s="37" t="s">
        <v>21</v>
      </c>
      <c r="E10" s="38">
        <f>莘庄!J11</f>
        <v>1420320</v>
      </c>
      <c r="F10" s="38">
        <f>吴泾!J11</f>
        <v>881760</v>
      </c>
      <c r="G10" s="38">
        <f>七宝!Y11</f>
        <v>9556800</v>
      </c>
      <c r="H10" s="38" t="e">
        <f>#REF!</f>
        <v>#REF!</v>
      </c>
      <c r="I10" s="38" t="e">
        <f>#REF!</f>
        <v>#REF!</v>
      </c>
      <c r="J10" s="38">
        <f>马桥!Q11</f>
        <v>3769920</v>
      </c>
      <c r="K10" s="38">
        <f>华漕!N11</f>
        <v>3099360</v>
      </c>
      <c r="L10" s="38">
        <f>颛桥!T11</f>
        <v>5507040</v>
      </c>
      <c r="M10" s="38">
        <f>虹桥!P11</f>
        <v>2962080</v>
      </c>
      <c r="N10" s="38" t="e">
        <f t="shared" si="0"/>
        <v>#REF!</v>
      </c>
      <c r="O10" s="110">
        <v>37325970</v>
      </c>
      <c r="P10" s="53" t="e">
        <f t="shared" si="1"/>
        <v>#REF!</v>
      </c>
    </row>
    <row r="11" spans="1:16" s="2" customFormat="1" ht="15" customHeight="1">
      <c r="A11" s="35" t="s">
        <v>37</v>
      </c>
      <c r="B11" s="42" t="s">
        <v>195</v>
      </c>
      <c r="C11" s="42" t="s">
        <v>27</v>
      </c>
      <c r="D11" s="39" t="s">
        <v>21</v>
      </c>
      <c r="E11" s="38">
        <f>莘庄!J12</f>
        <v>1420320</v>
      </c>
      <c r="F11" s="38">
        <f>吴泾!J12</f>
        <v>881760</v>
      </c>
      <c r="G11" s="38">
        <f>七宝!Y12</f>
        <v>9556800</v>
      </c>
      <c r="H11" s="38" t="e">
        <f>#REF!</f>
        <v>#REF!</v>
      </c>
      <c r="I11" s="38" t="e">
        <f>#REF!</f>
        <v>#REF!</v>
      </c>
      <c r="J11" s="38">
        <f>马桥!Q12</f>
        <v>3769920</v>
      </c>
      <c r="K11" s="38">
        <f>华漕!N12</f>
        <v>3099360</v>
      </c>
      <c r="L11" s="38">
        <f>颛桥!T12</f>
        <v>5507040</v>
      </c>
      <c r="M11" s="38">
        <f>虹桥!P12</f>
        <v>2962080</v>
      </c>
      <c r="N11" s="38" t="e">
        <f t="shared" si="0"/>
        <v>#REF!</v>
      </c>
      <c r="O11" s="110">
        <v>37325970</v>
      </c>
      <c r="P11" s="53" t="e">
        <f t="shared" si="1"/>
        <v>#REF!</v>
      </c>
    </row>
    <row r="12" spans="1:16" ht="15" customHeight="1">
      <c r="A12" s="35" t="s">
        <v>39</v>
      </c>
      <c r="B12" s="36" t="s">
        <v>40</v>
      </c>
      <c r="C12" s="36"/>
      <c r="D12" s="37" t="s">
        <v>41</v>
      </c>
      <c r="E12" s="38">
        <f>莘庄!J13</f>
        <v>627560.54</v>
      </c>
      <c r="F12" s="38">
        <f>吴泾!J13</f>
        <v>378374.28</v>
      </c>
      <c r="G12" s="38">
        <f>七宝!Y13</f>
        <v>4397373.42</v>
      </c>
      <c r="H12" s="38" t="e">
        <f>#REF!</f>
        <v>#REF!</v>
      </c>
      <c r="I12" s="38" t="e">
        <f>#REF!</f>
        <v>#REF!</v>
      </c>
      <c r="J12" s="38">
        <f>马桥!Q13</f>
        <v>1718903.98</v>
      </c>
      <c r="K12" s="38">
        <f>华漕!N13</f>
        <v>1421725.7199999997</v>
      </c>
      <c r="L12" s="38">
        <f>颛桥!T13</f>
        <v>2555618.3200000003</v>
      </c>
      <c r="M12" s="38">
        <f>虹桥!P13</f>
        <v>1365804</v>
      </c>
      <c r="N12" s="38" t="e">
        <f t="shared" si="0"/>
        <v>#REF!</v>
      </c>
      <c r="O12" s="110">
        <v>12868042.990000002</v>
      </c>
      <c r="P12" s="53" t="e">
        <f t="shared" si="1"/>
        <v>#REF!</v>
      </c>
    </row>
    <row r="13" spans="1:16" s="2" customFormat="1" ht="15" customHeight="1">
      <c r="A13" s="35" t="s">
        <v>42</v>
      </c>
      <c r="B13" s="42" t="s">
        <v>275</v>
      </c>
      <c r="C13" s="42" t="s">
        <v>27</v>
      </c>
      <c r="D13" s="39" t="s">
        <v>43</v>
      </c>
      <c r="E13" s="38">
        <f>莘庄!J14</f>
        <v>313780.27</v>
      </c>
      <c r="F13" s="38">
        <f>吴泾!J14</f>
        <v>189187.14</v>
      </c>
      <c r="G13" s="38">
        <f>七宝!Y14</f>
        <v>2198686.71</v>
      </c>
      <c r="H13" s="38" t="e">
        <f>#REF!</f>
        <v>#REF!</v>
      </c>
      <c r="I13" s="38" t="e">
        <f>#REF!</f>
        <v>#REF!</v>
      </c>
      <c r="J13" s="38">
        <f>马桥!Q14</f>
        <v>859451.99</v>
      </c>
      <c r="K13" s="38">
        <f>华漕!N14</f>
        <v>710862.85999999987</v>
      </c>
      <c r="L13" s="38">
        <f>颛桥!T14</f>
        <v>1277809.1600000001</v>
      </c>
      <c r="M13" s="38">
        <f>虹桥!P14</f>
        <v>682902</v>
      </c>
      <c r="N13" s="38" t="e">
        <f t="shared" si="0"/>
        <v>#REF!</v>
      </c>
      <c r="O13" s="110">
        <v>4297277.2899999991</v>
      </c>
      <c r="P13" s="53" t="e">
        <f t="shared" si="1"/>
        <v>#REF!</v>
      </c>
    </row>
    <row r="14" spans="1:16" s="2" customFormat="1" ht="15" customHeight="1">
      <c r="A14" s="35" t="s">
        <v>44</v>
      </c>
      <c r="B14" s="42" t="s">
        <v>196</v>
      </c>
      <c r="C14" s="42" t="s">
        <v>27</v>
      </c>
      <c r="D14" s="39" t="s">
        <v>43</v>
      </c>
      <c r="E14" s="38">
        <f>莘庄!J15</f>
        <v>313780.27</v>
      </c>
      <c r="F14" s="38">
        <f>吴泾!J15</f>
        <v>189187.14</v>
      </c>
      <c r="G14" s="38">
        <f>七宝!Y15</f>
        <v>2198686.71</v>
      </c>
      <c r="H14" s="38" t="e">
        <f>#REF!</f>
        <v>#REF!</v>
      </c>
      <c r="I14" s="38" t="e">
        <f>#REF!</f>
        <v>#REF!</v>
      </c>
      <c r="J14" s="38">
        <f>马桥!Q15</f>
        <v>859451.99</v>
      </c>
      <c r="K14" s="38">
        <f>华漕!N15</f>
        <v>710862.85999999987</v>
      </c>
      <c r="L14" s="38">
        <f>颛桥!T15</f>
        <v>1277809.1600000001</v>
      </c>
      <c r="M14" s="38">
        <f>虹桥!P15</f>
        <v>682902</v>
      </c>
      <c r="N14" s="38" t="e">
        <f t="shared" si="0"/>
        <v>#REF!</v>
      </c>
      <c r="O14" s="110">
        <v>8570765.6999999993</v>
      </c>
      <c r="P14" s="53" t="e">
        <f t="shared" si="1"/>
        <v>#REF!</v>
      </c>
    </row>
    <row r="15" spans="1:16" ht="15" customHeight="1">
      <c r="A15" s="35" t="s">
        <v>46</v>
      </c>
      <c r="B15" s="36" t="s">
        <v>47</v>
      </c>
      <c r="C15" s="36"/>
      <c r="D15" s="37" t="s">
        <v>21</v>
      </c>
      <c r="E15" s="38">
        <f>莘庄!J16</f>
        <v>51857498</v>
      </c>
      <c r="F15" s="38">
        <f>吴泾!J16</f>
        <v>31068766</v>
      </c>
      <c r="G15" s="38">
        <f>七宝!Y16</f>
        <v>362421650</v>
      </c>
      <c r="H15" s="38" t="e">
        <f>#REF!</f>
        <v>#REF!</v>
      </c>
      <c r="I15" s="38" t="e">
        <f>#REF!</f>
        <v>#REF!</v>
      </c>
      <c r="J15" s="38">
        <f>马桥!Q16</f>
        <v>142518310</v>
      </c>
      <c r="K15" s="38">
        <f>华漕!N16</f>
        <v>118411442</v>
      </c>
      <c r="L15" s="38">
        <f>颛桥!T16</f>
        <v>209034226</v>
      </c>
      <c r="M15" s="38">
        <f>虹桥!P16</f>
        <v>110927884</v>
      </c>
      <c r="N15" s="38" t="e">
        <f t="shared" si="0"/>
        <v>#REF!</v>
      </c>
      <c r="O15" s="110">
        <v>1448775139.7</v>
      </c>
      <c r="P15" s="53" t="e">
        <f t="shared" si="1"/>
        <v>#REF!</v>
      </c>
    </row>
    <row r="16" spans="1:16" ht="15" customHeight="1">
      <c r="A16" s="35" t="s">
        <v>48</v>
      </c>
      <c r="B16" s="43" t="s">
        <v>49</v>
      </c>
      <c r="C16" s="43" t="s">
        <v>27</v>
      </c>
      <c r="D16" s="44" t="s">
        <v>197</v>
      </c>
      <c r="E16" s="38">
        <f>莘庄!J17</f>
        <v>47740744</v>
      </c>
      <c r="F16" s="38">
        <f>吴泾!J17</f>
        <v>28607416</v>
      </c>
      <c r="G16" s="38">
        <f>七宝!Y17</f>
        <v>331698686</v>
      </c>
      <c r="H16" s="38" t="e">
        <f>#REF!</f>
        <v>#REF!</v>
      </c>
      <c r="I16" s="38" t="e">
        <f>#REF!</f>
        <v>#REF!</v>
      </c>
      <c r="J16" s="38">
        <f>马桥!Q17</f>
        <v>129913874</v>
      </c>
      <c r="K16" s="38">
        <f>华漕!N17</f>
        <v>108207942</v>
      </c>
      <c r="L16" s="38">
        <f>颛桥!T17</f>
        <v>189783637</v>
      </c>
      <c r="M16" s="38">
        <f>虹桥!P17</f>
        <v>101029735</v>
      </c>
      <c r="N16" s="38" t="e">
        <f t="shared" si="0"/>
        <v>#REF!</v>
      </c>
      <c r="O16" s="111">
        <v>1303019139</v>
      </c>
      <c r="P16" s="53" t="e">
        <f t="shared" si="1"/>
        <v>#REF!</v>
      </c>
    </row>
    <row r="17" spans="1:16" ht="15" customHeight="1">
      <c r="A17" s="35" t="s">
        <v>51</v>
      </c>
      <c r="B17" s="43" t="s">
        <v>52</v>
      </c>
      <c r="C17" s="43" t="s">
        <v>27</v>
      </c>
      <c r="D17" s="44" t="s">
        <v>53</v>
      </c>
      <c r="E17" s="38">
        <f>莘庄!J18</f>
        <v>1272754</v>
      </c>
      <c r="F17" s="38">
        <f>吴泾!J18</f>
        <v>809350</v>
      </c>
      <c r="G17" s="38">
        <f>七宝!Y18</f>
        <v>5842964</v>
      </c>
      <c r="H17" s="38" t="e">
        <f>#REF!</f>
        <v>#REF!</v>
      </c>
      <c r="I17" s="38" t="e">
        <f>#REF!</f>
        <v>#REF!</v>
      </c>
      <c r="J17" s="38">
        <f>马桥!Q18</f>
        <v>3290436</v>
      </c>
      <c r="K17" s="38">
        <f>华漕!N18</f>
        <v>2601500</v>
      </c>
      <c r="L17" s="38">
        <f>颛桥!T18</f>
        <v>4912589</v>
      </c>
      <c r="M17" s="38">
        <f>虹桥!P18</f>
        <v>2762149</v>
      </c>
      <c r="N17" s="38" t="e">
        <f t="shared" si="0"/>
        <v>#REF!</v>
      </c>
      <c r="O17" s="111">
        <v>31421278</v>
      </c>
      <c r="P17" s="53" t="e">
        <f t="shared" si="1"/>
        <v>#REF!</v>
      </c>
    </row>
    <row r="18" spans="1:16" ht="15" customHeight="1">
      <c r="A18" s="35" t="s">
        <v>54</v>
      </c>
      <c r="B18" s="43" t="s">
        <v>198</v>
      </c>
      <c r="C18" s="43" t="s">
        <v>27</v>
      </c>
      <c r="D18" s="37" t="s">
        <v>21</v>
      </c>
      <c r="E18" s="38">
        <f>莘庄!J19</f>
        <v>1614000</v>
      </c>
      <c r="F18" s="38">
        <f>吴泾!J19</f>
        <v>1002000</v>
      </c>
      <c r="G18" s="38">
        <f>七宝!Y19</f>
        <v>10860000</v>
      </c>
      <c r="H18" s="38" t="e">
        <f>#REF!</f>
        <v>#REF!</v>
      </c>
      <c r="I18" s="38" t="e">
        <f>#REF!</f>
        <v>#REF!</v>
      </c>
      <c r="J18" s="38">
        <f>马桥!Q19</f>
        <v>4284000</v>
      </c>
      <c r="K18" s="38">
        <f>华漕!N19</f>
        <v>3522000</v>
      </c>
      <c r="L18" s="38">
        <f>颛桥!T19</f>
        <v>6258000</v>
      </c>
      <c r="M18" s="38">
        <f>虹桥!P19</f>
        <v>3366000</v>
      </c>
      <c r="N18" s="38" t="e">
        <f t="shared" si="0"/>
        <v>#REF!</v>
      </c>
      <c r="O18" s="111">
        <v>42996778.5</v>
      </c>
      <c r="P18" s="53" t="e">
        <f t="shared" si="1"/>
        <v>#REF!</v>
      </c>
    </row>
    <row r="19" spans="1:16" ht="15" customHeight="1">
      <c r="A19" s="35" t="s">
        <v>56</v>
      </c>
      <c r="B19" s="43" t="s">
        <v>199</v>
      </c>
      <c r="C19" s="43" t="s">
        <v>27</v>
      </c>
      <c r="D19" s="37" t="s">
        <v>28</v>
      </c>
      <c r="E19" s="38">
        <f>莘庄!J20</f>
        <v>1230000</v>
      </c>
      <c r="F19" s="38">
        <f>吴泾!J20</f>
        <v>650000</v>
      </c>
      <c r="G19" s="38">
        <f>七宝!Y20</f>
        <v>14020000</v>
      </c>
      <c r="H19" s="38" t="e">
        <f>#REF!</f>
        <v>#REF!</v>
      </c>
      <c r="I19" s="38" t="e">
        <f>#REF!</f>
        <v>#REF!</v>
      </c>
      <c r="J19" s="38">
        <f>马桥!Q20</f>
        <v>5030000</v>
      </c>
      <c r="K19" s="38">
        <f>华漕!N20</f>
        <v>4080000</v>
      </c>
      <c r="L19" s="38">
        <f>颛桥!T20</f>
        <v>8080000</v>
      </c>
      <c r="M19" s="38">
        <f>虹桥!P20</f>
        <v>3770000</v>
      </c>
      <c r="N19" s="38" t="e">
        <f t="shared" si="0"/>
        <v>#REF!</v>
      </c>
      <c r="O19" s="111">
        <v>71337944.200000003</v>
      </c>
      <c r="P19" s="53" t="e">
        <f t="shared" si="1"/>
        <v>#REF!</v>
      </c>
    </row>
    <row r="20" spans="1:16" ht="15" customHeight="1">
      <c r="A20" s="35" t="s">
        <v>58</v>
      </c>
      <c r="B20" s="36" t="s">
        <v>59</v>
      </c>
      <c r="C20" s="36"/>
      <c r="D20" s="44" t="s">
        <v>21</v>
      </c>
      <c r="E20" s="38">
        <f>莘庄!J21</f>
        <v>8158287.4199999999</v>
      </c>
      <c r="F20" s="38">
        <f>吴泾!J21</f>
        <v>4918865.71</v>
      </c>
      <c r="G20" s="38">
        <f>七宝!Y21</f>
        <v>57165854.609999999</v>
      </c>
      <c r="H20" s="38" t="e">
        <f>#REF!</f>
        <v>#REF!</v>
      </c>
      <c r="I20" s="38" t="e">
        <f>#REF!</f>
        <v>#REF!</v>
      </c>
      <c r="J20" s="38">
        <f>马桥!Q21</f>
        <v>22345752</v>
      </c>
      <c r="K20" s="38">
        <f>华漕!N21</f>
        <v>18482434.32</v>
      </c>
      <c r="L20" s="38">
        <f>颛桥!T21</f>
        <v>33223037.710000005</v>
      </c>
      <c r="M20" s="38">
        <f>虹桥!P21</f>
        <v>17755452</v>
      </c>
      <c r="N20" s="38" t="e">
        <f t="shared" si="0"/>
        <v>#REF!</v>
      </c>
      <c r="O20" s="111">
        <v>179020581.94999999</v>
      </c>
      <c r="P20" s="53" t="e">
        <f t="shared" si="1"/>
        <v>#REF!</v>
      </c>
    </row>
    <row r="21" spans="1:16" ht="15" customHeight="1">
      <c r="A21" s="35" t="s">
        <v>60</v>
      </c>
      <c r="B21" s="36" t="s">
        <v>276</v>
      </c>
      <c r="C21" s="36" t="s">
        <v>61</v>
      </c>
      <c r="D21" s="44" t="s">
        <v>21</v>
      </c>
      <c r="E21" s="38">
        <f>莘庄!J22</f>
        <v>5648045.1399999997</v>
      </c>
      <c r="F21" s="38">
        <f>吴泾!J22</f>
        <v>3405368.5700000003</v>
      </c>
      <c r="G21" s="38">
        <f>七宝!Y22</f>
        <v>39576360.869999997</v>
      </c>
      <c r="H21" s="38" t="e">
        <f>#REF!</f>
        <v>#REF!</v>
      </c>
      <c r="I21" s="38" t="e">
        <f>#REF!</f>
        <v>#REF!</v>
      </c>
      <c r="J21" s="38">
        <f>马桥!Q22</f>
        <v>15470136</v>
      </c>
      <c r="K21" s="38">
        <f>华漕!N22</f>
        <v>12795531.440000001</v>
      </c>
      <c r="L21" s="38">
        <f>颛桥!T22</f>
        <v>23000564.569999997</v>
      </c>
      <c r="M21" s="38">
        <f>虹桥!P22</f>
        <v>12292236</v>
      </c>
      <c r="N21" s="38" t="e">
        <f t="shared" si="0"/>
        <v>#REF!</v>
      </c>
      <c r="O21" s="111">
        <v>159858040.09999999</v>
      </c>
      <c r="P21" s="53" t="e">
        <f t="shared" si="1"/>
        <v>#REF!</v>
      </c>
    </row>
    <row r="22" spans="1:16" ht="15" customHeight="1">
      <c r="A22" s="35" t="s">
        <v>62</v>
      </c>
      <c r="B22" s="36" t="s">
        <v>200</v>
      </c>
      <c r="C22" s="36" t="s">
        <v>61</v>
      </c>
      <c r="D22" s="44" t="s">
        <v>43</v>
      </c>
      <c r="E22" s="38">
        <f>莘庄!J23</f>
        <v>2510242.2799999998</v>
      </c>
      <c r="F22" s="38">
        <f>吴泾!J23</f>
        <v>1513497.1400000001</v>
      </c>
      <c r="G22" s="38">
        <f>七宝!Y23</f>
        <v>17589493.740000006</v>
      </c>
      <c r="H22" s="38" t="e">
        <f>#REF!</f>
        <v>#REF!</v>
      </c>
      <c r="I22" s="38" t="e">
        <f>#REF!</f>
        <v>#REF!</v>
      </c>
      <c r="J22" s="38">
        <f>马桥!Q23</f>
        <v>6875616</v>
      </c>
      <c r="K22" s="38">
        <f>华漕!N23</f>
        <v>5686902.8799999999</v>
      </c>
      <c r="L22" s="38">
        <f>颛桥!T23</f>
        <v>10222473.140000001</v>
      </c>
      <c r="M22" s="38">
        <f>虹桥!P23</f>
        <v>5463216</v>
      </c>
      <c r="N22" s="38" t="e">
        <f t="shared" si="0"/>
        <v>#REF!</v>
      </c>
      <c r="O22" s="111">
        <v>19162541.850000001</v>
      </c>
      <c r="P22" s="53" t="e">
        <f t="shared" si="1"/>
        <v>#REF!</v>
      </c>
    </row>
    <row r="23" spans="1:16" ht="15" customHeight="1">
      <c r="A23" s="35" t="s">
        <v>64</v>
      </c>
      <c r="B23" s="36" t="s">
        <v>277</v>
      </c>
      <c r="C23" s="36" t="s">
        <v>61</v>
      </c>
      <c r="D23" s="44" t="s">
        <v>43</v>
      </c>
      <c r="E23" s="38">
        <f>莘庄!J24</f>
        <v>1255121.1399999999</v>
      </c>
      <c r="F23" s="38">
        <f>吴泾!J24</f>
        <v>756748.57000000007</v>
      </c>
      <c r="G23" s="38">
        <f>七宝!Y24</f>
        <v>8794746.8700000029</v>
      </c>
      <c r="H23" s="38" t="e">
        <f>#REF!</f>
        <v>#REF!</v>
      </c>
      <c r="I23" s="38" t="e">
        <f>#REF!</f>
        <v>#REF!</v>
      </c>
      <c r="J23" s="38">
        <f>马桥!Q24</f>
        <v>3437808</v>
      </c>
      <c r="K23" s="38">
        <f>华漕!N24</f>
        <v>2843451.44</v>
      </c>
      <c r="L23" s="38">
        <f>颛桥!T24</f>
        <v>5111236.57</v>
      </c>
      <c r="M23" s="38">
        <f>虹桥!P24</f>
        <v>2731608</v>
      </c>
      <c r="N23" s="38" t="e">
        <f t="shared" si="0"/>
        <v>#REF!</v>
      </c>
      <c r="O23" s="111">
        <v>3353226.1500000004</v>
      </c>
      <c r="P23" s="53" t="e">
        <f t="shared" si="1"/>
        <v>#REF!</v>
      </c>
    </row>
    <row r="24" spans="1:16" ht="15" customHeight="1">
      <c r="A24" s="35" t="s">
        <v>65</v>
      </c>
      <c r="B24" s="36" t="s">
        <v>278</v>
      </c>
      <c r="C24" s="36" t="s">
        <v>61</v>
      </c>
      <c r="D24" s="44" t="s">
        <v>43</v>
      </c>
      <c r="E24" s="38">
        <f>莘庄!J25</f>
        <v>1255121.1399999999</v>
      </c>
      <c r="F24" s="38">
        <f>吴泾!J25</f>
        <v>756748.57000000007</v>
      </c>
      <c r="G24" s="38">
        <f>七宝!Y25</f>
        <v>8794746.8700000029</v>
      </c>
      <c r="H24" s="38" t="e">
        <f>#REF!</f>
        <v>#REF!</v>
      </c>
      <c r="I24" s="38" t="e">
        <f>#REF!</f>
        <v>#REF!</v>
      </c>
      <c r="J24" s="38">
        <f>马桥!Q25</f>
        <v>3437808</v>
      </c>
      <c r="K24" s="38">
        <f>华漕!N25</f>
        <v>2843451.44</v>
      </c>
      <c r="L24" s="38">
        <f>颛桥!T25</f>
        <v>5111236.57</v>
      </c>
      <c r="M24" s="38">
        <f>虹桥!P25</f>
        <v>2731608</v>
      </c>
      <c r="N24" s="38" t="e">
        <f t="shared" si="0"/>
        <v>#REF!</v>
      </c>
      <c r="O24" s="111">
        <v>15809315.699999999</v>
      </c>
      <c r="P24" s="53" t="e">
        <f t="shared" si="1"/>
        <v>#REF!</v>
      </c>
    </row>
    <row r="25" spans="1:16" ht="15" customHeight="1">
      <c r="A25" s="35" t="s">
        <v>66</v>
      </c>
      <c r="B25" s="36" t="s">
        <v>67</v>
      </c>
      <c r="C25" s="36"/>
      <c r="D25" s="37" t="s">
        <v>21</v>
      </c>
      <c r="E25" s="38">
        <f>莘庄!J26</f>
        <v>10040969.140000001</v>
      </c>
      <c r="F25" s="38">
        <f>吴泾!J26</f>
        <v>6053988.5699999994</v>
      </c>
      <c r="G25" s="38">
        <f>七宝!Y26</f>
        <v>70357974.86999999</v>
      </c>
      <c r="H25" s="38" t="e">
        <f>#REF!</f>
        <v>#REF!</v>
      </c>
      <c r="I25" s="38" t="e">
        <f>#REF!</f>
        <v>#REF!</v>
      </c>
      <c r="J25" s="38">
        <f>马桥!Q26</f>
        <v>27502464</v>
      </c>
      <c r="K25" s="38">
        <f>华漕!N26</f>
        <v>22747611.439999998</v>
      </c>
      <c r="L25" s="38">
        <f>颛桥!T26</f>
        <v>40889892.57</v>
      </c>
      <c r="M25" s="38">
        <f>虹桥!P26</f>
        <v>21852864</v>
      </c>
      <c r="N25" s="38" t="e">
        <f t="shared" si="0"/>
        <v>#REF!</v>
      </c>
      <c r="O25" s="110">
        <v>273252719.83999997</v>
      </c>
      <c r="P25" s="53" t="e">
        <f t="shared" si="1"/>
        <v>#REF!</v>
      </c>
    </row>
    <row r="26" spans="1:16" s="2" customFormat="1" ht="15" customHeight="1">
      <c r="A26" s="35" t="s">
        <v>68</v>
      </c>
      <c r="B26" s="42" t="s">
        <v>201</v>
      </c>
      <c r="C26" s="42" t="s">
        <v>70</v>
      </c>
      <c r="D26" s="39" t="s">
        <v>43</v>
      </c>
      <c r="E26" s="38">
        <f>莘庄!J27</f>
        <v>10040969.140000001</v>
      </c>
      <c r="F26" s="38">
        <f>吴泾!J27</f>
        <v>6053988.5699999994</v>
      </c>
      <c r="G26" s="38">
        <f>七宝!Y27</f>
        <v>70357974.86999999</v>
      </c>
      <c r="H26" s="38" t="e">
        <f>#REF!</f>
        <v>#REF!</v>
      </c>
      <c r="I26" s="38" t="e">
        <f>#REF!</f>
        <v>#REF!</v>
      </c>
      <c r="J26" s="38">
        <f>马桥!Q27</f>
        <v>27502464</v>
      </c>
      <c r="K26" s="38">
        <f>华漕!N27</f>
        <v>22747611.439999998</v>
      </c>
      <c r="L26" s="38">
        <f>颛桥!T27</f>
        <v>40889892.57</v>
      </c>
      <c r="M26" s="38">
        <f>虹桥!P27</f>
        <v>21852864</v>
      </c>
      <c r="N26" s="38" t="e">
        <f t="shared" si="0"/>
        <v>#REF!</v>
      </c>
      <c r="O26" s="110">
        <v>273252719.83999997</v>
      </c>
      <c r="P26" s="53" t="e">
        <f t="shared" si="1"/>
        <v>#REF!</v>
      </c>
    </row>
    <row r="27" spans="1:16" ht="15" customHeight="1">
      <c r="A27" s="35" t="s">
        <v>71</v>
      </c>
      <c r="B27" s="36" t="s">
        <v>72</v>
      </c>
      <c r="C27" s="36"/>
      <c r="D27" s="37" t="s">
        <v>21</v>
      </c>
      <c r="E27" s="38">
        <f>莘庄!J28</f>
        <v>5020484.59</v>
      </c>
      <c r="F27" s="38">
        <f>吴泾!J28</f>
        <v>3026994.29</v>
      </c>
      <c r="G27" s="38">
        <f>七宝!Y28</f>
        <v>35178987.419999994</v>
      </c>
      <c r="H27" s="38" t="e">
        <f>#REF!</f>
        <v>#REF!</v>
      </c>
      <c r="I27" s="38" t="e">
        <f>#REF!</f>
        <v>#REF!</v>
      </c>
      <c r="J27" s="38">
        <f>马桥!Q28</f>
        <v>13751232.010000002</v>
      </c>
      <c r="K27" s="38">
        <f>华漕!N28</f>
        <v>11373805.700000001</v>
      </c>
      <c r="L27" s="38">
        <f>颛桥!T28</f>
        <v>20444946.270000003</v>
      </c>
      <c r="M27" s="38">
        <f>虹桥!P28</f>
        <v>10926432</v>
      </c>
      <c r="N27" s="38" t="e">
        <f t="shared" si="0"/>
        <v>#REF!</v>
      </c>
      <c r="O27" s="110">
        <v>137425610.02999997</v>
      </c>
      <c r="P27" s="53" t="e">
        <f t="shared" si="1"/>
        <v>#REF!</v>
      </c>
    </row>
    <row r="28" spans="1:16" s="2" customFormat="1" ht="15" customHeight="1">
      <c r="A28" s="35" t="s">
        <v>73</v>
      </c>
      <c r="B28" s="42" t="s">
        <v>74</v>
      </c>
      <c r="C28" s="42" t="s">
        <v>75</v>
      </c>
      <c r="D28" s="39" t="s">
        <v>43</v>
      </c>
      <c r="E28" s="38">
        <f>莘庄!J29</f>
        <v>5020484.59</v>
      </c>
      <c r="F28" s="38">
        <f>吴泾!J29</f>
        <v>3026994.29</v>
      </c>
      <c r="G28" s="38">
        <f>七宝!Y29</f>
        <v>35178987.419999994</v>
      </c>
      <c r="H28" s="38" t="e">
        <f>#REF!</f>
        <v>#REF!</v>
      </c>
      <c r="I28" s="38" t="e">
        <f>#REF!</f>
        <v>#REF!</v>
      </c>
      <c r="J28" s="38">
        <f>马桥!Q29</f>
        <v>13751232.010000002</v>
      </c>
      <c r="K28" s="38">
        <f>华漕!N29</f>
        <v>11373805.700000001</v>
      </c>
      <c r="L28" s="38">
        <f>颛桥!T29</f>
        <v>20444946.270000003</v>
      </c>
      <c r="M28" s="38">
        <f>虹桥!P29</f>
        <v>10926432</v>
      </c>
      <c r="N28" s="38" t="e">
        <f t="shared" si="0"/>
        <v>#REF!</v>
      </c>
      <c r="O28" s="110">
        <v>137425610.02999997</v>
      </c>
      <c r="P28" s="53" t="e">
        <f t="shared" si="1"/>
        <v>#REF!</v>
      </c>
    </row>
    <row r="29" spans="1:16" ht="15" customHeight="1">
      <c r="A29" s="35" t="s">
        <v>76</v>
      </c>
      <c r="B29" s="36" t="s">
        <v>202</v>
      </c>
      <c r="C29" s="36" t="s">
        <v>78</v>
      </c>
      <c r="D29" s="37" t="s">
        <v>28</v>
      </c>
      <c r="E29" s="38">
        <f>莘庄!J30</f>
        <v>4392924</v>
      </c>
      <c r="F29" s="38">
        <f>吴泾!J30</f>
        <v>2648620</v>
      </c>
      <c r="G29" s="38">
        <f>七宝!Y30</f>
        <v>30781614</v>
      </c>
      <c r="H29" s="38" t="e">
        <f>#REF!</f>
        <v>#REF!</v>
      </c>
      <c r="I29" s="38" t="e">
        <f>#REF!</f>
        <v>#REF!</v>
      </c>
      <c r="J29" s="38">
        <f>马桥!Q30</f>
        <v>12032328</v>
      </c>
      <c r="K29" s="38">
        <f>华漕!N30</f>
        <v>9952080</v>
      </c>
      <c r="L29" s="38">
        <f>颛桥!T30</f>
        <v>17889328</v>
      </c>
      <c r="M29" s="38">
        <f>虹桥!P30</f>
        <v>9560628</v>
      </c>
      <c r="N29" s="38" t="e">
        <f t="shared" si="0"/>
        <v>#REF!</v>
      </c>
      <c r="O29" s="111">
        <v>119892741.28</v>
      </c>
      <c r="P29" s="53" t="e">
        <f t="shared" si="1"/>
        <v>#REF!</v>
      </c>
    </row>
    <row r="30" spans="1:16" ht="15" customHeight="1">
      <c r="A30" s="35" t="s">
        <v>80</v>
      </c>
      <c r="B30" s="36" t="s">
        <v>203</v>
      </c>
      <c r="C30" s="43" t="s">
        <v>27</v>
      </c>
      <c r="D30" s="39" t="s">
        <v>204</v>
      </c>
      <c r="E30" s="38">
        <f>莘庄!J31</f>
        <v>0</v>
      </c>
      <c r="F30" s="38">
        <f>吴泾!J31</f>
        <v>0</v>
      </c>
      <c r="G30" s="38">
        <f>七宝!Y31</f>
        <v>0</v>
      </c>
      <c r="H30" s="38" t="e">
        <f>#REF!</f>
        <v>#REF!</v>
      </c>
      <c r="I30" s="38" t="e">
        <f>#REF!</f>
        <v>#REF!</v>
      </c>
      <c r="J30" s="38">
        <f>马桥!Q31</f>
        <v>0</v>
      </c>
      <c r="K30" s="38">
        <f>华漕!N31</f>
        <v>0</v>
      </c>
      <c r="L30" s="38">
        <f>颛桥!T31</f>
        <v>0</v>
      </c>
      <c r="M30" s="38">
        <f>虹桥!P31</f>
        <v>0</v>
      </c>
      <c r="N30" s="38" t="e">
        <f t="shared" si="0"/>
        <v>#REF!</v>
      </c>
      <c r="O30" s="111">
        <v>2534000</v>
      </c>
      <c r="P30" s="53" t="e">
        <f t="shared" si="1"/>
        <v>#REF!</v>
      </c>
    </row>
    <row r="31" spans="1:16" ht="15" customHeight="1">
      <c r="A31" s="35" t="s">
        <v>83</v>
      </c>
      <c r="B31" s="36" t="s">
        <v>84</v>
      </c>
      <c r="C31" s="36"/>
      <c r="D31" s="37" t="s">
        <v>21</v>
      </c>
      <c r="E31" s="38">
        <f>莘庄!J32</f>
        <v>2063800</v>
      </c>
      <c r="F31" s="38">
        <f>吴泾!J32</f>
        <v>1590815</v>
      </c>
      <c r="G31" s="38">
        <f>七宝!Y32</f>
        <v>10849089.199999999</v>
      </c>
      <c r="H31" s="38" t="e">
        <f>#REF!</f>
        <v>#REF!</v>
      </c>
      <c r="I31" s="38" t="e">
        <f>#REF!</f>
        <v>#REF!</v>
      </c>
      <c r="J31" s="38">
        <f>马桥!Q32</f>
        <v>4275345</v>
      </c>
      <c r="K31" s="38">
        <f>华漕!N32</f>
        <v>7512515</v>
      </c>
      <c r="L31" s="38">
        <f>颛桥!T32</f>
        <v>6566040</v>
      </c>
      <c r="M31" s="38">
        <f>虹桥!P32</f>
        <v>6731550</v>
      </c>
      <c r="N31" s="38" t="e">
        <f t="shared" si="0"/>
        <v>#REF!</v>
      </c>
      <c r="O31" s="110">
        <v>54545604.200000003</v>
      </c>
      <c r="P31" s="53" t="e">
        <f t="shared" si="1"/>
        <v>#REF!</v>
      </c>
    </row>
    <row r="32" spans="1:16" ht="15" customHeight="1">
      <c r="A32" s="35" t="s">
        <v>85</v>
      </c>
      <c r="B32" s="36" t="s">
        <v>205</v>
      </c>
      <c r="C32" s="36" t="s">
        <v>87</v>
      </c>
      <c r="D32" s="44" t="s">
        <v>206</v>
      </c>
      <c r="E32" s="38">
        <f>莘庄!J33</f>
        <v>2051920</v>
      </c>
      <c r="F32" s="38">
        <f>吴泾!J33</f>
        <v>1578905</v>
      </c>
      <c r="G32" s="38">
        <f>七宝!Y33</f>
        <v>10756329.199999999</v>
      </c>
      <c r="H32" s="38" t="e">
        <f>#REF!</f>
        <v>#REF!</v>
      </c>
      <c r="I32" s="38" t="e">
        <f>#REF!</f>
        <v>#REF!</v>
      </c>
      <c r="J32" s="38">
        <f>马桥!Q33</f>
        <v>4253505</v>
      </c>
      <c r="K32" s="38">
        <f>华漕!N33</f>
        <v>7490915</v>
      </c>
      <c r="L32" s="38">
        <f>颛桥!T33</f>
        <v>6525300</v>
      </c>
      <c r="M32" s="38">
        <f>虹桥!P33</f>
        <v>6704970</v>
      </c>
      <c r="N32" s="38" t="e">
        <f t="shared" si="0"/>
        <v>#REF!</v>
      </c>
      <c r="O32" s="111">
        <v>54229324.200000003</v>
      </c>
      <c r="P32" s="53" t="e">
        <f t="shared" si="1"/>
        <v>#REF!</v>
      </c>
    </row>
    <row r="33" spans="1:16" ht="15" customHeight="1">
      <c r="A33" s="35" t="s">
        <v>89</v>
      </c>
      <c r="B33" s="36" t="s">
        <v>207</v>
      </c>
      <c r="C33" s="36" t="s">
        <v>87</v>
      </c>
      <c r="D33" s="44" t="s">
        <v>206</v>
      </c>
      <c r="E33" s="38">
        <f>莘庄!J34</f>
        <v>2051920</v>
      </c>
      <c r="F33" s="38">
        <f>吴泾!J34</f>
        <v>1578905</v>
      </c>
      <c r="G33" s="38">
        <f>七宝!Y34</f>
        <v>10756329.199999999</v>
      </c>
      <c r="H33" s="38" t="e">
        <f>#REF!</f>
        <v>#REF!</v>
      </c>
      <c r="I33" s="38" t="e">
        <f>#REF!</f>
        <v>#REF!</v>
      </c>
      <c r="J33" s="38">
        <f>马桥!Q34</f>
        <v>4253505</v>
      </c>
      <c r="K33" s="38">
        <f>华漕!N34</f>
        <v>7490915</v>
      </c>
      <c r="L33" s="38">
        <f>颛桥!T34</f>
        <v>6525300</v>
      </c>
      <c r="M33" s="38">
        <f>虹桥!P34</f>
        <v>6704970</v>
      </c>
      <c r="N33" s="38" t="e">
        <f t="shared" si="0"/>
        <v>#REF!</v>
      </c>
      <c r="O33" s="110">
        <v>54229324.200000003</v>
      </c>
      <c r="P33" s="53" t="e">
        <f t="shared" si="1"/>
        <v>#REF!</v>
      </c>
    </row>
    <row r="34" spans="1:16" ht="15" customHeight="1">
      <c r="A34" s="35" t="s">
        <v>91</v>
      </c>
      <c r="B34" s="36" t="s">
        <v>92</v>
      </c>
      <c r="C34" s="36"/>
      <c r="D34" s="37" t="s">
        <v>21</v>
      </c>
      <c r="E34" s="38">
        <f>莘庄!J35</f>
        <v>11880</v>
      </c>
      <c r="F34" s="38">
        <f>吴泾!J35</f>
        <v>11910</v>
      </c>
      <c r="G34" s="38">
        <f>七宝!Y35</f>
        <v>92760</v>
      </c>
      <c r="H34" s="38" t="e">
        <f>#REF!</f>
        <v>#REF!</v>
      </c>
      <c r="I34" s="38" t="e">
        <f>#REF!</f>
        <v>#REF!</v>
      </c>
      <c r="J34" s="38">
        <f>马桥!Q35</f>
        <v>21840</v>
      </c>
      <c r="K34" s="38">
        <f>华漕!N35</f>
        <v>21600</v>
      </c>
      <c r="L34" s="38">
        <f>颛桥!T35</f>
        <v>40740</v>
      </c>
      <c r="M34" s="38">
        <f>虹桥!P35</f>
        <v>26580</v>
      </c>
      <c r="N34" s="38" t="e">
        <f t="shared" si="0"/>
        <v>#REF!</v>
      </c>
      <c r="O34" s="110">
        <v>316280</v>
      </c>
      <c r="P34" s="53" t="e">
        <f t="shared" si="1"/>
        <v>#REF!</v>
      </c>
    </row>
    <row r="35" spans="1:16" ht="15" customHeight="1">
      <c r="A35" s="35" t="s">
        <v>93</v>
      </c>
      <c r="B35" s="36" t="s">
        <v>94</v>
      </c>
      <c r="C35" s="36" t="s">
        <v>27</v>
      </c>
      <c r="D35" s="37" t="s">
        <v>28</v>
      </c>
      <c r="E35" s="38">
        <f>莘庄!J36</f>
        <v>11880</v>
      </c>
      <c r="F35" s="38">
        <f>吴泾!J36</f>
        <v>11910</v>
      </c>
      <c r="G35" s="38">
        <f>七宝!Y36</f>
        <v>92760</v>
      </c>
      <c r="H35" s="38" t="e">
        <f>#REF!</f>
        <v>#REF!</v>
      </c>
      <c r="I35" s="38" t="e">
        <f>#REF!</f>
        <v>#REF!</v>
      </c>
      <c r="J35" s="38">
        <f>马桥!Q36</f>
        <v>21840</v>
      </c>
      <c r="K35" s="38">
        <f>华漕!N36</f>
        <v>21600</v>
      </c>
      <c r="L35" s="38">
        <f>颛桥!T36</f>
        <v>40740</v>
      </c>
      <c r="M35" s="38">
        <f>虹桥!P36</f>
        <v>26580</v>
      </c>
      <c r="N35" s="38" t="e">
        <f t="shared" ref="N35:N66" si="2">SUM(E35:M35)</f>
        <v>#REF!</v>
      </c>
      <c r="O35" s="110">
        <v>316280</v>
      </c>
      <c r="P35" s="53" t="e">
        <f t="shared" si="1"/>
        <v>#REF!</v>
      </c>
    </row>
    <row r="36" spans="1:16" ht="15" customHeight="1">
      <c r="A36" s="35" t="s">
        <v>95</v>
      </c>
      <c r="B36" s="36" t="s">
        <v>98</v>
      </c>
      <c r="C36" s="36"/>
      <c r="D36" s="37" t="s">
        <v>21</v>
      </c>
      <c r="E36" s="38">
        <f>莘庄!J37</f>
        <v>15389007.789999999</v>
      </c>
      <c r="F36" s="38">
        <f>吴泾!J37</f>
        <v>10426172.770000001</v>
      </c>
      <c r="G36" s="38">
        <f>七宝!Y37</f>
        <v>113592734.67000002</v>
      </c>
      <c r="H36" s="38" t="e">
        <f>#REF!</f>
        <v>#REF!</v>
      </c>
      <c r="I36" s="38" t="e">
        <f>#REF!</f>
        <v>#REF!</v>
      </c>
      <c r="J36" s="38">
        <f>马桥!Q37</f>
        <v>45217956.400000006</v>
      </c>
      <c r="K36" s="38">
        <f>华漕!N37</f>
        <v>38455221.839999996</v>
      </c>
      <c r="L36" s="38">
        <f>颛桥!T37</f>
        <v>67734418.019999996</v>
      </c>
      <c r="M36" s="38">
        <f>虹桥!P37</f>
        <v>33506143.199999999</v>
      </c>
      <c r="N36" s="38" t="e">
        <f t="shared" si="2"/>
        <v>#REF!</v>
      </c>
      <c r="O36" s="110">
        <v>451536607.13999999</v>
      </c>
      <c r="P36" s="53" t="e">
        <f t="shared" si="1"/>
        <v>#REF!</v>
      </c>
    </row>
    <row r="37" spans="1:16" ht="15" customHeight="1">
      <c r="A37" s="35" t="s">
        <v>96</v>
      </c>
      <c r="B37" s="36" t="s">
        <v>100</v>
      </c>
      <c r="C37" s="36"/>
      <c r="D37" s="37" t="s">
        <v>101</v>
      </c>
      <c r="E37" s="38">
        <f>莘庄!J38</f>
        <v>11071560</v>
      </c>
      <c r="F37" s="38">
        <f>吴泾!J38</f>
        <v>7666290</v>
      </c>
      <c r="G37" s="38">
        <f>七宝!Y38</f>
        <v>87901620</v>
      </c>
      <c r="H37" s="38" t="e">
        <f>#REF!</f>
        <v>#REF!</v>
      </c>
      <c r="I37" s="38" t="e">
        <f>#REF!</f>
        <v>#REF!</v>
      </c>
      <c r="J37" s="38">
        <f>马桥!Q38</f>
        <v>34003670</v>
      </c>
      <c r="K37" s="38">
        <f>华漕!N38</f>
        <v>28546330</v>
      </c>
      <c r="L37" s="38">
        <f>颛桥!T38</f>
        <v>51093920</v>
      </c>
      <c r="M37" s="38">
        <f>虹桥!P38</f>
        <v>24096420</v>
      </c>
      <c r="N37" s="38" t="e">
        <f t="shared" si="2"/>
        <v>#REF!</v>
      </c>
      <c r="O37" s="110">
        <v>340003822.5</v>
      </c>
      <c r="P37" s="53" t="e">
        <f t="shared" si="1"/>
        <v>#REF!</v>
      </c>
    </row>
    <row r="38" spans="1:16" ht="15" customHeight="1">
      <c r="A38" s="35" t="s">
        <v>97</v>
      </c>
      <c r="B38" s="36" t="s">
        <v>208</v>
      </c>
      <c r="C38" s="36" t="s">
        <v>27</v>
      </c>
      <c r="D38" s="47" t="s">
        <v>209</v>
      </c>
      <c r="E38" s="38">
        <f>莘庄!J39</f>
        <v>493284</v>
      </c>
      <c r="F38" s="38">
        <f>吴泾!J39</f>
        <v>357169.5</v>
      </c>
      <c r="G38" s="38">
        <f>七宝!Y39</f>
        <v>4301130</v>
      </c>
      <c r="H38" s="38" t="e">
        <f>#REF!</f>
        <v>#REF!</v>
      </c>
      <c r="I38" s="38" t="e">
        <f>#REF!</f>
        <v>#REF!</v>
      </c>
      <c r="J38" s="38">
        <f>马桥!Q39</f>
        <v>1658713.5</v>
      </c>
      <c r="K38" s="38">
        <f>华漕!N39</f>
        <v>1370831.5</v>
      </c>
      <c r="L38" s="38">
        <f>颛桥!T39</f>
        <v>2456741</v>
      </c>
      <c r="M38" s="38">
        <f>虹桥!P39</f>
        <v>1097782</v>
      </c>
      <c r="N38" s="38" t="e">
        <f t="shared" si="2"/>
        <v>#REF!</v>
      </c>
      <c r="O38" s="110">
        <v>16270013.25</v>
      </c>
      <c r="P38" s="53" t="e">
        <f t="shared" si="1"/>
        <v>#REF!</v>
      </c>
    </row>
    <row r="39" spans="1:16" ht="15" customHeight="1">
      <c r="A39" s="35" t="s">
        <v>99</v>
      </c>
      <c r="B39" s="36" t="s">
        <v>107</v>
      </c>
      <c r="C39" s="36"/>
      <c r="D39" s="37"/>
      <c r="E39" s="38">
        <f>莘庄!J40</f>
        <v>107600</v>
      </c>
      <c r="F39" s="38">
        <f>吴泾!J40</f>
        <v>66800</v>
      </c>
      <c r="G39" s="38">
        <f>七宝!Y40</f>
        <v>724000</v>
      </c>
      <c r="H39" s="38" t="e">
        <f>#REF!</f>
        <v>#REF!</v>
      </c>
      <c r="I39" s="38" t="e">
        <f>#REF!</f>
        <v>#REF!</v>
      </c>
      <c r="J39" s="38">
        <f>马桥!Q40</f>
        <v>285600</v>
      </c>
      <c r="K39" s="38">
        <f>华漕!N40</f>
        <v>234800</v>
      </c>
      <c r="L39" s="38">
        <f>颛桥!T40</f>
        <v>417200</v>
      </c>
      <c r="M39" s="38">
        <f>虹桥!P40</f>
        <v>224400</v>
      </c>
      <c r="N39" s="38" t="e">
        <f t="shared" si="2"/>
        <v>#REF!</v>
      </c>
      <c r="O39" s="110">
        <v>2658353.56</v>
      </c>
      <c r="P39" s="53" t="e">
        <f t="shared" si="1"/>
        <v>#REF!</v>
      </c>
    </row>
    <row r="40" spans="1:16" s="2" customFormat="1" ht="15" customHeight="1">
      <c r="A40" s="35" t="s">
        <v>102</v>
      </c>
      <c r="B40" s="42" t="s">
        <v>109</v>
      </c>
      <c r="C40" s="42" t="s">
        <v>27</v>
      </c>
      <c r="D40" s="48" t="s">
        <v>110</v>
      </c>
      <c r="E40" s="38">
        <f>莘庄!J41</f>
        <v>107600</v>
      </c>
      <c r="F40" s="38">
        <f>吴泾!J41</f>
        <v>66800</v>
      </c>
      <c r="G40" s="38">
        <f>七宝!Y41</f>
        <v>724000</v>
      </c>
      <c r="H40" s="38" t="e">
        <f>#REF!</f>
        <v>#REF!</v>
      </c>
      <c r="I40" s="38" t="e">
        <f>#REF!</f>
        <v>#REF!</v>
      </c>
      <c r="J40" s="38">
        <f>马桥!Q41</f>
        <v>285600</v>
      </c>
      <c r="K40" s="38">
        <f>华漕!N41</f>
        <v>234800</v>
      </c>
      <c r="L40" s="38">
        <f>颛桥!T41</f>
        <v>417200</v>
      </c>
      <c r="M40" s="38">
        <f>虹桥!P41</f>
        <v>224400</v>
      </c>
      <c r="N40" s="38" t="e">
        <f t="shared" si="2"/>
        <v>#REF!</v>
      </c>
      <c r="O40" s="110">
        <v>2658353.56</v>
      </c>
      <c r="P40" s="53" t="e">
        <f t="shared" si="1"/>
        <v>#REF!</v>
      </c>
    </row>
    <row r="41" spans="1:16" ht="15" customHeight="1">
      <c r="A41" s="35" t="s">
        <v>106</v>
      </c>
      <c r="B41" s="36" t="s">
        <v>112</v>
      </c>
      <c r="C41" s="36"/>
      <c r="D41" s="37" t="s">
        <v>21</v>
      </c>
      <c r="E41" s="38">
        <f>莘庄!J42</f>
        <v>849034.65</v>
      </c>
      <c r="F41" s="38">
        <f>吴泾!J42</f>
        <v>479626.2</v>
      </c>
      <c r="G41" s="38">
        <f>七宝!Y42</f>
        <v>3768234.5999999996</v>
      </c>
      <c r="H41" s="38" t="e">
        <f>#REF!</f>
        <v>#REF!</v>
      </c>
      <c r="I41" s="38" t="e">
        <f>#REF!</f>
        <v>#REF!</v>
      </c>
      <c r="J41" s="38">
        <f>马桥!Q42</f>
        <v>2185488</v>
      </c>
      <c r="K41" s="38">
        <f>华漕!N42</f>
        <v>1488219.6</v>
      </c>
      <c r="L41" s="38">
        <f>颛桥!T42</f>
        <v>3308947.05</v>
      </c>
      <c r="M41" s="38">
        <f>虹桥!P42</f>
        <v>1609180.8</v>
      </c>
      <c r="N41" s="38" t="e">
        <f t="shared" si="2"/>
        <v>#REF!</v>
      </c>
      <c r="O41" s="110">
        <v>20412472.050000001</v>
      </c>
      <c r="P41" s="53" t="e">
        <f t="shared" si="1"/>
        <v>#REF!</v>
      </c>
    </row>
    <row r="42" spans="1:16" s="2" customFormat="1" ht="15" customHeight="1">
      <c r="A42" s="35" t="s">
        <v>108</v>
      </c>
      <c r="B42" s="42" t="s">
        <v>114</v>
      </c>
      <c r="C42" s="42" t="s">
        <v>27</v>
      </c>
      <c r="D42" s="48" t="s">
        <v>115</v>
      </c>
      <c r="E42" s="38">
        <f>莘庄!J43</f>
        <v>849034.65</v>
      </c>
      <c r="F42" s="38">
        <f>吴泾!J43</f>
        <v>479626.2</v>
      </c>
      <c r="G42" s="38">
        <f>七宝!Y43</f>
        <v>3768234.5999999996</v>
      </c>
      <c r="H42" s="38" t="e">
        <f>#REF!</f>
        <v>#REF!</v>
      </c>
      <c r="I42" s="38" t="e">
        <f>#REF!</f>
        <v>#REF!</v>
      </c>
      <c r="J42" s="38">
        <f>马桥!Q43</f>
        <v>2185488</v>
      </c>
      <c r="K42" s="38">
        <f>华漕!N43</f>
        <v>1488219.6</v>
      </c>
      <c r="L42" s="38">
        <f>颛桥!T43</f>
        <v>3308947.05</v>
      </c>
      <c r="M42" s="38">
        <f>虹桥!P43</f>
        <v>1609180.8</v>
      </c>
      <c r="N42" s="38" t="e">
        <f t="shared" si="2"/>
        <v>#REF!</v>
      </c>
      <c r="O42" s="110">
        <v>20412472.050000001</v>
      </c>
      <c r="P42" s="53" t="e">
        <f t="shared" si="1"/>
        <v>#REF!</v>
      </c>
    </row>
    <row r="43" spans="1:16" ht="15" customHeight="1">
      <c r="A43" s="35" t="s">
        <v>111</v>
      </c>
      <c r="B43" s="36" t="s">
        <v>117</v>
      </c>
      <c r="C43" s="36"/>
      <c r="D43" s="37" t="s">
        <v>21</v>
      </c>
      <c r="E43" s="38">
        <f>莘庄!J44</f>
        <v>222832</v>
      </c>
      <c r="F43" s="38">
        <f>吴泾!J44</f>
        <v>160568</v>
      </c>
      <c r="G43" s="38">
        <f>七宝!Y44</f>
        <v>937693.20000000007</v>
      </c>
      <c r="H43" s="38" t="e">
        <f>#REF!</f>
        <v>#REF!</v>
      </c>
      <c r="I43" s="38" t="e">
        <f>#REF!</f>
        <v>#REF!</v>
      </c>
      <c r="J43" s="38">
        <f>马桥!Q44</f>
        <v>634370.4</v>
      </c>
      <c r="K43" s="38">
        <f>华漕!N44</f>
        <v>563260.80000000005</v>
      </c>
      <c r="L43" s="38">
        <f>颛桥!T44</f>
        <v>1052974.3999999999</v>
      </c>
      <c r="M43" s="38">
        <f>虹桥!P44</f>
        <v>357474.4</v>
      </c>
      <c r="N43" s="38" t="e">
        <f t="shared" si="2"/>
        <v>#REF!</v>
      </c>
      <c r="O43" s="110">
        <v>5989655.7999999998</v>
      </c>
      <c r="P43" s="53" t="e">
        <f t="shared" si="1"/>
        <v>#REF!</v>
      </c>
    </row>
    <row r="44" spans="1:16" s="2" customFormat="1" ht="15" customHeight="1">
      <c r="A44" s="35" t="s">
        <v>113</v>
      </c>
      <c r="B44" s="42" t="s">
        <v>119</v>
      </c>
      <c r="C44" s="42" t="s">
        <v>27</v>
      </c>
      <c r="D44" s="48" t="s">
        <v>120</v>
      </c>
      <c r="E44" s="38">
        <f>莘庄!J45</f>
        <v>222832</v>
      </c>
      <c r="F44" s="38">
        <f>吴泾!J45</f>
        <v>160568</v>
      </c>
      <c r="G44" s="38">
        <f>七宝!Y45</f>
        <v>937693.20000000007</v>
      </c>
      <c r="H44" s="38" t="e">
        <f>#REF!</f>
        <v>#REF!</v>
      </c>
      <c r="I44" s="38" t="e">
        <f>#REF!</f>
        <v>#REF!</v>
      </c>
      <c r="J44" s="38">
        <f>马桥!Q45</f>
        <v>634370.4</v>
      </c>
      <c r="K44" s="38">
        <f>华漕!N45</f>
        <v>563260.80000000005</v>
      </c>
      <c r="L44" s="38">
        <f>颛桥!T45</f>
        <v>1052974.3999999999</v>
      </c>
      <c r="M44" s="38">
        <f>虹桥!P45</f>
        <v>357474.4</v>
      </c>
      <c r="N44" s="38" t="e">
        <f t="shared" si="2"/>
        <v>#REF!</v>
      </c>
      <c r="O44" s="110">
        <v>5989655.7999999998</v>
      </c>
      <c r="P44" s="53" t="e">
        <f t="shared" si="1"/>
        <v>#REF!</v>
      </c>
    </row>
    <row r="45" spans="1:16" ht="15" customHeight="1">
      <c r="A45" s="35" t="s">
        <v>116</v>
      </c>
      <c r="B45" s="36" t="s">
        <v>210</v>
      </c>
      <c r="C45" s="36"/>
      <c r="D45" s="37" t="s">
        <v>21</v>
      </c>
      <c r="E45" s="38">
        <f>莘庄!J46</f>
        <v>1654560</v>
      </c>
      <c r="F45" s="38">
        <f>吴泾!J46</f>
        <v>1088640</v>
      </c>
      <c r="G45" s="38">
        <f>七宝!Y46</f>
        <v>10463040</v>
      </c>
      <c r="H45" s="38" t="e">
        <f>#REF!</f>
        <v>#REF!</v>
      </c>
      <c r="I45" s="38" t="e">
        <f>#REF!</f>
        <v>#REF!</v>
      </c>
      <c r="J45" s="38">
        <f>马桥!Q46</f>
        <v>4108320</v>
      </c>
      <c r="K45" s="38">
        <f>华漕!N46</f>
        <v>4289760</v>
      </c>
      <c r="L45" s="38">
        <f>颛桥!T46</f>
        <v>6056640</v>
      </c>
      <c r="M45" s="38">
        <f>虹桥!P46</f>
        <v>3987360</v>
      </c>
      <c r="N45" s="38" t="e">
        <f t="shared" si="2"/>
        <v>#REF!</v>
      </c>
      <c r="O45" s="110">
        <v>43725620</v>
      </c>
      <c r="P45" s="53" t="e">
        <f t="shared" si="1"/>
        <v>#REF!</v>
      </c>
    </row>
    <row r="46" spans="1:16" s="2" customFormat="1" ht="15" customHeight="1">
      <c r="A46" s="35" t="s">
        <v>118</v>
      </c>
      <c r="B46" s="42" t="s">
        <v>211</v>
      </c>
      <c r="C46" s="42" t="s">
        <v>27</v>
      </c>
      <c r="D46" s="48" t="s">
        <v>124</v>
      </c>
      <c r="E46" s="38">
        <f>莘庄!J47</f>
        <v>1162080</v>
      </c>
      <c r="F46" s="38">
        <f>吴泾!J47</f>
        <v>721440</v>
      </c>
      <c r="G46" s="38">
        <f>七宝!Y47</f>
        <v>7819200</v>
      </c>
      <c r="H46" s="38" t="e">
        <f>#REF!</f>
        <v>#REF!</v>
      </c>
      <c r="I46" s="38" t="e">
        <f>#REF!</f>
        <v>#REF!</v>
      </c>
      <c r="J46" s="38">
        <f>马桥!Q47</f>
        <v>3084480</v>
      </c>
      <c r="K46" s="38">
        <f>华漕!N47</f>
        <v>2535840</v>
      </c>
      <c r="L46" s="38">
        <f>颛桥!T47</f>
        <v>4505760</v>
      </c>
      <c r="M46" s="38">
        <f>虹桥!P47</f>
        <v>2423520</v>
      </c>
      <c r="N46" s="38" t="e">
        <f t="shared" si="2"/>
        <v>#REF!</v>
      </c>
      <c r="O46" s="110">
        <v>30978780</v>
      </c>
      <c r="P46" s="53" t="e">
        <f t="shared" si="1"/>
        <v>#REF!</v>
      </c>
    </row>
    <row r="47" spans="1:16" s="2" customFormat="1" ht="15" customHeight="1">
      <c r="A47" s="35" t="s">
        <v>121</v>
      </c>
      <c r="B47" s="42" t="s">
        <v>212</v>
      </c>
      <c r="C47" s="42" t="s">
        <v>27</v>
      </c>
      <c r="D47" s="48" t="s">
        <v>213</v>
      </c>
      <c r="E47" s="38">
        <f>莘庄!J48</f>
        <v>492480</v>
      </c>
      <c r="F47" s="38">
        <f>吴泾!J48</f>
        <v>367200</v>
      </c>
      <c r="G47" s="38">
        <f>七宝!Y48</f>
        <v>2643840</v>
      </c>
      <c r="H47" s="38" t="e">
        <f>#REF!</f>
        <v>#REF!</v>
      </c>
      <c r="I47" s="38" t="e">
        <f>#REF!</f>
        <v>#REF!</v>
      </c>
      <c r="J47" s="38">
        <f>马桥!Q48</f>
        <v>1023840</v>
      </c>
      <c r="K47" s="38">
        <f>华漕!N48</f>
        <v>1753920</v>
      </c>
      <c r="L47" s="38">
        <f>颛桥!T48</f>
        <v>1550880</v>
      </c>
      <c r="M47" s="38">
        <f>虹桥!P48</f>
        <v>1563840</v>
      </c>
      <c r="N47" s="38" t="e">
        <f t="shared" si="2"/>
        <v>#REF!</v>
      </c>
      <c r="O47" s="110">
        <v>12746840</v>
      </c>
      <c r="P47" s="53" t="e">
        <f t="shared" si="1"/>
        <v>#REF!</v>
      </c>
    </row>
    <row r="48" spans="1:16" ht="15" customHeight="1">
      <c r="A48" s="35" t="s">
        <v>123</v>
      </c>
      <c r="B48" s="36" t="s">
        <v>214</v>
      </c>
      <c r="C48" s="36"/>
      <c r="D48" s="37" t="s">
        <v>21</v>
      </c>
      <c r="E48" s="38">
        <f>莘庄!J49</f>
        <v>1255121.1399999999</v>
      </c>
      <c r="F48" s="38">
        <f>吴泾!J49</f>
        <v>756748.57000000007</v>
      </c>
      <c r="G48" s="38">
        <f>七宝!Y49</f>
        <v>8794746.8700000029</v>
      </c>
      <c r="H48" s="38" t="e">
        <f>#REF!</f>
        <v>#REF!</v>
      </c>
      <c r="I48" s="38" t="e">
        <f>#REF!</f>
        <v>#REF!</v>
      </c>
      <c r="J48" s="38">
        <f>马桥!Q49</f>
        <v>3437808</v>
      </c>
      <c r="K48" s="38">
        <f>华漕!N49</f>
        <v>2843451.44</v>
      </c>
      <c r="L48" s="38">
        <f>颛桥!T49</f>
        <v>5111236.57</v>
      </c>
      <c r="M48" s="38">
        <f>虹桥!P49</f>
        <v>2731608</v>
      </c>
      <c r="N48" s="38" t="e">
        <f t="shared" si="2"/>
        <v>#REF!</v>
      </c>
      <c r="O48" s="110">
        <v>34410744.18</v>
      </c>
      <c r="P48" s="53" t="e">
        <f t="shared" si="1"/>
        <v>#REF!</v>
      </c>
    </row>
    <row r="49" spans="1:16" s="2" customFormat="1" ht="15" customHeight="1">
      <c r="A49" s="35" t="s">
        <v>125</v>
      </c>
      <c r="B49" s="42" t="s">
        <v>129</v>
      </c>
      <c r="C49" s="42" t="s">
        <v>27</v>
      </c>
      <c r="D49" s="39" t="s">
        <v>43</v>
      </c>
      <c r="E49" s="38">
        <f>莘庄!J50</f>
        <v>1255121.1399999999</v>
      </c>
      <c r="F49" s="38">
        <f>吴泾!J50</f>
        <v>756748.57000000007</v>
      </c>
      <c r="G49" s="38">
        <f>七宝!Y50</f>
        <v>8794746.8700000029</v>
      </c>
      <c r="H49" s="38" t="e">
        <f>#REF!</f>
        <v>#REF!</v>
      </c>
      <c r="I49" s="38" t="e">
        <f>#REF!</f>
        <v>#REF!</v>
      </c>
      <c r="J49" s="38">
        <f>马桥!Q50</f>
        <v>3437808</v>
      </c>
      <c r="K49" s="38">
        <f>华漕!N50</f>
        <v>2843451.44</v>
      </c>
      <c r="L49" s="38">
        <f>颛桥!T50</f>
        <v>5111236.57</v>
      </c>
      <c r="M49" s="38">
        <f>虹桥!P50</f>
        <v>2731608</v>
      </c>
      <c r="N49" s="38" t="e">
        <f t="shared" si="2"/>
        <v>#REF!</v>
      </c>
      <c r="O49" s="110">
        <v>34410744.18</v>
      </c>
      <c r="P49" s="53" t="e">
        <f t="shared" si="1"/>
        <v>#REF!</v>
      </c>
    </row>
    <row r="50" spans="1:16" ht="15" customHeight="1">
      <c r="A50" s="35" t="s">
        <v>126</v>
      </c>
      <c r="B50" s="36" t="s">
        <v>215</v>
      </c>
      <c r="C50" s="36"/>
      <c r="D50" s="37" t="s">
        <v>21</v>
      </c>
      <c r="E50" s="38">
        <f>莘庄!J51</f>
        <v>64000</v>
      </c>
      <c r="F50" s="38">
        <f>吴泾!J51</f>
        <v>32000</v>
      </c>
      <c r="G50" s="38">
        <f>七宝!Y51</f>
        <v>306000</v>
      </c>
      <c r="H50" s="38" t="e">
        <f>#REF!</f>
        <v>#REF!</v>
      </c>
      <c r="I50" s="38" t="e">
        <f>#REF!</f>
        <v>#REF!</v>
      </c>
      <c r="J50" s="38">
        <f>马桥!Q51</f>
        <v>89000</v>
      </c>
      <c r="K50" s="38">
        <f>华漕!N51</f>
        <v>121000</v>
      </c>
      <c r="L50" s="38">
        <f>颛桥!T51</f>
        <v>306000</v>
      </c>
      <c r="M50" s="38">
        <f>虹桥!P51</f>
        <v>217000</v>
      </c>
      <c r="N50" s="38" t="e">
        <f t="shared" si="2"/>
        <v>#REF!</v>
      </c>
      <c r="O50" s="110">
        <v>1163010.32</v>
      </c>
      <c r="P50" s="53" t="e">
        <f t="shared" si="1"/>
        <v>#REF!</v>
      </c>
    </row>
    <row r="51" spans="1:16" ht="15" customHeight="1">
      <c r="A51" s="35" t="s">
        <v>128</v>
      </c>
      <c r="B51" s="36" t="s">
        <v>132</v>
      </c>
      <c r="C51" s="36" t="s">
        <v>27</v>
      </c>
      <c r="D51" s="47" t="s">
        <v>133</v>
      </c>
      <c r="E51" s="38">
        <f>莘庄!J52</f>
        <v>64000</v>
      </c>
      <c r="F51" s="38">
        <f>吴泾!J52</f>
        <v>32000</v>
      </c>
      <c r="G51" s="38">
        <f>七宝!Y52</f>
        <v>306000</v>
      </c>
      <c r="H51" s="38" t="e">
        <f>#REF!</f>
        <v>#REF!</v>
      </c>
      <c r="I51" s="38" t="e">
        <f>#REF!</f>
        <v>#REF!</v>
      </c>
      <c r="J51" s="38">
        <f>马桥!Q52</f>
        <v>89000</v>
      </c>
      <c r="K51" s="38">
        <f>华漕!N52</f>
        <v>121000</v>
      </c>
      <c r="L51" s="38">
        <f>颛桥!T52</f>
        <v>306000</v>
      </c>
      <c r="M51" s="38">
        <f>虹桥!P52</f>
        <v>217000</v>
      </c>
      <c r="N51" s="38" t="e">
        <f t="shared" si="2"/>
        <v>#REF!</v>
      </c>
      <c r="O51" s="110">
        <v>1163010.32</v>
      </c>
      <c r="P51" s="53" t="e">
        <f t="shared" si="1"/>
        <v>#REF!</v>
      </c>
    </row>
    <row r="52" spans="1:16" ht="15" customHeight="1">
      <c r="A52" s="35" t="s">
        <v>130</v>
      </c>
      <c r="B52" s="36" t="s">
        <v>279</v>
      </c>
      <c r="C52" s="36"/>
      <c r="D52" s="37" t="s">
        <v>21</v>
      </c>
      <c r="E52" s="38">
        <f>莘庄!J53</f>
        <v>45600</v>
      </c>
      <c r="F52" s="38">
        <f>吴泾!J53</f>
        <v>34000</v>
      </c>
      <c r="G52" s="38">
        <f>七宝!Y53</f>
        <v>244800</v>
      </c>
      <c r="H52" s="38" t="e">
        <f>#REF!</f>
        <v>#REF!</v>
      </c>
      <c r="I52" s="38" t="e">
        <f>#REF!</f>
        <v>#REF!</v>
      </c>
      <c r="J52" s="38">
        <f>马桥!Q53</f>
        <v>94800</v>
      </c>
      <c r="K52" s="38">
        <f>华漕!N53</f>
        <v>162400</v>
      </c>
      <c r="L52" s="38">
        <f>颛桥!T53</f>
        <v>143600</v>
      </c>
      <c r="M52" s="38">
        <f>虹桥!P53</f>
        <v>144800</v>
      </c>
      <c r="N52" s="38" t="e">
        <f t="shared" si="2"/>
        <v>#REF!</v>
      </c>
      <c r="O52" s="110">
        <v>1179818.99</v>
      </c>
      <c r="P52" s="53" t="e">
        <f t="shared" si="1"/>
        <v>#REF!</v>
      </c>
    </row>
    <row r="53" spans="1:16" s="2" customFormat="1" ht="15" customHeight="1">
      <c r="A53" s="35" t="s">
        <v>131</v>
      </c>
      <c r="B53" s="42" t="s">
        <v>280</v>
      </c>
      <c r="C53" s="42" t="s">
        <v>27</v>
      </c>
      <c r="D53" s="48" t="s">
        <v>216</v>
      </c>
      <c r="E53" s="38">
        <f>莘庄!J54</f>
        <v>45600</v>
      </c>
      <c r="F53" s="38">
        <f>吴泾!J54</f>
        <v>34000</v>
      </c>
      <c r="G53" s="38">
        <f>七宝!Y54</f>
        <v>244800</v>
      </c>
      <c r="H53" s="38" t="e">
        <f>#REF!</f>
        <v>#REF!</v>
      </c>
      <c r="I53" s="38" t="e">
        <f>#REF!</f>
        <v>#REF!</v>
      </c>
      <c r="J53" s="38">
        <f>马桥!Q54</f>
        <v>94800</v>
      </c>
      <c r="K53" s="38">
        <f>华漕!N54</f>
        <v>162400</v>
      </c>
      <c r="L53" s="38">
        <f>颛桥!T54</f>
        <v>143600</v>
      </c>
      <c r="M53" s="38">
        <f>虹桥!P54</f>
        <v>144800</v>
      </c>
      <c r="N53" s="38" t="e">
        <f t="shared" si="2"/>
        <v>#REF!</v>
      </c>
      <c r="O53" s="110">
        <v>1179818.99</v>
      </c>
      <c r="P53" s="53" t="e">
        <f t="shared" si="1"/>
        <v>#REF!</v>
      </c>
    </row>
    <row r="54" spans="1:16" s="2" customFormat="1" ht="15" customHeight="1">
      <c r="A54" s="35" t="s">
        <v>134</v>
      </c>
      <c r="B54" s="36" t="s">
        <v>281</v>
      </c>
      <c r="C54" s="42"/>
      <c r="D54" s="48"/>
      <c r="E54" s="38">
        <f>莘庄!J55</f>
        <v>12700</v>
      </c>
      <c r="F54" s="38">
        <f>吴泾!J55</f>
        <v>13500</v>
      </c>
      <c r="G54" s="38">
        <f>七宝!Y55</f>
        <v>72600</v>
      </c>
      <c r="H54" s="38" t="e">
        <f>#REF!</f>
        <v>#REF!</v>
      </c>
      <c r="I54" s="38" t="e">
        <f>#REF!</f>
        <v>#REF!</v>
      </c>
      <c r="J54" s="38">
        <f>马桥!Q55</f>
        <v>58900</v>
      </c>
      <c r="K54" s="38">
        <f>华漕!N55</f>
        <v>14000</v>
      </c>
      <c r="L54" s="38">
        <f>颛桥!T55</f>
        <v>51900</v>
      </c>
      <c r="M54" s="38">
        <f>虹桥!P55</f>
        <v>31900</v>
      </c>
      <c r="N54" s="38" t="e">
        <f t="shared" si="2"/>
        <v>#REF!</v>
      </c>
      <c r="O54" s="110">
        <v>390546.3</v>
      </c>
      <c r="P54" s="53" t="e">
        <f t="shared" si="1"/>
        <v>#REF!</v>
      </c>
    </row>
    <row r="55" spans="1:16" ht="15" customHeight="1">
      <c r="A55" s="35" t="s">
        <v>135</v>
      </c>
      <c r="B55" s="36" t="s">
        <v>282</v>
      </c>
      <c r="C55" s="36" t="s">
        <v>27</v>
      </c>
      <c r="D55" s="47" t="s">
        <v>140</v>
      </c>
      <c r="E55" s="38">
        <f>莘庄!J56</f>
        <v>12700</v>
      </c>
      <c r="F55" s="38">
        <f>吴泾!J56</f>
        <v>13500</v>
      </c>
      <c r="G55" s="38">
        <f>七宝!Y56</f>
        <v>72600</v>
      </c>
      <c r="H55" s="38" t="e">
        <f>#REF!</f>
        <v>#REF!</v>
      </c>
      <c r="I55" s="38" t="e">
        <f>#REF!</f>
        <v>#REF!</v>
      </c>
      <c r="J55" s="38">
        <f>马桥!Q56</f>
        <v>58900</v>
      </c>
      <c r="K55" s="38">
        <f>华漕!N56</f>
        <v>14000</v>
      </c>
      <c r="L55" s="38">
        <f>颛桥!T56</f>
        <v>51900</v>
      </c>
      <c r="M55" s="38">
        <f>虹桥!P56</f>
        <v>31900</v>
      </c>
      <c r="N55" s="38" t="e">
        <f t="shared" si="2"/>
        <v>#REF!</v>
      </c>
      <c r="O55" s="111">
        <v>390546.3</v>
      </c>
      <c r="P55" s="53" t="e">
        <f t="shared" si="1"/>
        <v>#REF!</v>
      </c>
    </row>
    <row r="56" spans="1:16" ht="15" customHeight="1">
      <c r="A56" s="35" t="s">
        <v>136</v>
      </c>
      <c r="B56" s="36" t="s">
        <v>283</v>
      </c>
      <c r="C56" s="36"/>
      <c r="D56" s="37" t="s">
        <v>21</v>
      </c>
      <c r="E56" s="38">
        <f>莘庄!J57</f>
        <v>106000</v>
      </c>
      <c r="F56" s="38">
        <f>吴泾!J57</f>
        <v>128000</v>
      </c>
      <c r="G56" s="38">
        <f>七宝!Y57</f>
        <v>380000</v>
      </c>
      <c r="H56" s="38" t="e">
        <f>#REF!</f>
        <v>#REF!</v>
      </c>
      <c r="I56" s="38" t="e">
        <f>#REF!</f>
        <v>#REF!</v>
      </c>
      <c r="J56" s="38">
        <f>马桥!Q57</f>
        <v>320000</v>
      </c>
      <c r="K56" s="38">
        <f>华漕!N57</f>
        <v>192000</v>
      </c>
      <c r="L56" s="38">
        <f>颛桥!T57</f>
        <v>192000</v>
      </c>
      <c r="M56" s="38">
        <f>虹桥!P57</f>
        <v>106000</v>
      </c>
      <c r="N56" s="38" t="e">
        <f t="shared" si="2"/>
        <v>#REF!</v>
      </c>
      <c r="O56" s="110">
        <v>1602563.44</v>
      </c>
      <c r="P56" s="53" t="e">
        <f t="shared" si="1"/>
        <v>#REF!</v>
      </c>
    </row>
    <row r="57" spans="1:16" ht="15" customHeight="1" thickBot="1">
      <c r="A57" s="35" t="s">
        <v>139</v>
      </c>
      <c r="B57" s="4" t="s">
        <v>284</v>
      </c>
      <c r="C57" s="36" t="s">
        <v>27</v>
      </c>
      <c r="D57" s="5" t="s">
        <v>217</v>
      </c>
      <c r="E57" s="38">
        <f>莘庄!J58</f>
        <v>106000</v>
      </c>
      <c r="F57" s="38">
        <f>吴泾!J58</f>
        <v>128000</v>
      </c>
      <c r="G57" s="38">
        <f>七宝!Y58</f>
        <v>380000</v>
      </c>
      <c r="H57" s="38" t="e">
        <f>#REF!</f>
        <v>#REF!</v>
      </c>
      <c r="I57" s="38" t="e">
        <f>#REF!</f>
        <v>#REF!</v>
      </c>
      <c r="J57" s="38">
        <f>马桥!Q58</f>
        <v>320000</v>
      </c>
      <c r="K57" s="38">
        <f>华漕!N58</f>
        <v>192000</v>
      </c>
      <c r="L57" s="38">
        <f>颛桥!T58</f>
        <v>192000</v>
      </c>
      <c r="M57" s="38">
        <f>虹桥!P58</f>
        <v>106000</v>
      </c>
      <c r="N57" s="38" t="e">
        <f t="shared" si="2"/>
        <v>#REF!</v>
      </c>
      <c r="O57" s="112">
        <v>1602563.44</v>
      </c>
      <c r="P57" s="53" t="e">
        <f t="shared" si="1"/>
        <v>#REF!</v>
      </c>
    </row>
    <row r="58" spans="1:16" ht="15" customHeight="1" thickTop="1">
      <c r="A58" s="35" t="s">
        <v>141</v>
      </c>
      <c r="B58" s="9" t="s">
        <v>145</v>
      </c>
      <c r="C58" s="9"/>
      <c r="D58" s="10"/>
      <c r="E58" s="38">
        <f>莘庄!J59</f>
        <v>0</v>
      </c>
      <c r="F58" s="38">
        <f>吴泾!J59</f>
        <v>0</v>
      </c>
      <c r="G58" s="38">
        <f>七宝!Y59</f>
        <v>0</v>
      </c>
      <c r="H58" s="38" t="e">
        <f>#REF!</f>
        <v>#REF!</v>
      </c>
      <c r="I58" s="38" t="e">
        <f>#REF!</f>
        <v>#REF!</v>
      </c>
      <c r="J58" s="38">
        <f>马桥!Q59</f>
        <v>0</v>
      </c>
      <c r="K58" s="38">
        <f>华漕!N59</f>
        <v>0</v>
      </c>
      <c r="L58" s="38">
        <f>颛桥!T59</f>
        <v>0</v>
      </c>
      <c r="M58" s="38">
        <f>虹桥!P59</f>
        <v>0</v>
      </c>
      <c r="N58" s="38" t="e">
        <f t="shared" si="2"/>
        <v>#REF!</v>
      </c>
      <c r="O58" s="113"/>
      <c r="P58" s="53" t="e">
        <f t="shared" si="1"/>
        <v>#REF!</v>
      </c>
    </row>
    <row r="59" spans="1:16" ht="15" customHeight="1">
      <c r="A59" s="35" t="s">
        <v>142</v>
      </c>
      <c r="B59" s="36" t="s">
        <v>147</v>
      </c>
      <c r="C59" s="36"/>
      <c r="D59" s="37" t="s">
        <v>285</v>
      </c>
      <c r="E59" s="38">
        <f>莘庄!J60</f>
        <v>269</v>
      </c>
      <c r="F59" s="38">
        <f>吴泾!J60</f>
        <v>167</v>
      </c>
      <c r="G59" s="38">
        <f>七宝!Y60</f>
        <v>1810</v>
      </c>
      <c r="H59" s="38" t="e">
        <f>#REF!</f>
        <v>#REF!</v>
      </c>
      <c r="I59" s="38" t="e">
        <f>#REF!</f>
        <v>#REF!</v>
      </c>
      <c r="J59" s="38">
        <f>马桥!Q60</f>
        <v>714</v>
      </c>
      <c r="K59" s="38">
        <f>华漕!N60</f>
        <v>587</v>
      </c>
      <c r="L59" s="38">
        <f>颛桥!T60</f>
        <v>1043</v>
      </c>
      <c r="M59" s="38">
        <f>虹桥!P60</f>
        <v>561</v>
      </c>
      <c r="N59" s="38" t="e">
        <f t="shared" si="2"/>
        <v>#REF!</v>
      </c>
      <c r="O59" s="110">
        <v>7227</v>
      </c>
      <c r="P59" s="53" t="e">
        <f t="shared" si="1"/>
        <v>#REF!</v>
      </c>
    </row>
    <row r="60" spans="1:16" ht="15" customHeight="1">
      <c r="A60" s="35" t="s">
        <v>144</v>
      </c>
      <c r="B60" s="50" t="s">
        <v>149</v>
      </c>
      <c r="C60" s="50"/>
      <c r="D60" s="44"/>
      <c r="E60" s="38">
        <f>莘庄!J61</f>
        <v>61</v>
      </c>
      <c r="F60" s="38">
        <f>吴泾!J61</f>
        <v>0</v>
      </c>
      <c r="G60" s="38">
        <f>七宝!Y61</f>
        <v>629</v>
      </c>
      <c r="H60" s="38" t="e">
        <f>#REF!</f>
        <v>#REF!</v>
      </c>
      <c r="I60" s="38" t="e">
        <f>#REF!</f>
        <v>#REF!</v>
      </c>
      <c r="J60" s="38">
        <f>马桥!Q61</f>
        <v>191</v>
      </c>
      <c r="K60" s="38">
        <f>华漕!N61</f>
        <v>195</v>
      </c>
      <c r="L60" s="38">
        <f>颛桥!T61</f>
        <v>328</v>
      </c>
      <c r="M60" s="38">
        <f>虹桥!P61</f>
        <v>176</v>
      </c>
      <c r="N60" s="38" t="e">
        <f t="shared" si="2"/>
        <v>#REF!</v>
      </c>
      <c r="O60" s="110">
        <v>2199</v>
      </c>
      <c r="P60" s="53" t="e">
        <f t="shared" si="1"/>
        <v>#REF!</v>
      </c>
    </row>
    <row r="61" spans="1:16" ht="15" customHeight="1">
      <c r="A61" s="35" t="s">
        <v>146</v>
      </c>
      <c r="B61" s="50" t="s">
        <v>151</v>
      </c>
      <c r="C61" s="50"/>
      <c r="D61" s="37"/>
      <c r="E61" s="38">
        <f>莘庄!J62</f>
        <v>62</v>
      </c>
      <c r="F61" s="38">
        <f>吴泾!J62</f>
        <v>65</v>
      </c>
      <c r="G61" s="38">
        <f>七宝!Y62</f>
        <v>773</v>
      </c>
      <c r="H61" s="38" t="e">
        <f>#REF!</f>
        <v>#REF!</v>
      </c>
      <c r="I61" s="38" t="e">
        <f>#REF!</f>
        <v>#REF!</v>
      </c>
      <c r="J61" s="38">
        <f>马桥!Q62</f>
        <v>312</v>
      </c>
      <c r="K61" s="38">
        <f>华漕!N62</f>
        <v>213</v>
      </c>
      <c r="L61" s="38">
        <f>颛桥!T62</f>
        <v>480</v>
      </c>
      <c r="M61" s="38">
        <f>虹桥!P62</f>
        <v>201</v>
      </c>
      <c r="N61" s="38" t="e">
        <f t="shared" si="2"/>
        <v>#REF!</v>
      </c>
      <c r="O61" s="110">
        <v>2899</v>
      </c>
      <c r="P61" s="53" t="e">
        <f t="shared" si="1"/>
        <v>#REF!</v>
      </c>
    </row>
    <row r="62" spans="1:16" ht="15" customHeight="1">
      <c r="A62" s="35" t="s">
        <v>148</v>
      </c>
      <c r="B62" s="50" t="s">
        <v>153</v>
      </c>
      <c r="C62" s="50"/>
      <c r="D62" s="44"/>
      <c r="E62" s="38">
        <f>莘庄!J63</f>
        <v>140</v>
      </c>
      <c r="F62" s="38">
        <f>吴泾!J63</f>
        <v>98</v>
      </c>
      <c r="G62" s="38">
        <f>七宝!Y63</f>
        <v>401</v>
      </c>
      <c r="H62" s="38" t="e">
        <f>#REF!</f>
        <v>#REF!</v>
      </c>
      <c r="I62" s="38" t="e">
        <f>#REF!</f>
        <v>#REF!</v>
      </c>
      <c r="J62" s="38">
        <f>马桥!Q63</f>
        <v>201</v>
      </c>
      <c r="K62" s="38">
        <f>华漕!N63</f>
        <v>172</v>
      </c>
      <c r="L62" s="38">
        <f>颛桥!T63</f>
        <v>230</v>
      </c>
      <c r="M62" s="38">
        <f>虹桥!P63</f>
        <v>183</v>
      </c>
      <c r="N62" s="38" t="e">
        <f t="shared" si="2"/>
        <v>#REF!</v>
      </c>
      <c r="O62" s="110">
        <v>2079</v>
      </c>
      <c r="P62" s="53" t="e">
        <f t="shared" si="1"/>
        <v>#REF!</v>
      </c>
    </row>
    <row r="63" spans="1:16" ht="15" customHeight="1">
      <c r="A63" s="35" t="s">
        <v>150</v>
      </c>
      <c r="B63" s="50" t="s">
        <v>155</v>
      </c>
      <c r="C63" s="50"/>
      <c r="D63" s="44"/>
      <c r="E63" s="38">
        <f>莘庄!J64</f>
        <v>6</v>
      </c>
      <c r="F63" s="38">
        <f>吴泾!J64</f>
        <v>4</v>
      </c>
      <c r="G63" s="38">
        <f>七宝!Y64</f>
        <v>7</v>
      </c>
      <c r="H63" s="38" t="e">
        <f>#REF!</f>
        <v>#REF!</v>
      </c>
      <c r="I63" s="38" t="e">
        <f>#REF!</f>
        <v>#REF!</v>
      </c>
      <c r="J63" s="38">
        <f>马桥!Q64</f>
        <v>10</v>
      </c>
      <c r="K63" s="38">
        <f>华漕!N64</f>
        <v>7</v>
      </c>
      <c r="L63" s="38">
        <f>颛桥!T64</f>
        <v>5</v>
      </c>
      <c r="M63" s="38">
        <f>虹桥!P64</f>
        <v>1</v>
      </c>
      <c r="N63" s="38" t="e">
        <f t="shared" si="2"/>
        <v>#REF!</v>
      </c>
      <c r="O63" s="110">
        <v>50</v>
      </c>
      <c r="P63" s="53" t="e">
        <f t="shared" si="1"/>
        <v>#REF!</v>
      </c>
    </row>
    <row r="64" spans="1:16" ht="15" customHeight="1">
      <c r="A64" s="35" t="s">
        <v>152</v>
      </c>
      <c r="B64" s="36" t="s">
        <v>157</v>
      </c>
      <c r="C64" s="36"/>
      <c r="D64" s="37" t="s">
        <v>286</v>
      </c>
      <c r="E64" s="38">
        <f>莘庄!J65</f>
        <v>2972</v>
      </c>
      <c r="F64" s="38">
        <f>吴泾!J65</f>
        <v>2319</v>
      </c>
      <c r="G64" s="38">
        <f>七宝!Y65</f>
        <v>25262</v>
      </c>
      <c r="H64" s="38" t="e">
        <f>#REF!</f>
        <v>#REF!</v>
      </c>
      <c r="I64" s="38" t="e">
        <f>#REF!</f>
        <v>#REF!</v>
      </c>
      <c r="J64" s="38">
        <f>马桥!Q65</f>
        <v>9955</v>
      </c>
      <c r="K64" s="38">
        <f>华漕!N65</f>
        <v>8178</v>
      </c>
      <c r="L64" s="38">
        <f>颛桥!T65</f>
        <v>14677</v>
      </c>
      <c r="M64" s="38">
        <f>虹桥!P65</f>
        <v>6529</v>
      </c>
      <c r="N64" s="38" t="e">
        <f t="shared" si="2"/>
        <v>#REF!</v>
      </c>
      <c r="O64" s="110">
        <v>99872</v>
      </c>
      <c r="P64" s="53" t="e">
        <f t="shared" si="1"/>
        <v>#REF!</v>
      </c>
    </row>
    <row r="65" spans="1:16" ht="15" customHeight="1">
      <c r="A65" s="35" t="s">
        <v>154</v>
      </c>
      <c r="B65" s="50" t="s">
        <v>149</v>
      </c>
      <c r="C65" s="50"/>
      <c r="D65" s="44"/>
      <c r="E65" s="38">
        <f>莘庄!J66</f>
        <v>854</v>
      </c>
      <c r="F65" s="38">
        <f>吴泾!J66</f>
        <v>0</v>
      </c>
      <c r="G65" s="38">
        <f>七宝!Y66</f>
        <v>8962</v>
      </c>
      <c r="H65" s="38" t="e">
        <f>#REF!</f>
        <v>#REF!</v>
      </c>
      <c r="I65" s="38" t="e">
        <f>#REF!</f>
        <v>#REF!</v>
      </c>
      <c r="J65" s="38">
        <f>马桥!Q66</f>
        <v>2893</v>
      </c>
      <c r="K65" s="38">
        <f>华漕!N66</f>
        <v>2705</v>
      </c>
      <c r="L65" s="38">
        <f>颛桥!T66</f>
        <v>4555</v>
      </c>
      <c r="M65" s="38">
        <f>虹桥!P66</f>
        <v>2105</v>
      </c>
      <c r="N65" s="38" t="e">
        <f t="shared" si="2"/>
        <v>#REF!</v>
      </c>
      <c r="O65" s="110">
        <v>30739</v>
      </c>
      <c r="P65" s="53" t="e">
        <f t="shared" si="1"/>
        <v>#REF!</v>
      </c>
    </row>
    <row r="66" spans="1:16" ht="15" customHeight="1">
      <c r="A66" s="35" t="s">
        <v>156</v>
      </c>
      <c r="B66" s="50" t="s">
        <v>151</v>
      </c>
      <c r="C66" s="50"/>
      <c r="D66" s="37"/>
      <c r="E66" s="38">
        <f>莘庄!J67</f>
        <v>818</v>
      </c>
      <c r="F66" s="38">
        <f>吴泾!J67</f>
        <v>1035</v>
      </c>
      <c r="G66" s="38">
        <f>七宝!Y67</f>
        <v>12528</v>
      </c>
      <c r="H66" s="38" t="e">
        <f>#REF!</f>
        <v>#REF!</v>
      </c>
      <c r="I66" s="38" t="e">
        <f>#REF!</f>
        <v>#REF!</v>
      </c>
      <c r="J66" s="38">
        <f>马桥!Q67</f>
        <v>4614</v>
      </c>
      <c r="K66" s="38">
        <f>华漕!N67</f>
        <v>3408</v>
      </c>
      <c r="L66" s="38">
        <f>颛桥!T67</f>
        <v>7249</v>
      </c>
      <c r="M66" s="38">
        <f>虹桥!P67</f>
        <v>2945</v>
      </c>
      <c r="N66" s="38" t="e">
        <f t="shared" si="2"/>
        <v>#REF!</v>
      </c>
      <c r="O66" s="110">
        <v>45364</v>
      </c>
      <c r="P66" s="53" t="e">
        <f t="shared" si="1"/>
        <v>#REF!</v>
      </c>
    </row>
    <row r="67" spans="1:16" ht="15" customHeight="1">
      <c r="A67" s="35" t="s">
        <v>158</v>
      </c>
      <c r="B67" s="50" t="s">
        <v>153</v>
      </c>
      <c r="C67" s="50"/>
      <c r="D67" s="44"/>
      <c r="E67" s="38">
        <f>莘庄!J68</f>
        <v>1300</v>
      </c>
      <c r="F67" s="38">
        <f>吴泾!J68</f>
        <v>1284</v>
      </c>
      <c r="G67" s="38">
        <f>七宝!Y68</f>
        <v>3772</v>
      </c>
      <c r="H67" s="38" t="e">
        <f>#REF!</f>
        <v>#REF!</v>
      </c>
      <c r="I67" s="38" t="e">
        <f>#REF!</f>
        <v>#REF!</v>
      </c>
      <c r="J67" s="38">
        <f>马桥!Q68</f>
        <v>2448</v>
      </c>
      <c r="K67" s="38">
        <f>华漕!N68</f>
        <v>2065</v>
      </c>
      <c r="L67" s="38">
        <f>颛桥!T68</f>
        <v>2873</v>
      </c>
      <c r="M67" s="38">
        <f>虹桥!P68</f>
        <v>1479</v>
      </c>
      <c r="N67" s="38" t="e">
        <f t="shared" ref="N67:N71" si="3">SUM(E67:M67)</f>
        <v>#REF!</v>
      </c>
      <c r="O67" s="110">
        <v>23769</v>
      </c>
      <c r="P67" s="53" t="e">
        <f t="shared" si="1"/>
        <v>#REF!</v>
      </c>
    </row>
    <row r="68" spans="1:16" ht="15" customHeight="1">
      <c r="A68" s="35" t="s">
        <v>159</v>
      </c>
      <c r="B68" s="50" t="s">
        <v>155</v>
      </c>
      <c r="C68" s="50"/>
      <c r="D68" s="44"/>
      <c r="E68" s="38">
        <f>莘庄!J69</f>
        <v>0</v>
      </c>
      <c r="F68" s="38">
        <f>吴泾!J69</f>
        <v>0</v>
      </c>
      <c r="G68" s="38">
        <f>七宝!Y69</f>
        <v>0</v>
      </c>
      <c r="H68" s="38" t="e">
        <f>#REF!</f>
        <v>#REF!</v>
      </c>
      <c r="I68" s="38" t="e">
        <f>#REF!</f>
        <v>#REF!</v>
      </c>
      <c r="J68" s="38">
        <f>马桥!Q69</f>
        <v>0</v>
      </c>
      <c r="K68" s="38">
        <f>华漕!N69</f>
        <v>0</v>
      </c>
      <c r="L68" s="38">
        <f>颛桥!T69</f>
        <v>0</v>
      </c>
      <c r="M68" s="38">
        <f>虹桥!P69</f>
        <v>0</v>
      </c>
      <c r="N68" s="38" t="e">
        <f t="shared" si="3"/>
        <v>#REF!</v>
      </c>
      <c r="O68" s="110">
        <v>0</v>
      </c>
      <c r="P68" s="53" t="e">
        <f t="shared" ref="P68:P71" si="4">N68-O68</f>
        <v>#REF!</v>
      </c>
    </row>
    <row r="69" spans="1:16" ht="15" customHeight="1">
      <c r="A69" s="35" t="s">
        <v>160</v>
      </c>
      <c r="B69" s="36" t="s">
        <v>218</v>
      </c>
      <c r="C69" s="36"/>
      <c r="D69" s="37"/>
      <c r="E69" s="38">
        <f>莘庄!J70</f>
        <v>114</v>
      </c>
      <c r="F69" s="38">
        <f>吴泾!J70</f>
        <v>85</v>
      </c>
      <c r="G69" s="38">
        <f>七宝!Y70</f>
        <v>612</v>
      </c>
      <c r="H69" s="38" t="e">
        <f>#REF!</f>
        <v>#REF!</v>
      </c>
      <c r="I69" s="38" t="e">
        <f>#REF!</f>
        <v>#REF!</v>
      </c>
      <c r="J69" s="38">
        <f>马桥!Q70</f>
        <v>237</v>
      </c>
      <c r="K69" s="38">
        <f>华漕!N70</f>
        <v>406</v>
      </c>
      <c r="L69" s="38">
        <f>颛桥!T70</f>
        <v>359</v>
      </c>
      <c r="M69" s="38">
        <f>虹桥!P70</f>
        <v>362</v>
      </c>
      <c r="N69" s="38" t="e">
        <f t="shared" si="3"/>
        <v>#REF!</v>
      </c>
      <c r="O69" s="110">
        <v>2999</v>
      </c>
      <c r="P69" s="53" t="e">
        <f t="shared" si="4"/>
        <v>#REF!</v>
      </c>
    </row>
    <row r="70" spans="1:16" ht="15" customHeight="1">
      <c r="A70" s="35" t="s">
        <v>161</v>
      </c>
      <c r="B70" s="50" t="s">
        <v>219</v>
      </c>
      <c r="C70" s="50"/>
      <c r="D70" s="47"/>
      <c r="E70" s="38">
        <f>莘庄!J71</f>
        <v>56602.310000000005</v>
      </c>
      <c r="F70" s="38">
        <f>吴泾!J71</f>
        <v>31975.08</v>
      </c>
      <c r="G70" s="38">
        <f>七宝!Y71</f>
        <v>251215.64</v>
      </c>
      <c r="H70" s="38" t="e">
        <f>#REF!</f>
        <v>#REF!</v>
      </c>
      <c r="I70" s="38" t="e">
        <f>#REF!</f>
        <v>#REF!</v>
      </c>
      <c r="J70" s="38">
        <f>马桥!Q71</f>
        <v>145699.20000000001</v>
      </c>
      <c r="K70" s="38">
        <f>华漕!N71</f>
        <v>99214.64</v>
      </c>
      <c r="L70" s="38">
        <f>颛桥!T71</f>
        <v>220596.47000000003</v>
      </c>
      <c r="M70" s="38">
        <f>虹桥!P71</f>
        <v>107278.72</v>
      </c>
      <c r="N70" s="38" t="e">
        <f t="shared" si="3"/>
        <v>#REF!</v>
      </c>
      <c r="O70" s="110">
        <v>1398014.0099999998</v>
      </c>
      <c r="P70" s="53" t="e">
        <f t="shared" si="4"/>
        <v>#REF!</v>
      </c>
    </row>
    <row r="71" spans="1:16" ht="15" customHeight="1">
      <c r="A71" s="35" t="s">
        <v>162</v>
      </c>
      <c r="B71" s="50" t="s">
        <v>220</v>
      </c>
      <c r="C71" s="50"/>
      <c r="D71" s="47"/>
      <c r="E71" s="38">
        <f>莘庄!J72</f>
        <v>27854</v>
      </c>
      <c r="F71" s="38">
        <f>吴泾!J72</f>
        <v>20071</v>
      </c>
      <c r="G71" s="38">
        <f>七宝!Y72</f>
        <v>117211.65000000001</v>
      </c>
      <c r="H71" s="38" t="e">
        <f>#REF!</f>
        <v>#REF!</v>
      </c>
      <c r="I71" s="38" t="e">
        <f>#REF!</f>
        <v>#REF!</v>
      </c>
      <c r="J71" s="38">
        <f>马桥!Q72</f>
        <v>79296.3</v>
      </c>
      <c r="K71" s="38">
        <f>华漕!N72</f>
        <v>70407.600000000006</v>
      </c>
      <c r="L71" s="38">
        <f>颛桥!T72</f>
        <v>131621.79999999999</v>
      </c>
      <c r="M71" s="38">
        <f>虹桥!P72</f>
        <v>44684.3</v>
      </c>
      <c r="N71" s="38" t="e">
        <f t="shared" si="3"/>
        <v>#REF!</v>
      </c>
      <c r="O71" s="110">
        <v>755564.14000000013</v>
      </c>
      <c r="P71" s="53" t="e">
        <f t="shared" si="4"/>
        <v>#REF!</v>
      </c>
    </row>
    <row r="72" spans="1:16">
      <c r="N72" s="1" t="e">
        <f t="shared" ref="N72" si="5">N4/N59</f>
        <v>#REF!</v>
      </c>
    </row>
    <row r="73" spans="1:16">
      <c r="N73" s="1" t="e">
        <f>N33/N69</f>
        <v>#REF!</v>
      </c>
    </row>
  </sheetData>
  <protectedRanges>
    <protectedRange password="E9C1" sqref="D29 C30 A4:D5 B6:D28 B31:D71 A6:A71 A2:O3 E4:O71" name="区域1_1"/>
    <protectedRange password="E9C1" sqref="B29:C29 B30" name="区域1_1_1"/>
    <protectedRange password="E9C1" sqref="D30" name="区域1_2"/>
  </protectedRanges>
  <mergeCells count="1">
    <mergeCell ref="A1:O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selection sqref="A1:K1"/>
    </sheetView>
  </sheetViews>
  <sheetFormatPr defaultRowHeight="11.25"/>
  <cols>
    <col min="1" max="1" width="4.75" style="13" customWidth="1"/>
    <col min="2" max="2" width="28.75" style="1" customWidth="1"/>
    <col min="3" max="3" width="9" style="1"/>
    <col min="4" max="4" width="9" style="14"/>
    <col min="5" max="10" width="12.625" style="1" customWidth="1"/>
    <col min="11" max="16384" width="9" style="1"/>
  </cols>
  <sheetData>
    <row r="1" spans="1:11" ht="18" customHeight="1">
      <c r="A1" s="356" t="s">
        <v>827</v>
      </c>
      <c r="B1" s="357"/>
      <c r="C1" s="357"/>
      <c r="D1" s="357"/>
      <c r="E1" s="357"/>
      <c r="F1" s="357"/>
      <c r="G1" s="357"/>
      <c r="H1" s="357"/>
      <c r="I1" s="357"/>
      <c r="J1" s="357"/>
      <c r="K1" s="357"/>
    </row>
    <row r="2" spans="1:11" ht="15" customHeight="1">
      <c r="A2" s="358" t="s">
        <v>12</v>
      </c>
      <c r="B2" s="358" t="s">
        <v>13</v>
      </c>
      <c r="C2" s="358" t="s">
        <v>14</v>
      </c>
      <c r="D2" s="358" t="s">
        <v>15</v>
      </c>
      <c r="E2" s="33" t="s">
        <v>271</v>
      </c>
      <c r="F2" s="33" t="s">
        <v>264</v>
      </c>
      <c r="G2" s="33" t="s">
        <v>272</v>
      </c>
      <c r="H2" s="33" t="s">
        <v>273</v>
      </c>
      <c r="I2" s="33" t="s">
        <v>274</v>
      </c>
      <c r="J2" s="358" t="s">
        <v>17</v>
      </c>
      <c r="K2" s="358" t="s">
        <v>18</v>
      </c>
    </row>
    <row r="3" spans="1:11" ht="15" customHeight="1">
      <c r="A3" s="359"/>
      <c r="B3" s="359"/>
      <c r="C3" s="359"/>
      <c r="D3" s="359"/>
      <c r="E3" s="33" t="s">
        <v>460</v>
      </c>
      <c r="F3" s="33" t="s">
        <v>460</v>
      </c>
      <c r="G3" s="33" t="s">
        <v>460</v>
      </c>
      <c r="H3" s="33" t="s">
        <v>461</v>
      </c>
      <c r="I3" s="33" t="s">
        <v>462</v>
      </c>
      <c r="J3" s="359"/>
      <c r="K3" s="359"/>
    </row>
    <row r="4" spans="1:11" ht="15" customHeight="1">
      <c r="A4" s="35" t="s">
        <v>19</v>
      </c>
      <c r="B4" s="36" t="s">
        <v>20</v>
      </c>
      <c r="C4" s="36"/>
      <c r="D4" s="37" t="s">
        <v>21</v>
      </c>
      <c r="E4" s="38">
        <f>E5+E32+E37</f>
        <v>17619019.269999996</v>
      </c>
      <c r="F4" s="38">
        <f>F5+F32+F37</f>
        <v>9755894.75</v>
      </c>
      <c r="G4" s="38">
        <f>G5+G32+G37</f>
        <v>24250814.319999997</v>
      </c>
      <c r="H4" s="38">
        <f>H5+H32+H37</f>
        <v>2653451.42</v>
      </c>
      <c r="I4" s="38">
        <f>I5+I32+I37</f>
        <v>57531782.719999999</v>
      </c>
      <c r="J4" s="38">
        <f t="shared" ref="J4:J67" si="0">SUM(E4:I4)</f>
        <v>111810962.47999999</v>
      </c>
      <c r="K4" s="39"/>
    </row>
    <row r="5" spans="1:11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15094926.849999998</v>
      </c>
      <c r="F5" s="38">
        <f>F6+F9+F13+F16+F21+F26+F28+F30+F31</f>
        <v>8460670.2899999991</v>
      </c>
      <c r="G5" s="38">
        <f>G6+G9+G13+G16+G21+G26+G28+G30+G31</f>
        <v>20900510.849999998</v>
      </c>
      <c r="H5" s="38">
        <f>H6+H9+H13+H16+H21+H26+H28+H30+H31</f>
        <v>2281278.85</v>
      </c>
      <c r="I5" s="38">
        <f>I6+I9+I13+I16+I21+I26+I28+I30+I31</f>
        <v>47620767.850000001</v>
      </c>
      <c r="J5" s="38">
        <f t="shared" si="0"/>
        <v>94358154.689999998</v>
      </c>
      <c r="K5" s="39"/>
    </row>
    <row r="6" spans="1:11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1957440</v>
      </c>
      <c r="F6" s="38">
        <f>F7+F8</f>
        <v>1103004</v>
      </c>
      <c r="G6" s="38">
        <f>G7+G8</f>
        <v>2887752</v>
      </c>
      <c r="H6" s="38">
        <f>H7+H8</f>
        <v>320544</v>
      </c>
      <c r="I6" s="38">
        <f>I7+I8</f>
        <v>6541143</v>
      </c>
      <c r="J6" s="38">
        <f t="shared" si="0"/>
        <v>12809883</v>
      </c>
      <c r="K6" s="39"/>
    </row>
    <row r="7" spans="1:11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1198320</v>
      </c>
      <c r="F7" s="40">
        <v>691680</v>
      </c>
      <c r="G7" s="40">
        <v>1686048</v>
      </c>
      <c r="H7" s="40">
        <v>158928</v>
      </c>
      <c r="I7" s="40">
        <v>3317756</v>
      </c>
      <c r="J7" s="38">
        <f t="shared" si="0"/>
        <v>7052732</v>
      </c>
      <c r="K7" s="41"/>
    </row>
    <row r="8" spans="1:11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759120</v>
      </c>
      <c r="F8" s="40">
        <v>411324</v>
      </c>
      <c r="G8" s="40">
        <v>1201704</v>
      </c>
      <c r="H8" s="40">
        <v>161616</v>
      </c>
      <c r="I8" s="40">
        <v>3223387</v>
      </c>
      <c r="J8" s="38">
        <f t="shared" si="0"/>
        <v>5757151</v>
      </c>
      <c r="K8" s="39"/>
    </row>
    <row r="9" spans="1:11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256032</v>
      </c>
      <c r="F9" s="38">
        <f>F10+F11</f>
        <v>144084</v>
      </c>
      <c r="G9" s="38">
        <f>G10+G11</f>
        <v>347796</v>
      </c>
      <c r="H9" s="38">
        <f>H10+H11</f>
        <v>32196</v>
      </c>
      <c r="I9" s="38">
        <f>I10+I11</f>
        <v>670440</v>
      </c>
      <c r="J9" s="38">
        <f t="shared" si="0"/>
        <v>1450548</v>
      </c>
      <c r="K9" s="39"/>
    </row>
    <row r="10" spans="1:11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2592</v>
      </c>
      <c r="F10" s="40">
        <v>1524</v>
      </c>
      <c r="G10" s="40">
        <v>4596</v>
      </c>
      <c r="H10" s="40">
        <v>516</v>
      </c>
      <c r="I10" s="40">
        <v>21000</v>
      </c>
      <c r="J10" s="38">
        <f t="shared" si="0"/>
        <v>30228</v>
      </c>
      <c r="K10" s="39"/>
    </row>
    <row r="11" spans="1:11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253440</v>
      </c>
      <c r="F11" s="38">
        <f>F12</f>
        <v>142560</v>
      </c>
      <c r="G11" s="38">
        <f>G12</f>
        <v>343200</v>
      </c>
      <c r="H11" s="38">
        <f>H12</f>
        <v>31680</v>
      </c>
      <c r="I11" s="38">
        <f>I12</f>
        <v>649440</v>
      </c>
      <c r="J11" s="38">
        <f t="shared" si="0"/>
        <v>1420320</v>
      </c>
      <c r="K11" s="39"/>
    </row>
    <row r="12" spans="1:11" s="2" customFormat="1" ht="15" customHeight="1">
      <c r="A12" s="35" t="s">
        <v>37</v>
      </c>
      <c r="B12" s="42" t="s">
        <v>195</v>
      </c>
      <c r="C12" s="42" t="s">
        <v>27</v>
      </c>
      <c r="D12" s="39" t="s">
        <v>21</v>
      </c>
      <c r="E12" s="38">
        <f>440*12*E60</f>
        <v>253440</v>
      </c>
      <c r="F12" s="38">
        <f>440*12*F60</f>
        <v>142560</v>
      </c>
      <c r="G12" s="38">
        <f>440*12*G60</f>
        <v>343200</v>
      </c>
      <c r="H12" s="38">
        <f>440*12*H60</f>
        <v>31680</v>
      </c>
      <c r="I12" s="38">
        <f>440*12*I60</f>
        <v>649440</v>
      </c>
      <c r="J12" s="38">
        <f t="shared" si="0"/>
        <v>1420320</v>
      </c>
      <c r="K12" s="39"/>
    </row>
    <row r="13" spans="1:11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100330.28</v>
      </c>
      <c r="F13" s="38">
        <f>F14+F15</f>
        <v>55719.42</v>
      </c>
      <c r="G13" s="38">
        <f>G14+G15</f>
        <v>140782.28</v>
      </c>
      <c r="H13" s="38">
        <f>H14+H15</f>
        <v>15586.28</v>
      </c>
      <c r="I13" s="38">
        <f>I14+I15</f>
        <v>315142.28000000003</v>
      </c>
      <c r="J13" s="38">
        <f t="shared" si="0"/>
        <v>627560.54</v>
      </c>
      <c r="K13" s="39"/>
    </row>
    <row r="14" spans="1:11" s="2" customFormat="1" ht="15" customHeight="1">
      <c r="A14" s="35" t="s">
        <v>42</v>
      </c>
      <c r="B14" s="42" t="s">
        <v>275</v>
      </c>
      <c r="C14" s="42" t="s">
        <v>27</v>
      </c>
      <c r="D14" s="39" t="s">
        <v>43</v>
      </c>
      <c r="E14" s="38">
        <f>ROUND(E30/0.07*0.005,2)</f>
        <v>50165.14</v>
      </c>
      <c r="F14" s="38">
        <f>ROUND(F30/0.07*0.005,2)</f>
        <v>27859.71</v>
      </c>
      <c r="G14" s="38">
        <f>ROUND(G30/0.07*0.005,2)</f>
        <v>70391.14</v>
      </c>
      <c r="H14" s="38">
        <f>ROUND(H30/0.07*0.005,2)</f>
        <v>7793.14</v>
      </c>
      <c r="I14" s="38">
        <f>ROUND(I30/0.07*0.005,2)</f>
        <v>157571.14000000001</v>
      </c>
      <c r="J14" s="38">
        <f t="shared" si="0"/>
        <v>313780.27</v>
      </c>
      <c r="K14" s="39"/>
    </row>
    <row r="15" spans="1:11" s="2" customFormat="1" ht="15" customHeight="1">
      <c r="A15" s="35" t="s">
        <v>44</v>
      </c>
      <c r="B15" s="42" t="s">
        <v>196</v>
      </c>
      <c r="C15" s="42" t="s">
        <v>27</v>
      </c>
      <c r="D15" s="39" t="s">
        <v>43</v>
      </c>
      <c r="E15" s="38">
        <f>ROUND(E30/0.07*0.005,2)</f>
        <v>50165.14</v>
      </c>
      <c r="F15" s="38">
        <f>ROUND(F30/0.07*0.005,2)</f>
        <v>27859.71</v>
      </c>
      <c r="G15" s="38">
        <f>ROUND(G30/0.07*0.005,2)</f>
        <v>70391.14</v>
      </c>
      <c r="H15" s="38">
        <f>ROUND(H30/0.07*0.005,2)</f>
        <v>7793.14</v>
      </c>
      <c r="I15" s="38">
        <f>ROUND(I30/0.07*0.005,2)</f>
        <v>157571.14000000001</v>
      </c>
      <c r="J15" s="38">
        <f t="shared" si="0"/>
        <v>313780.27</v>
      </c>
      <c r="K15" s="39"/>
    </row>
    <row r="16" spans="1:11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8366592</v>
      </c>
      <c r="F16" s="38">
        <f>F17+F18+F19+F20</f>
        <v>4706208</v>
      </c>
      <c r="G16" s="38">
        <f>G17+G18+G19+G20</f>
        <v>11329760</v>
      </c>
      <c r="H16" s="38">
        <f>H17+H18+H19+H20</f>
        <v>1227156</v>
      </c>
      <c r="I16" s="38">
        <f>I17+I18+I19+I20</f>
        <v>26227782</v>
      </c>
      <c r="J16" s="38">
        <f t="shared" si="0"/>
        <v>51857498</v>
      </c>
      <c r="K16" s="39"/>
    </row>
    <row r="17" spans="1:11" ht="15" customHeight="1">
      <c r="A17" s="35" t="s">
        <v>48</v>
      </c>
      <c r="B17" s="43" t="s">
        <v>49</v>
      </c>
      <c r="C17" s="43" t="s">
        <v>27</v>
      </c>
      <c r="D17" s="44" t="s">
        <v>197</v>
      </c>
      <c r="E17" s="45">
        <v>7853488</v>
      </c>
      <c r="F17" s="45">
        <v>4544208</v>
      </c>
      <c r="G17" s="45">
        <v>10455216</v>
      </c>
      <c r="H17" s="45">
        <v>1191156</v>
      </c>
      <c r="I17" s="45">
        <v>23696676</v>
      </c>
      <c r="J17" s="38">
        <f t="shared" si="0"/>
        <v>47740744</v>
      </c>
      <c r="K17" s="44"/>
    </row>
    <row r="18" spans="1:11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225104</v>
      </c>
      <c r="F18" s="45"/>
      <c r="G18" s="45">
        <v>484544</v>
      </c>
      <c r="H18" s="45"/>
      <c r="I18" s="45">
        <v>563106</v>
      </c>
      <c r="J18" s="38">
        <f t="shared" si="0"/>
        <v>1272754</v>
      </c>
      <c r="K18" s="44"/>
    </row>
    <row r="19" spans="1:11" ht="15" customHeight="1">
      <c r="A19" s="35" t="s">
        <v>54</v>
      </c>
      <c r="B19" s="43" t="s">
        <v>198</v>
      </c>
      <c r="C19" s="43" t="s">
        <v>27</v>
      </c>
      <c r="D19" s="37" t="s">
        <v>21</v>
      </c>
      <c r="E19" s="46">
        <f>E60*500*12</f>
        <v>288000</v>
      </c>
      <c r="F19" s="46">
        <f>F60*500*12</f>
        <v>162000</v>
      </c>
      <c r="G19" s="46">
        <f>G60*500*12</f>
        <v>390000</v>
      </c>
      <c r="H19" s="46">
        <f>H60*500*12</f>
        <v>36000</v>
      </c>
      <c r="I19" s="46">
        <f>I60*500*12</f>
        <v>738000</v>
      </c>
      <c r="J19" s="38">
        <f t="shared" si="0"/>
        <v>1614000</v>
      </c>
      <c r="K19" s="44"/>
    </row>
    <row r="20" spans="1:11" ht="15" customHeight="1">
      <c r="A20" s="35" t="s">
        <v>56</v>
      </c>
      <c r="B20" s="43" t="s">
        <v>199</v>
      </c>
      <c r="C20" s="43" t="s">
        <v>27</v>
      </c>
      <c r="D20" s="37" t="s">
        <v>28</v>
      </c>
      <c r="E20" s="45"/>
      <c r="F20" s="45"/>
      <c r="G20" s="45"/>
      <c r="H20" s="45"/>
      <c r="I20" s="45">
        <v>1230000</v>
      </c>
      <c r="J20" s="38">
        <f t="shared" si="0"/>
        <v>1230000</v>
      </c>
      <c r="K20" s="44"/>
    </row>
    <row r="21" spans="1:11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1304293.71</v>
      </c>
      <c r="F21" s="46">
        <f>F22+F23</f>
        <v>724352.58</v>
      </c>
      <c r="G21" s="46">
        <f>G22+G23</f>
        <v>1830169.71</v>
      </c>
      <c r="H21" s="46">
        <f>H22+H23</f>
        <v>202621.71000000002</v>
      </c>
      <c r="I21" s="46">
        <f>I22+I23</f>
        <v>4096849.71</v>
      </c>
      <c r="J21" s="38">
        <f t="shared" si="0"/>
        <v>8158287.4199999999</v>
      </c>
      <c r="K21" s="44"/>
    </row>
    <row r="22" spans="1:11" ht="15" customHeight="1">
      <c r="A22" s="35" t="s">
        <v>60</v>
      </c>
      <c r="B22" s="36" t="s">
        <v>276</v>
      </c>
      <c r="C22" s="36" t="s">
        <v>61</v>
      </c>
      <c r="D22" s="44" t="s">
        <v>21</v>
      </c>
      <c r="E22" s="46">
        <f>ROUND(E30/0.07*0.09,2)</f>
        <v>902972.57</v>
      </c>
      <c r="F22" s="46">
        <f>ROUND(F30/0.07*0.09,2)</f>
        <v>501474.86</v>
      </c>
      <c r="G22" s="46">
        <f>ROUND(G30/0.07*0.09,2)</f>
        <v>1267040.57</v>
      </c>
      <c r="H22" s="46">
        <f>ROUND(H30/0.07*0.09,2)</f>
        <v>140276.57</v>
      </c>
      <c r="I22" s="46">
        <f>ROUND(I30/0.07*0.09,2)</f>
        <v>2836280.57</v>
      </c>
      <c r="J22" s="38">
        <f t="shared" si="0"/>
        <v>5648045.1399999997</v>
      </c>
      <c r="K22" s="44"/>
    </row>
    <row r="23" spans="1:11" ht="15" customHeight="1">
      <c r="A23" s="35" t="s">
        <v>62</v>
      </c>
      <c r="B23" s="36" t="s">
        <v>200</v>
      </c>
      <c r="C23" s="36" t="s">
        <v>61</v>
      </c>
      <c r="D23" s="44" t="s">
        <v>43</v>
      </c>
      <c r="E23" s="46">
        <f>E24+E25</f>
        <v>401321.14</v>
      </c>
      <c r="F23" s="46">
        <f>F24+F25</f>
        <v>222877.72</v>
      </c>
      <c r="G23" s="46">
        <f>G24+G25</f>
        <v>563129.14</v>
      </c>
      <c r="H23" s="46">
        <f>H24+H25</f>
        <v>62345.14</v>
      </c>
      <c r="I23" s="46">
        <f>I24+I25</f>
        <v>1260569.1399999999</v>
      </c>
      <c r="J23" s="38">
        <f t="shared" si="0"/>
        <v>2510242.2799999998</v>
      </c>
      <c r="K23" s="44"/>
    </row>
    <row r="24" spans="1:11" ht="15" customHeight="1">
      <c r="A24" s="35" t="s">
        <v>64</v>
      </c>
      <c r="B24" s="36" t="s">
        <v>277</v>
      </c>
      <c r="C24" s="36" t="s">
        <v>61</v>
      </c>
      <c r="D24" s="44" t="s">
        <v>43</v>
      </c>
      <c r="E24" s="46">
        <f>ROUND(E30/0.07*0.02,2)</f>
        <v>200660.57</v>
      </c>
      <c r="F24" s="46">
        <f>ROUND(F30/0.07*0.02,2)</f>
        <v>111438.86</v>
      </c>
      <c r="G24" s="46">
        <f>ROUND(G30/0.07*0.02,2)</f>
        <v>281564.57</v>
      </c>
      <c r="H24" s="46">
        <f>ROUND(H30/0.07*0.02,2)</f>
        <v>31172.57</v>
      </c>
      <c r="I24" s="46">
        <f>ROUND(I30/0.07*0.02,2)</f>
        <v>630284.56999999995</v>
      </c>
      <c r="J24" s="38">
        <f t="shared" si="0"/>
        <v>1255121.1399999999</v>
      </c>
      <c r="K24" s="44"/>
    </row>
    <row r="25" spans="1:11" ht="15" customHeight="1">
      <c r="A25" s="35" t="s">
        <v>65</v>
      </c>
      <c r="B25" s="36" t="s">
        <v>278</v>
      </c>
      <c r="C25" s="36" t="s">
        <v>61</v>
      </c>
      <c r="D25" s="44" t="s">
        <v>43</v>
      </c>
      <c r="E25" s="46">
        <f>ROUND(E30/0.07*0.02,2)</f>
        <v>200660.57</v>
      </c>
      <c r="F25" s="46">
        <f>ROUND(F30/0.07*0.02,2)</f>
        <v>111438.86</v>
      </c>
      <c r="G25" s="46">
        <f>ROUND(G30/0.07*0.02,2)</f>
        <v>281564.57</v>
      </c>
      <c r="H25" s="46">
        <f>ROUND(H30/0.07*0.02,2)</f>
        <v>31172.57</v>
      </c>
      <c r="I25" s="46">
        <f>ROUND(I30/0.07*0.02,2)</f>
        <v>630284.56999999995</v>
      </c>
      <c r="J25" s="38">
        <f t="shared" si="0"/>
        <v>1255121.1399999999</v>
      </c>
      <c r="K25" s="44"/>
    </row>
    <row r="26" spans="1:11" ht="15" customHeight="1">
      <c r="A26" s="35" t="s">
        <v>66</v>
      </c>
      <c r="B26" s="36" t="s">
        <v>67</v>
      </c>
      <c r="C26" s="36"/>
      <c r="D26" s="37" t="s">
        <v>21</v>
      </c>
      <c r="E26" s="38">
        <f>E27</f>
        <v>1605284.57</v>
      </c>
      <c r="F26" s="38">
        <f>F27</f>
        <v>891510.86</v>
      </c>
      <c r="G26" s="38">
        <f>G27</f>
        <v>2252516.5699999998</v>
      </c>
      <c r="H26" s="38">
        <f>H27</f>
        <v>249380.57</v>
      </c>
      <c r="I26" s="38">
        <f>I27</f>
        <v>5042276.57</v>
      </c>
      <c r="J26" s="38">
        <f t="shared" si="0"/>
        <v>10040969.140000001</v>
      </c>
      <c r="K26" s="39"/>
    </row>
    <row r="27" spans="1:11" s="2" customFormat="1" ht="15" customHeight="1">
      <c r="A27" s="35" t="s">
        <v>68</v>
      </c>
      <c r="B27" s="42" t="s">
        <v>201</v>
      </c>
      <c r="C27" s="42" t="s">
        <v>70</v>
      </c>
      <c r="D27" s="39" t="s">
        <v>43</v>
      </c>
      <c r="E27" s="38">
        <f>ROUND(E30/0.07*0.16,2)</f>
        <v>1605284.57</v>
      </c>
      <c r="F27" s="38">
        <f>ROUND(F30/0.07*0.16,2)</f>
        <v>891510.86</v>
      </c>
      <c r="G27" s="38">
        <f>ROUND(G30/0.07*0.16,2)</f>
        <v>2252516.5699999998</v>
      </c>
      <c r="H27" s="38">
        <f>ROUND(H30/0.07*0.16,2)</f>
        <v>249380.57</v>
      </c>
      <c r="I27" s="38">
        <f>ROUND(I30/0.07*0.16,2)</f>
        <v>5042276.57</v>
      </c>
      <c r="J27" s="38">
        <f t="shared" si="0"/>
        <v>10040969.140000001</v>
      </c>
      <c r="K27" s="39"/>
    </row>
    <row r="28" spans="1:11" ht="15" customHeight="1">
      <c r="A28" s="35" t="s">
        <v>71</v>
      </c>
      <c r="B28" s="36" t="s">
        <v>72</v>
      </c>
      <c r="C28" s="36"/>
      <c r="D28" s="37" t="s">
        <v>21</v>
      </c>
      <c r="E28" s="38">
        <f>E29</f>
        <v>802642.29</v>
      </c>
      <c r="F28" s="38">
        <f>F29</f>
        <v>445755.43</v>
      </c>
      <c r="G28" s="38">
        <f>G29</f>
        <v>1126258.29</v>
      </c>
      <c r="H28" s="38">
        <f>H29</f>
        <v>124690.29</v>
      </c>
      <c r="I28" s="38">
        <f>I29</f>
        <v>2521138.29</v>
      </c>
      <c r="J28" s="38">
        <f t="shared" si="0"/>
        <v>5020484.59</v>
      </c>
      <c r="K28" s="39"/>
    </row>
    <row r="29" spans="1:11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802642.29</v>
      </c>
      <c r="F29" s="38">
        <f>ROUND(F30/0.07*0.08,2)</f>
        <v>445755.43</v>
      </c>
      <c r="G29" s="38">
        <f>ROUND(G30/0.07*0.08,2)</f>
        <v>1126258.29</v>
      </c>
      <c r="H29" s="38">
        <f>ROUND(H30/0.07*0.08,2)</f>
        <v>124690.29</v>
      </c>
      <c r="I29" s="38">
        <f>ROUND(I30/0.07*0.08,2)</f>
        <v>2521138.29</v>
      </c>
      <c r="J29" s="38">
        <f t="shared" si="0"/>
        <v>5020484.59</v>
      </c>
      <c r="K29" s="39"/>
    </row>
    <row r="30" spans="1:11" ht="15" customHeight="1">
      <c r="A30" s="35" t="s">
        <v>76</v>
      </c>
      <c r="B30" s="36" t="s">
        <v>202</v>
      </c>
      <c r="C30" s="36" t="s">
        <v>78</v>
      </c>
      <c r="D30" s="37" t="s">
        <v>28</v>
      </c>
      <c r="E30" s="45">
        <v>702312</v>
      </c>
      <c r="F30" s="45">
        <v>390036</v>
      </c>
      <c r="G30" s="45">
        <v>985476</v>
      </c>
      <c r="H30" s="45">
        <v>109104</v>
      </c>
      <c r="I30" s="45">
        <v>2205996</v>
      </c>
      <c r="J30" s="38">
        <f t="shared" si="0"/>
        <v>4392924</v>
      </c>
      <c r="K30" s="44"/>
    </row>
    <row r="31" spans="1:11" ht="15" customHeight="1">
      <c r="A31" s="35" t="s">
        <v>80</v>
      </c>
      <c r="B31" s="36" t="s">
        <v>203</v>
      </c>
      <c r="C31" s="43" t="s">
        <v>27</v>
      </c>
      <c r="D31" s="39" t="s">
        <v>204</v>
      </c>
      <c r="E31" s="45">
        <v>0</v>
      </c>
      <c r="F31" s="45"/>
      <c r="G31" s="45"/>
      <c r="H31" s="45"/>
      <c r="I31" s="45"/>
      <c r="J31" s="38">
        <f t="shared" si="0"/>
        <v>0</v>
      </c>
      <c r="K31" s="44"/>
    </row>
    <row r="32" spans="1:11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15540</v>
      </c>
      <c r="F32" s="38">
        <f>F33+F35</f>
        <v>1440</v>
      </c>
      <c r="G32" s="38">
        <f>G33+G35</f>
        <v>237240</v>
      </c>
      <c r="H32" s="38">
        <f>H33+H35</f>
        <v>55620</v>
      </c>
      <c r="I32" s="38">
        <f>I33+I35</f>
        <v>1753960</v>
      </c>
      <c r="J32" s="38">
        <f t="shared" si="0"/>
        <v>2063800</v>
      </c>
      <c r="K32" s="39"/>
    </row>
    <row r="33" spans="1:11" ht="15" customHeight="1">
      <c r="A33" s="35" t="s">
        <v>85</v>
      </c>
      <c r="B33" s="36" t="s">
        <v>205</v>
      </c>
      <c r="C33" s="36" t="s">
        <v>87</v>
      </c>
      <c r="D33" s="44" t="s">
        <v>206</v>
      </c>
      <c r="E33" s="46">
        <f>E34</f>
        <v>13020</v>
      </c>
      <c r="F33" s="46">
        <f>F34</f>
        <v>0</v>
      </c>
      <c r="G33" s="46">
        <f>G34</f>
        <v>233280</v>
      </c>
      <c r="H33" s="46">
        <f>H34</f>
        <v>55620</v>
      </c>
      <c r="I33" s="46">
        <f>I34</f>
        <v>1750000</v>
      </c>
      <c r="J33" s="38">
        <f t="shared" si="0"/>
        <v>2051920</v>
      </c>
      <c r="K33" s="44"/>
    </row>
    <row r="34" spans="1:11" ht="15" customHeight="1">
      <c r="A34" s="35" t="s">
        <v>89</v>
      </c>
      <c r="B34" s="36" t="s">
        <v>207</v>
      </c>
      <c r="C34" s="36" t="s">
        <v>87</v>
      </c>
      <c r="D34" s="44" t="s">
        <v>206</v>
      </c>
      <c r="E34" s="40">
        <v>13020</v>
      </c>
      <c r="F34" s="40"/>
      <c r="G34" s="40">
        <v>233280</v>
      </c>
      <c r="H34" s="40">
        <v>55620</v>
      </c>
      <c r="I34" s="40">
        <v>1750000</v>
      </c>
      <c r="J34" s="38">
        <f t="shared" si="0"/>
        <v>2051920</v>
      </c>
      <c r="K34" s="39"/>
    </row>
    <row r="35" spans="1:11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2520</v>
      </c>
      <c r="F35" s="38">
        <f>F36</f>
        <v>1440</v>
      </c>
      <c r="G35" s="38">
        <f>G36</f>
        <v>3960</v>
      </c>
      <c r="H35" s="38">
        <f>H36</f>
        <v>0</v>
      </c>
      <c r="I35" s="38">
        <f>I36</f>
        <v>3960</v>
      </c>
      <c r="J35" s="38">
        <f t="shared" si="0"/>
        <v>11880</v>
      </c>
      <c r="K35" s="39"/>
    </row>
    <row r="36" spans="1:11" ht="1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2520</v>
      </c>
      <c r="F36" s="40">
        <v>1440</v>
      </c>
      <c r="G36" s="40">
        <v>3960</v>
      </c>
      <c r="H36" s="40"/>
      <c r="I36" s="40">
        <v>3960</v>
      </c>
      <c r="J36" s="38">
        <f t="shared" si="0"/>
        <v>11880</v>
      </c>
      <c r="K36" s="39"/>
    </row>
    <row r="37" spans="1:11" ht="1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2508552.42</v>
      </c>
      <c r="F37" s="38">
        <f>F38+F40+F42+F44+F46+F49+F51+F53+F55+F57</f>
        <v>1293784.4600000002</v>
      </c>
      <c r="G37" s="38">
        <f>G38+G40+G42+G44+G46+G49+G51+G53+G55+G57</f>
        <v>3113063.4699999997</v>
      </c>
      <c r="H37" s="38">
        <f>H38+H40+H42+H44+H46+H49+H51+H53+H55+H57</f>
        <v>316552.57</v>
      </c>
      <c r="I37" s="38">
        <f>I38+I40+I42+I44+I46+I49+I51+I53+I55+I57</f>
        <v>8157054.8700000001</v>
      </c>
      <c r="J37" s="38">
        <f t="shared" si="0"/>
        <v>15389007.789999999</v>
      </c>
      <c r="K37" s="39"/>
    </row>
    <row r="38" spans="1:11" ht="15" customHeight="1">
      <c r="A38" s="35" t="s">
        <v>96</v>
      </c>
      <c r="B38" s="36" t="s">
        <v>100</v>
      </c>
      <c r="C38" s="36"/>
      <c r="D38" s="37" t="s">
        <v>101</v>
      </c>
      <c r="E38" s="40">
        <v>1910480</v>
      </c>
      <c r="F38" s="40">
        <v>858000</v>
      </c>
      <c r="G38" s="40">
        <v>2255000</v>
      </c>
      <c r="H38" s="40">
        <v>134400</v>
      </c>
      <c r="I38" s="40">
        <v>5913680</v>
      </c>
      <c r="J38" s="38">
        <f t="shared" si="0"/>
        <v>11071560</v>
      </c>
      <c r="K38" s="39"/>
    </row>
    <row r="39" spans="1:11" ht="15" customHeight="1">
      <c r="A39" s="35" t="s">
        <v>97</v>
      </c>
      <c r="B39" s="36" t="s">
        <v>208</v>
      </c>
      <c r="C39" s="36" t="s">
        <v>27</v>
      </c>
      <c r="D39" s="47" t="s">
        <v>209</v>
      </c>
      <c r="E39" s="40">
        <v>69498</v>
      </c>
      <c r="F39" s="40">
        <v>35178</v>
      </c>
      <c r="G39" s="40">
        <v>86204</v>
      </c>
      <c r="H39" s="40">
        <v>6720</v>
      </c>
      <c r="I39" s="40">
        <v>295684</v>
      </c>
      <c r="J39" s="38">
        <f t="shared" si="0"/>
        <v>493284</v>
      </c>
      <c r="K39" s="39"/>
    </row>
    <row r="40" spans="1:11" ht="15" customHeight="1">
      <c r="A40" s="35" t="s">
        <v>99</v>
      </c>
      <c r="B40" s="36" t="s">
        <v>107</v>
      </c>
      <c r="C40" s="36"/>
      <c r="D40" s="37"/>
      <c r="E40" s="38">
        <f>E41</f>
        <v>19200</v>
      </c>
      <c r="F40" s="38">
        <f>F41</f>
        <v>10800</v>
      </c>
      <c r="G40" s="38">
        <f>G41</f>
        <v>26000</v>
      </c>
      <c r="H40" s="38">
        <f>H41</f>
        <v>2400</v>
      </c>
      <c r="I40" s="38">
        <f>I41</f>
        <v>49200</v>
      </c>
      <c r="J40" s="38">
        <f t="shared" si="0"/>
        <v>107600</v>
      </c>
      <c r="K40" s="39"/>
    </row>
    <row r="41" spans="1:11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19200</v>
      </c>
      <c r="F41" s="38">
        <f>F60*400</f>
        <v>10800</v>
      </c>
      <c r="G41" s="38">
        <f>G60*400</f>
        <v>26000</v>
      </c>
      <c r="H41" s="38">
        <f>H60*400</f>
        <v>2400</v>
      </c>
      <c r="I41" s="38">
        <f>I60*400</f>
        <v>49200</v>
      </c>
      <c r="J41" s="38">
        <f t="shared" si="0"/>
        <v>107600</v>
      </c>
      <c r="K41" s="39"/>
    </row>
    <row r="42" spans="1:11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102155.85</v>
      </c>
      <c r="F42" s="38">
        <f>F43</f>
        <v>133521.60000000001</v>
      </c>
      <c r="G42" s="38">
        <f>G43</f>
        <v>133698.9</v>
      </c>
      <c r="H42" s="38">
        <f>H43</f>
        <v>54900</v>
      </c>
      <c r="I42" s="38">
        <f>I43</f>
        <v>424758.30000000005</v>
      </c>
      <c r="J42" s="38">
        <f t="shared" si="0"/>
        <v>849034.65</v>
      </c>
      <c r="K42" s="39"/>
    </row>
    <row r="43" spans="1:11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102155.85</v>
      </c>
      <c r="F43" s="38">
        <f>F71*15</f>
        <v>133521.60000000001</v>
      </c>
      <c r="G43" s="38">
        <f>G71*15</f>
        <v>133698.9</v>
      </c>
      <c r="H43" s="38">
        <f>H71*15</f>
        <v>54900</v>
      </c>
      <c r="I43" s="38">
        <f>I71*15</f>
        <v>424758.30000000005</v>
      </c>
      <c r="J43" s="38">
        <f t="shared" si="0"/>
        <v>849034.65</v>
      </c>
      <c r="K43" s="39"/>
    </row>
    <row r="44" spans="1:11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26976</v>
      </c>
      <c r="F44" s="38">
        <f>F45</f>
        <v>28984</v>
      </c>
      <c r="G44" s="38">
        <f>G45</f>
        <v>26120</v>
      </c>
      <c r="H44" s="38">
        <f>H45</f>
        <v>21600</v>
      </c>
      <c r="I44" s="38">
        <f>I45</f>
        <v>119152</v>
      </c>
      <c r="J44" s="38">
        <f t="shared" si="0"/>
        <v>222832</v>
      </c>
      <c r="K44" s="39"/>
    </row>
    <row r="45" spans="1:11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26976</v>
      </c>
      <c r="F45" s="38">
        <f>F72*8</f>
        <v>28984</v>
      </c>
      <c r="G45" s="38">
        <f>G72*8</f>
        <v>26120</v>
      </c>
      <c r="H45" s="38">
        <f>H72*8</f>
        <v>21600</v>
      </c>
      <c r="I45" s="38">
        <f>I72*8</f>
        <v>119152</v>
      </c>
      <c r="J45" s="38">
        <f t="shared" si="0"/>
        <v>222832</v>
      </c>
      <c r="K45" s="39"/>
    </row>
    <row r="46" spans="1:11" ht="15" customHeight="1">
      <c r="A46" s="35" t="s">
        <v>116</v>
      </c>
      <c r="B46" s="36" t="s">
        <v>210</v>
      </c>
      <c r="C46" s="36"/>
      <c r="D46" s="37" t="s">
        <v>21</v>
      </c>
      <c r="E46" s="38">
        <f>E47+E48</f>
        <v>211680</v>
      </c>
      <c r="F46" s="38">
        <f>F47+F48</f>
        <v>116640</v>
      </c>
      <c r="G46" s="38">
        <f>G47+G48</f>
        <v>341280</v>
      </c>
      <c r="H46" s="38">
        <f>H47+H48</f>
        <v>38880</v>
      </c>
      <c r="I46" s="38">
        <f>I47+I48</f>
        <v>946080</v>
      </c>
      <c r="J46" s="38">
        <f t="shared" si="0"/>
        <v>1654560</v>
      </c>
      <c r="K46" s="39"/>
    </row>
    <row r="47" spans="1:11" s="2" customFormat="1" ht="15" customHeight="1">
      <c r="A47" s="35" t="s">
        <v>118</v>
      </c>
      <c r="B47" s="42" t="s">
        <v>211</v>
      </c>
      <c r="C47" s="42" t="s">
        <v>27</v>
      </c>
      <c r="D47" s="48" t="s">
        <v>124</v>
      </c>
      <c r="E47" s="38">
        <f>E60*4320</f>
        <v>207360</v>
      </c>
      <c r="F47" s="38">
        <f>F60*4320</f>
        <v>116640</v>
      </c>
      <c r="G47" s="38">
        <f>G60*4320</f>
        <v>280800</v>
      </c>
      <c r="H47" s="38">
        <f>H60*4320</f>
        <v>25920</v>
      </c>
      <c r="I47" s="38">
        <f>I60*4320</f>
        <v>531360</v>
      </c>
      <c r="J47" s="38">
        <f t="shared" si="0"/>
        <v>1162080</v>
      </c>
      <c r="K47" s="39"/>
    </row>
    <row r="48" spans="1:11" s="2" customFormat="1" ht="15" customHeight="1">
      <c r="A48" s="35" t="s">
        <v>121</v>
      </c>
      <c r="B48" s="42" t="s">
        <v>212</v>
      </c>
      <c r="C48" s="42" t="s">
        <v>27</v>
      </c>
      <c r="D48" s="48" t="s">
        <v>213</v>
      </c>
      <c r="E48" s="38">
        <f>E70*4320</f>
        <v>4320</v>
      </c>
      <c r="F48" s="38">
        <f>F70*4320</f>
        <v>0</v>
      </c>
      <c r="G48" s="38">
        <f>G70*4320</f>
        <v>60480</v>
      </c>
      <c r="H48" s="38">
        <f>H70*4320</f>
        <v>12960</v>
      </c>
      <c r="I48" s="38">
        <f>I70*4320</f>
        <v>414720</v>
      </c>
      <c r="J48" s="38">
        <f t="shared" si="0"/>
        <v>492480</v>
      </c>
      <c r="K48" s="39"/>
    </row>
    <row r="49" spans="1:11" ht="15" customHeight="1">
      <c r="A49" s="35" t="s">
        <v>123</v>
      </c>
      <c r="B49" s="36" t="s">
        <v>214</v>
      </c>
      <c r="C49" s="36"/>
      <c r="D49" s="37" t="s">
        <v>21</v>
      </c>
      <c r="E49" s="38">
        <f>E50</f>
        <v>200660.57</v>
      </c>
      <c r="F49" s="38">
        <f>F50</f>
        <v>111438.86</v>
      </c>
      <c r="G49" s="38">
        <f>G50</f>
        <v>281564.57</v>
      </c>
      <c r="H49" s="38">
        <f>H50</f>
        <v>31172.57</v>
      </c>
      <c r="I49" s="38">
        <f>I50</f>
        <v>630284.56999999995</v>
      </c>
      <c r="J49" s="38">
        <f t="shared" si="0"/>
        <v>1255121.1399999999</v>
      </c>
      <c r="K49" s="39"/>
    </row>
    <row r="50" spans="1:11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200660.57</v>
      </c>
      <c r="F50" s="38">
        <f>ROUND(F30/0.07*0.02,2)</f>
        <v>111438.86</v>
      </c>
      <c r="G50" s="38">
        <f>ROUND(G30/0.07*0.02,2)</f>
        <v>281564.57</v>
      </c>
      <c r="H50" s="38">
        <f>ROUND(H30/0.07*0.02,2)</f>
        <v>31172.57</v>
      </c>
      <c r="I50" s="38">
        <f>ROUND(I30/0.07*0.02,2)</f>
        <v>630284.56999999995</v>
      </c>
      <c r="J50" s="38">
        <f t="shared" si="0"/>
        <v>1255121.1399999999</v>
      </c>
      <c r="K50" s="39"/>
    </row>
    <row r="51" spans="1:11" ht="15" customHeight="1">
      <c r="A51" s="35" t="s">
        <v>126</v>
      </c>
      <c r="B51" s="36" t="s">
        <v>215</v>
      </c>
      <c r="C51" s="36"/>
      <c r="D51" s="37" t="s">
        <v>21</v>
      </c>
      <c r="E51" s="38">
        <f>E52</f>
        <v>0</v>
      </c>
      <c r="F51" s="38">
        <f>F52</f>
        <v>0</v>
      </c>
      <c r="G51" s="38">
        <f>G52</f>
        <v>32000</v>
      </c>
      <c r="H51" s="38">
        <f>H52</f>
        <v>0</v>
      </c>
      <c r="I51" s="38">
        <f>I52</f>
        <v>32000</v>
      </c>
      <c r="J51" s="38">
        <f t="shared" si="0"/>
        <v>64000</v>
      </c>
      <c r="K51" s="39"/>
    </row>
    <row r="52" spans="1:11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40"/>
      <c r="G52" s="40">
        <v>32000</v>
      </c>
      <c r="H52" s="40"/>
      <c r="I52" s="40">
        <v>32000</v>
      </c>
      <c r="J52" s="38">
        <f t="shared" si="0"/>
        <v>64000</v>
      </c>
      <c r="K52" s="39"/>
    </row>
    <row r="53" spans="1:11" ht="15" customHeight="1">
      <c r="A53" s="35" t="s">
        <v>130</v>
      </c>
      <c r="B53" s="36" t="s">
        <v>279</v>
      </c>
      <c r="C53" s="36"/>
      <c r="D53" s="37" t="s">
        <v>21</v>
      </c>
      <c r="E53" s="38">
        <f>E54</f>
        <v>400</v>
      </c>
      <c r="F53" s="38">
        <f>F54</f>
        <v>0</v>
      </c>
      <c r="G53" s="38">
        <f>G54</f>
        <v>5600</v>
      </c>
      <c r="H53" s="38">
        <f>H54</f>
        <v>1200</v>
      </c>
      <c r="I53" s="38">
        <f>I54</f>
        <v>38400</v>
      </c>
      <c r="J53" s="38">
        <f t="shared" si="0"/>
        <v>45600</v>
      </c>
      <c r="K53" s="39"/>
    </row>
    <row r="54" spans="1:11" s="2" customFormat="1" ht="15" customHeight="1">
      <c r="A54" s="35" t="s">
        <v>131</v>
      </c>
      <c r="B54" s="42" t="s">
        <v>280</v>
      </c>
      <c r="C54" s="42" t="s">
        <v>27</v>
      </c>
      <c r="D54" s="48" t="s">
        <v>216</v>
      </c>
      <c r="E54" s="38">
        <f>E70*400</f>
        <v>400</v>
      </c>
      <c r="F54" s="38">
        <f>F70*400</f>
        <v>0</v>
      </c>
      <c r="G54" s="38">
        <f>G70*400</f>
        <v>5600</v>
      </c>
      <c r="H54" s="38">
        <f>H70*400</f>
        <v>1200</v>
      </c>
      <c r="I54" s="38">
        <f>I70*400</f>
        <v>38400</v>
      </c>
      <c r="J54" s="38">
        <f t="shared" si="0"/>
        <v>45600</v>
      </c>
      <c r="K54" s="39"/>
    </row>
    <row r="55" spans="1:11" s="2" customFormat="1" ht="15" customHeight="1">
      <c r="A55" s="35" t="s">
        <v>134</v>
      </c>
      <c r="B55" s="36" t="s">
        <v>281</v>
      </c>
      <c r="C55" s="42"/>
      <c r="D55" s="48"/>
      <c r="E55" s="38">
        <f>E56</f>
        <v>5000</v>
      </c>
      <c r="F55" s="38">
        <f>F56</f>
        <v>2400</v>
      </c>
      <c r="G55" s="38">
        <f>G56</f>
        <v>1800</v>
      </c>
      <c r="H55" s="38">
        <f>H56</f>
        <v>0</v>
      </c>
      <c r="I55" s="38">
        <f>I56</f>
        <v>3500</v>
      </c>
      <c r="J55" s="38">
        <f t="shared" si="0"/>
        <v>12700</v>
      </c>
      <c r="K55" s="39"/>
    </row>
    <row r="56" spans="1:11" ht="1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5000</v>
      </c>
      <c r="F56" s="49">
        <v>2400</v>
      </c>
      <c r="G56" s="49">
        <v>1800</v>
      </c>
      <c r="H56" s="49"/>
      <c r="I56" s="49">
        <v>3500</v>
      </c>
      <c r="J56" s="38">
        <f t="shared" si="0"/>
        <v>12700</v>
      </c>
      <c r="K56" s="44"/>
    </row>
    <row r="57" spans="1:11" ht="1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32000</v>
      </c>
      <c r="F57" s="38">
        <f>F58</f>
        <v>32000</v>
      </c>
      <c r="G57" s="38">
        <f>G58</f>
        <v>10000</v>
      </c>
      <c r="H57" s="38">
        <f>H58</f>
        <v>32000</v>
      </c>
      <c r="I57" s="38">
        <f>I58</f>
        <v>0</v>
      </c>
      <c r="J57" s="38">
        <f t="shared" si="0"/>
        <v>106000</v>
      </c>
      <c r="K57" s="39"/>
    </row>
    <row r="58" spans="1:11" ht="15" customHeight="1" thickBot="1">
      <c r="A58" s="35" t="s">
        <v>139</v>
      </c>
      <c r="B58" s="4" t="s">
        <v>284</v>
      </c>
      <c r="C58" s="36" t="s">
        <v>27</v>
      </c>
      <c r="D58" s="5" t="s">
        <v>217</v>
      </c>
      <c r="E58" s="6">
        <v>32000</v>
      </c>
      <c r="F58" s="6">
        <v>32000</v>
      </c>
      <c r="G58" s="6">
        <v>10000</v>
      </c>
      <c r="H58" s="6">
        <v>32000</v>
      </c>
      <c r="I58" s="6"/>
      <c r="J58" s="38">
        <f t="shared" si="0"/>
        <v>106000</v>
      </c>
      <c r="K58" s="8"/>
    </row>
    <row r="59" spans="1:11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38">
        <f t="shared" si="0"/>
        <v>0</v>
      </c>
      <c r="K59" s="12"/>
    </row>
    <row r="60" spans="1:11" ht="15" customHeight="1">
      <c r="A60" s="35" t="s">
        <v>142</v>
      </c>
      <c r="B60" s="36" t="s">
        <v>147</v>
      </c>
      <c r="C60" s="36"/>
      <c r="D60" s="37" t="s">
        <v>285</v>
      </c>
      <c r="E60" s="38">
        <f>E61+E62+E63+E64</f>
        <v>48</v>
      </c>
      <c r="F60" s="38">
        <f>F61+F62+F63+F64</f>
        <v>27</v>
      </c>
      <c r="G60" s="38">
        <f>G61+G62+G63+G64</f>
        <v>65</v>
      </c>
      <c r="H60" s="38">
        <f>H61+H62+H63+H64</f>
        <v>6</v>
      </c>
      <c r="I60" s="38">
        <f>I61+I62+I63+I64</f>
        <v>123</v>
      </c>
      <c r="J60" s="38">
        <f t="shared" si="0"/>
        <v>269</v>
      </c>
      <c r="K60" s="39"/>
    </row>
    <row r="61" spans="1:11" ht="15" customHeight="1">
      <c r="A61" s="35" t="s">
        <v>144</v>
      </c>
      <c r="B61" s="50" t="s">
        <v>149</v>
      </c>
      <c r="C61" s="50"/>
      <c r="D61" s="44"/>
      <c r="E61" s="45"/>
      <c r="F61" s="45"/>
      <c r="G61" s="45"/>
      <c r="H61" s="45"/>
      <c r="I61" s="45">
        <v>61</v>
      </c>
      <c r="J61" s="38">
        <f t="shared" si="0"/>
        <v>61</v>
      </c>
      <c r="K61" s="39"/>
    </row>
    <row r="62" spans="1:11" ht="15" customHeight="1">
      <c r="A62" s="35" t="s">
        <v>146</v>
      </c>
      <c r="B62" s="50" t="s">
        <v>151</v>
      </c>
      <c r="C62" s="50"/>
      <c r="D62" s="37"/>
      <c r="E62" s="40"/>
      <c r="F62" s="40"/>
      <c r="G62" s="40"/>
      <c r="H62" s="40"/>
      <c r="I62" s="40">
        <v>62</v>
      </c>
      <c r="J62" s="38">
        <f t="shared" si="0"/>
        <v>62</v>
      </c>
      <c r="K62" s="39"/>
    </row>
    <row r="63" spans="1:11" ht="15" customHeight="1">
      <c r="A63" s="35" t="s">
        <v>148</v>
      </c>
      <c r="B63" s="50" t="s">
        <v>153</v>
      </c>
      <c r="C63" s="50"/>
      <c r="D63" s="44"/>
      <c r="E63" s="45">
        <v>48</v>
      </c>
      <c r="F63" s="45">
        <v>27</v>
      </c>
      <c r="G63" s="45">
        <v>65</v>
      </c>
      <c r="H63" s="45"/>
      <c r="I63" s="45"/>
      <c r="J63" s="38">
        <f t="shared" si="0"/>
        <v>140</v>
      </c>
      <c r="K63" s="39"/>
    </row>
    <row r="64" spans="1:11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>
        <v>6</v>
      </c>
      <c r="I64" s="45"/>
      <c r="J64" s="38">
        <f t="shared" si="0"/>
        <v>6</v>
      </c>
      <c r="K64" s="39"/>
    </row>
    <row r="65" spans="1:11" ht="15" customHeight="1">
      <c r="A65" s="35" t="s">
        <v>152</v>
      </c>
      <c r="B65" s="36" t="s">
        <v>157</v>
      </c>
      <c r="C65" s="36"/>
      <c r="D65" s="37" t="s">
        <v>286</v>
      </c>
      <c r="E65" s="38">
        <f>E66+E67+E68+E69</f>
        <v>486</v>
      </c>
      <c r="F65" s="38">
        <f>F66+F67+F68+F69</f>
        <v>246</v>
      </c>
      <c r="G65" s="38">
        <f>G66+G67+G68+G69</f>
        <v>568</v>
      </c>
      <c r="H65" s="38">
        <f>H66+H67+H68+H69</f>
        <v>0</v>
      </c>
      <c r="I65" s="38">
        <f>I66+I67+I68+I69</f>
        <v>1672</v>
      </c>
      <c r="J65" s="38">
        <f t="shared" si="0"/>
        <v>2972</v>
      </c>
      <c r="K65" s="39"/>
    </row>
    <row r="66" spans="1:11" ht="15" customHeight="1">
      <c r="A66" s="35" t="s">
        <v>154</v>
      </c>
      <c r="B66" s="50" t="s">
        <v>149</v>
      </c>
      <c r="C66" s="50"/>
      <c r="D66" s="44"/>
      <c r="E66" s="45"/>
      <c r="F66" s="45"/>
      <c r="G66" s="45"/>
      <c r="H66" s="45"/>
      <c r="I66" s="45">
        <v>854</v>
      </c>
      <c r="J66" s="38">
        <f t="shared" si="0"/>
        <v>854</v>
      </c>
      <c r="K66" s="39"/>
    </row>
    <row r="67" spans="1:11" ht="15" customHeight="1">
      <c r="A67" s="35" t="s">
        <v>156</v>
      </c>
      <c r="B67" s="50" t="s">
        <v>151</v>
      </c>
      <c r="C67" s="50"/>
      <c r="D67" s="37"/>
      <c r="E67" s="40"/>
      <c r="F67" s="40"/>
      <c r="G67" s="40"/>
      <c r="H67" s="40"/>
      <c r="I67" s="40">
        <v>818</v>
      </c>
      <c r="J67" s="38">
        <f t="shared" si="0"/>
        <v>818</v>
      </c>
      <c r="K67" s="39"/>
    </row>
    <row r="68" spans="1:11" ht="15" customHeight="1">
      <c r="A68" s="35" t="s">
        <v>158</v>
      </c>
      <c r="B68" s="50" t="s">
        <v>153</v>
      </c>
      <c r="C68" s="50"/>
      <c r="D68" s="44"/>
      <c r="E68" s="45">
        <v>486</v>
      </c>
      <c r="F68" s="45">
        <v>246</v>
      </c>
      <c r="G68" s="45">
        <v>568</v>
      </c>
      <c r="H68" s="45"/>
      <c r="I68" s="45"/>
      <c r="J68" s="38">
        <f t="shared" ref="J68:J72" si="1">SUM(E68:I68)</f>
        <v>1300</v>
      </c>
      <c r="K68" s="39"/>
    </row>
    <row r="69" spans="1:11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38">
        <f t="shared" si="1"/>
        <v>0</v>
      </c>
      <c r="K69" s="39"/>
    </row>
    <row r="70" spans="1:11" ht="15" customHeight="1">
      <c r="A70" s="35" t="s">
        <v>160</v>
      </c>
      <c r="B70" s="36" t="s">
        <v>218</v>
      </c>
      <c r="C70" s="36"/>
      <c r="D70" s="37"/>
      <c r="E70" s="40">
        <v>1</v>
      </c>
      <c r="F70" s="40"/>
      <c r="G70" s="40">
        <v>14</v>
      </c>
      <c r="H70" s="40">
        <v>3</v>
      </c>
      <c r="I70" s="40">
        <v>96</v>
      </c>
      <c r="J70" s="38">
        <f t="shared" si="1"/>
        <v>114</v>
      </c>
      <c r="K70" s="39"/>
    </row>
    <row r="71" spans="1:11" ht="15" customHeight="1">
      <c r="A71" s="35" t="s">
        <v>161</v>
      </c>
      <c r="B71" s="50" t="s">
        <v>219</v>
      </c>
      <c r="C71" s="50"/>
      <c r="D71" s="47"/>
      <c r="E71" s="40">
        <v>6810.39</v>
      </c>
      <c r="F71" s="40">
        <v>8901.44</v>
      </c>
      <c r="G71" s="40">
        <v>8913.26</v>
      </c>
      <c r="H71" s="40">
        <v>3660</v>
      </c>
      <c r="I71" s="40">
        <v>28317.22</v>
      </c>
      <c r="J71" s="38">
        <f t="shared" si="1"/>
        <v>56602.310000000005</v>
      </c>
      <c r="K71" s="39"/>
    </row>
    <row r="72" spans="1:11" ht="15" customHeight="1">
      <c r="A72" s="35" t="s">
        <v>162</v>
      </c>
      <c r="B72" s="50" t="s">
        <v>220</v>
      </c>
      <c r="C72" s="50"/>
      <c r="D72" s="47"/>
      <c r="E72" s="40">
        <v>3372</v>
      </c>
      <c r="F72" s="40">
        <v>3623</v>
      </c>
      <c r="G72" s="40">
        <v>3265</v>
      </c>
      <c r="H72" s="40">
        <v>2700</v>
      </c>
      <c r="I72" s="40">
        <v>14894</v>
      </c>
      <c r="J72" s="38">
        <f t="shared" si="1"/>
        <v>27854</v>
      </c>
      <c r="K72" s="39"/>
    </row>
    <row r="73" spans="1:11">
      <c r="E73" s="1">
        <f t="shared" ref="E73:J73" si="2">E5/E60</f>
        <v>314477.64270833327</v>
      </c>
      <c r="F73" s="1">
        <f t="shared" si="2"/>
        <v>313358.15888888884</v>
      </c>
      <c r="G73" s="1">
        <f t="shared" si="2"/>
        <v>321546.32076923072</v>
      </c>
      <c r="H73" s="1">
        <f t="shared" si="2"/>
        <v>380213.14166666666</v>
      </c>
      <c r="I73" s="1">
        <f t="shared" si="2"/>
        <v>387160.71422764228</v>
      </c>
      <c r="J73" s="1">
        <f t="shared" si="2"/>
        <v>350773.80925650557</v>
      </c>
    </row>
    <row r="74" spans="1:11">
      <c r="E74" s="1">
        <f>E34/E70</f>
        <v>13020</v>
      </c>
      <c r="G74" s="1">
        <f>G34/G70</f>
        <v>16662.857142857141</v>
      </c>
      <c r="H74" s="1">
        <f>H34/H70</f>
        <v>18540</v>
      </c>
      <c r="I74" s="1">
        <f>I34/I70</f>
        <v>18229.166666666668</v>
      </c>
      <c r="J74" s="1">
        <f>J34/J70</f>
        <v>17999.298245614034</v>
      </c>
    </row>
  </sheetData>
  <protectedRanges>
    <protectedRange password="E9C1" sqref="D30 C31 A5:D6 B7:D29 A2:K2 J5:K72 B32:D72 A7:A72 A4:K4 A3:D3 J3:K3" name="区域1_1"/>
    <protectedRange password="E9C1" sqref="B30:C30 B31" name="区域1_1_1"/>
    <protectedRange password="E9C1" sqref="D31" name="区域1_2"/>
    <protectedRange password="E9C1" sqref="E3:I3" name="区域1_1_2"/>
  </protectedRanges>
  <mergeCells count="7">
    <mergeCell ref="A1:K1"/>
    <mergeCell ref="A2:A3"/>
    <mergeCell ref="B2:B3"/>
    <mergeCell ref="C2:C3"/>
    <mergeCell ref="D2:D3"/>
    <mergeCell ref="J2:J3"/>
    <mergeCell ref="K2:K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selection activeCell="A4" sqref="A4:XFD72"/>
    </sheetView>
  </sheetViews>
  <sheetFormatPr defaultRowHeight="11.25"/>
  <cols>
    <col min="1" max="1" width="5.25" style="13" customWidth="1"/>
    <col min="2" max="2" width="24.125" style="1" customWidth="1"/>
    <col min="3" max="3" width="9" style="1"/>
    <col min="4" max="4" width="9" style="14"/>
    <col min="5" max="10" width="12.625" style="1" customWidth="1"/>
    <col min="11" max="16384" width="9" style="1"/>
  </cols>
  <sheetData>
    <row r="1" spans="1:11" ht="20.100000000000001" customHeight="1">
      <c r="A1" s="356" t="s">
        <v>828</v>
      </c>
      <c r="B1" s="357"/>
      <c r="C1" s="357"/>
      <c r="D1" s="357"/>
      <c r="E1" s="357"/>
      <c r="F1" s="357"/>
      <c r="G1" s="357"/>
      <c r="H1" s="357"/>
      <c r="I1" s="357"/>
      <c r="J1" s="357"/>
      <c r="K1" s="357"/>
    </row>
    <row r="2" spans="1:11" ht="24.75" customHeight="1">
      <c r="A2" s="358" t="s">
        <v>12</v>
      </c>
      <c r="B2" s="358" t="s">
        <v>13</v>
      </c>
      <c r="C2" s="358" t="s">
        <v>14</v>
      </c>
      <c r="D2" s="358" t="s">
        <v>15</v>
      </c>
      <c r="E2" s="33" t="s">
        <v>165</v>
      </c>
      <c r="F2" s="33" t="s">
        <v>166</v>
      </c>
      <c r="G2" s="33" t="s">
        <v>167</v>
      </c>
      <c r="H2" s="33" t="s">
        <v>168</v>
      </c>
      <c r="I2" s="33" t="s">
        <v>169</v>
      </c>
      <c r="J2" s="358" t="s">
        <v>17</v>
      </c>
      <c r="K2" s="358" t="s">
        <v>18</v>
      </c>
    </row>
    <row r="3" spans="1:11" ht="15" customHeight="1">
      <c r="A3" s="359"/>
      <c r="B3" s="359"/>
      <c r="C3" s="359"/>
      <c r="D3" s="359"/>
      <c r="E3" s="33" t="s">
        <v>463</v>
      </c>
      <c r="F3" s="33" t="s">
        <v>460</v>
      </c>
      <c r="G3" s="33" t="s">
        <v>460</v>
      </c>
      <c r="H3" s="33" t="s">
        <v>460</v>
      </c>
      <c r="I3" s="33" t="s">
        <v>461</v>
      </c>
      <c r="J3" s="359"/>
      <c r="K3" s="359"/>
    </row>
    <row r="4" spans="1:11" ht="14.1" customHeight="1">
      <c r="A4" s="35" t="s">
        <v>19</v>
      </c>
      <c r="B4" s="36" t="s">
        <v>20</v>
      </c>
      <c r="C4" s="36"/>
      <c r="D4" s="37" t="s">
        <v>21</v>
      </c>
      <c r="E4" s="38">
        <f>E5+E32+E37</f>
        <v>29428462.449999999</v>
      </c>
      <c r="F4" s="38">
        <f>F5+F32+F37</f>
        <v>6190005</v>
      </c>
      <c r="G4" s="38">
        <f>G5+G32+G37</f>
        <v>12201530.120000001</v>
      </c>
      <c r="H4" s="38">
        <f>H5+H32+H37</f>
        <v>19272919.93</v>
      </c>
      <c r="I4" s="38">
        <f>I5+I32+I37</f>
        <v>1745382.85</v>
      </c>
      <c r="J4" s="38">
        <f t="shared" ref="J4:J67" si="0">SUM(E4:I4)</f>
        <v>68838300.350000009</v>
      </c>
      <c r="K4" s="39"/>
    </row>
    <row r="5" spans="1:11" ht="14.1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23613861.379999999</v>
      </c>
      <c r="F5" s="38">
        <f>F6+F9+F13+F16+F21+F26+F28+F30+F31</f>
        <v>4964260</v>
      </c>
      <c r="G5" s="38">
        <f>G6+G9+G13+G16+G21+G26+G28+G30+G31</f>
        <v>10438990.050000001</v>
      </c>
      <c r="H5" s="38">
        <f>H6+H9+H13+H16+H21+H26+H28+H30+H31</f>
        <v>16289555.440000001</v>
      </c>
      <c r="I5" s="38">
        <f>I6+I9+I13+I16+I21+I26+I28+I30+I31</f>
        <v>1514645.7100000002</v>
      </c>
      <c r="J5" s="38">
        <f t="shared" si="0"/>
        <v>56821312.580000006</v>
      </c>
      <c r="K5" s="39"/>
    </row>
    <row r="6" spans="1:11" ht="14.1" customHeight="1">
      <c r="A6" s="35" t="s">
        <v>23</v>
      </c>
      <c r="B6" s="36" t="s">
        <v>24</v>
      </c>
      <c r="C6" s="36"/>
      <c r="D6" s="37" t="s">
        <v>21</v>
      </c>
      <c r="E6" s="38">
        <f>E7+E8</f>
        <v>3376074.5300000003</v>
      </c>
      <c r="F6" s="38">
        <f>F7+F8</f>
        <v>778800</v>
      </c>
      <c r="G6" s="38">
        <f>G7+G8</f>
        <v>1425319.2000000002</v>
      </c>
      <c r="H6" s="38">
        <f>H7+H8</f>
        <v>2050000</v>
      </c>
      <c r="I6" s="38">
        <f>I7+I8</f>
        <v>196776</v>
      </c>
      <c r="J6" s="38">
        <f t="shared" si="0"/>
        <v>7826969.7300000004</v>
      </c>
      <c r="K6" s="39"/>
    </row>
    <row r="7" spans="1:11" ht="14.1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1802091.53</v>
      </c>
      <c r="F7" s="40">
        <v>403200</v>
      </c>
      <c r="G7" s="40">
        <v>857306.4</v>
      </c>
      <c r="H7" s="40">
        <v>1300000</v>
      </c>
      <c r="I7" s="40">
        <v>84348</v>
      </c>
      <c r="J7" s="38">
        <f t="shared" si="0"/>
        <v>4446945.93</v>
      </c>
      <c r="K7" s="41"/>
    </row>
    <row r="8" spans="1:11" ht="14.1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1573983</v>
      </c>
      <c r="F8" s="40">
        <v>375600</v>
      </c>
      <c r="G8" s="40">
        <v>568012.80000000005</v>
      </c>
      <c r="H8" s="40">
        <v>750000</v>
      </c>
      <c r="I8" s="40">
        <v>112428</v>
      </c>
      <c r="J8" s="38">
        <f t="shared" si="0"/>
        <v>3380023.8</v>
      </c>
      <c r="K8" s="39"/>
    </row>
    <row r="9" spans="1:11" ht="14.1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348694</v>
      </c>
      <c r="F9" s="38">
        <f>F10+F11</f>
        <v>85900</v>
      </c>
      <c r="G9" s="38">
        <f>G10+G11</f>
        <v>171180</v>
      </c>
      <c r="H9" s="38">
        <f>H10+H11</f>
        <v>271480</v>
      </c>
      <c r="I9" s="38">
        <f>I10+I11</f>
        <v>21480</v>
      </c>
      <c r="J9" s="38">
        <f t="shared" si="0"/>
        <v>898734</v>
      </c>
      <c r="K9" s="39"/>
    </row>
    <row r="10" spans="1:11" ht="14.1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5494</v>
      </c>
      <c r="F10" s="40">
        <v>6700</v>
      </c>
      <c r="G10" s="40">
        <v>2220</v>
      </c>
      <c r="H10" s="40">
        <v>2200</v>
      </c>
      <c r="I10" s="40">
        <v>360</v>
      </c>
      <c r="J10" s="51">
        <f t="shared" si="0"/>
        <v>16974</v>
      </c>
      <c r="K10" s="39"/>
    </row>
    <row r="11" spans="1:11" ht="14.1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343200</v>
      </c>
      <c r="F11" s="38">
        <f>F12</f>
        <v>79200</v>
      </c>
      <c r="G11" s="38">
        <f>G12</f>
        <v>168960</v>
      </c>
      <c r="H11" s="38">
        <f>H12</f>
        <v>269280</v>
      </c>
      <c r="I11" s="38">
        <f>I12</f>
        <v>21120</v>
      </c>
      <c r="J11" s="38">
        <f t="shared" si="0"/>
        <v>881760</v>
      </c>
      <c r="K11" s="39"/>
    </row>
    <row r="12" spans="1:11" s="2" customFormat="1" ht="14.1" customHeight="1">
      <c r="A12" s="35" t="s">
        <v>37</v>
      </c>
      <c r="B12" s="42" t="s">
        <v>195</v>
      </c>
      <c r="C12" s="42" t="s">
        <v>27</v>
      </c>
      <c r="D12" s="39" t="s">
        <v>21</v>
      </c>
      <c r="E12" s="38">
        <f>440*12*E60</f>
        <v>343200</v>
      </c>
      <c r="F12" s="38">
        <f>440*12*F60</f>
        <v>79200</v>
      </c>
      <c r="G12" s="38">
        <f>440*12*G60</f>
        <v>168960</v>
      </c>
      <c r="H12" s="38">
        <f>440*12*H60</f>
        <v>269280</v>
      </c>
      <c r="I12" s="38">
        <f>440*12*I60</f>
        <v>21120</v>
      </c>
      <c r="J12" s="38">
        <f t="shared" si="0"/>
        <v>881760</v>
      </c>
      <c r="K12" s="39"/>
    </row>
    <row r="13" spans="1:11" ht="14.1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149338.28</v>
      </c>
      <c r="F13" s="38">
        <f>F14+F15</f>
        <v>33000</v>
      </c>
      <c r="G13" s="38">
        <f>G14+G15</f>
        <v>72550.28</v>
      </c>
      <c r="H13" s="38">
        <f>H14+H15</f>
        <v>112857.14</v>
      </c>
      <c r="I13" s="38">
        <f>I14+I15</f>
        <v>10628.58</v>
      </c>
      <c r="J13" s="38">
        <f t="shared" si="0"/>
        <v>378374.28</v>
      </c>
      <c r="K13" s="39"/>
    </row>
    <row r="14" spans="1:11" s="2" customFormat="1" ht="14.1" customHeight="1">
      <c r="A14" s="35" t="s">
        <v>42</v>
      </c>
      <c r="B14" s="42" t="s">
        <v>275</v>
      </c>
      <c r="C14" s="42" t="s">
        <v>27</v>
      </c>
      <c r="D14" s="39" t="s">
        <v>43</v>
      </c>
      <c r="E14" s="38">
        <f>ROUND(E30/0.07*0.005,2)</f>
        <v>74669.14</v>
      </c>
      <c r="F14" s="38">
        <f>ROUND(F30/0.07*0.005,2)</f>
        <v>16500</v>
      </c>
      <c r="G14" s="38">
        <f>ROUND(G30/0.07*0.005,2)</f>
        <v>36275.14</v>
      </c>
      <c r="H14" s="38">
        <f>ROUND(H30/0.07*0.005,2)</f>
        <v>56428.57</v>
      </c>
      <c r="I14" s="38">
        <f>ROUND(I30/0.07*0.005,2)</f>
        <v>5314.29</v>
      </c>
      <c r="J14" s="38">
        <f t="shared" si="0"/>
        <v>189187.14</v>
      </c>
      <c r="K14" s="39"/>
    </row>
    <row r="15" spans="1:11" s="2" customFormat="1" ht="14.1" customHeight="1">
      <c r="A15" s="35" t="s">
        <v>44</v>
      </c>
      <c r="B15" s="42" t="s">
        <v>196</v>
      </c>
      <c r="C15" s="42" t="s">
        <v>27</v>
      </c>
      <c r="D15" s="39" t="s">
        <v>43</v>
      </c>
      <c r="E15" s="38">
        <f>ROUND(E30/0.07*0.005,2)</f>
        <v>74669.14</v>
      </c>
      <c r="F15" s="38">
        <f>ROUND(F30/0.07*0.005,2)</f>
        <v>16500</v>
      </c>
      <c r="G15" s="38">
        <f>ROUND(G30/0.07*0.005,2)</f>
        <v>36275.14</v>
      </c>
      <c r="H15" s="38">
        <f>ROUND(H30/0.07*0.005,2)</f>
        <v>56428.57</v>
      </c>
      <c r="I15" s="38">
        <f>ROUND(I30/0.07*0.005,2)</f>
        <v>5314.29</v>
      </c>
      <c r="J15" s="38">
        <f t="shared" si="0"/>
        <v>189187.14</v>
      </c>
      <c r="K15" s="39"/>
    </row>
    <row r="16" spans="1:11" ht="14.1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13168870</v>
      </c>
      <c r="F16" s="38">
        <f>F17+F18+F19+F20</f>
        <v>2614560</v>
      </c>
      <c r="G16" s="38">
        <f>G17+G18+G19+G20</f>
        <v>5577728</v>
      </c>
      <c r="H16" s="38">
        <f>H17+H18+H19+H20</f>
        <v>8889504</v>
      </c>
      <c r="I16" s="38">
        <f>I17+I18+I19+I20</f>
        <v>818104</v>
      </c>
      <c r="J16" s="38">
        <f t="shared" si="0"/>
        <v>31068766</v>
      </c>
      <c r="K16" s="39"/>
    </row>
    <row r="17" spans="1:11" ht="14.1" customHeight="1">
      <c r="A17" s="35" t="s">
        <v>48</v>
      </c>
      <c r="B17" s="43" t="s">
        <v>49</v>
      </c>
      <c r="C17" s="43" t="s">
        <v>27</v>
      </c>
      <c r="D17" s="44" t="s">
        <v>197</v>
      </c>
      <c r="E17" s="45">
        <v>11879736</v>
      </c>
      <c r="F17" s="45">
        <v>2524560</v>
      </c>
      <c r="G17" s="45">
        <v>5125512</v>
      </c>
      <c r="H17" s="45">
        <v>8283504</v>
      </c>
      <c r="I17" s="45">
        <v>794104</v>
      </c>
      <c r="J17" s="51">
        <f t="shared" si="0"/>
        <v>28607416</v>
      </c>
      <c r="K17" s="44"/>
    </row>
    <row r="18" spans="1:11" ht="14.1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249134</v>
      </c>
      <c r="F18" s="45"/>
      <c r="G18" s="45">
        <v>260216</v>
      </c>
      <c r="H18" s="45">
        <v>300000</v>
      </c>
      <c r="I18" s="45"/>
      <c r="J18" s="51">
        <f t="shared" si="0"/>
        <v>809350</v>
      </c>
      <c r="K18" s="44"/>
    </row>
    <row r="19" spans="1:11" ht="14.1" customHeight="1">
      <c r="A19" s="35" t="s">
        <v>54</v>
      </c>
      <c r="B19" s="43" t="s">
        <v>198</v>
      </c>
      <c r="C19" s="43" t="s">
        <v>27</v>
      </c>
      <c r="D19" s="37" t="s">
        <v>21</v>
      </c>
      <c r="E19" s="46">
        <f>E60*500*12</f>
        <v>390000</v>
      </c>
      <c r="F19" s="46">
        <f>F60*500*12</f>
        <v>90000</v>
      </c>
      <c r="G19" s="46">
        <f>G60*500*12</f>
        <v>192000</v>
      </c>
      <c r="H19" s="46">
        <f>H60*500*12</f>
        <v>306000</v>
      </c>
      <c r="I19" s="46">
        <f>I60*500*12</f>
        <v>24000</v>
      </c>
      <c r="J19" s="38">
        <f t="shared" si="0"/>
        <v>1002000</v>
      </c>
      <c r="K19" s="44"/>
    </row>
    <row r="20" spans="1:11" ht="14.1" customHeight="1">
      <c r="A20" s="35" t="s">
        <v>56</v>
      </c>
      <c r="B20" s="43" t="s">
        <v>199</v>
      </c>
      <c r="C20" s="43" t="s">
        <v>27</v>
      </c>
      <c r="D20" s="37" t="s">
        <v>28</v>
      </c>
      <c r="E20" s="45">
        <v>650000</v>
      </c>
      <c r="F20" s="45"/>
      <c r="G20" s="45"/>
      <c r="H20" s="45"/>
      <c r="I20" s="45"/>
      <c r="J20" s="38">
        <f t="shared" si="0"/>
        <v>650000</v>
      </c>
      <c r="K20" s="44"/>
    </row>
    <row r="21" spans="1:11" ht="14.1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1941397.71</v>
      </c>
      <c r="F21" s="46">
        <f>F22+F23</f>
        <v>429000</v>
      </c>
      <c r="G21" s="46">
        <f>G22+G23</f>
        <v>943153.71</v>
      </c>
      <c r="H21" s="46">
        <f>H22+H23</f>
        <v>1467142.87</v>
      </c>
      <c r="I21" s="46">
        <f>I22+I23</f>
        <v>138171.41999999998</v>
      </c>
      <c r="J21" s="38">
        <f t="shared" si="0"/>
        <v>4918865.71</v>
      </c>
      <c r="K21" s="44"/>
    </row>
    <row r="22" spans="1:11" ht="14.1" customHeight="1">
      <c r="A22" s="35" t="s">
        <v>60</v>
      </c>
      <c r="B22" s="36" t="s">
        <v>276</v>
      </c>
      <c r="C22" s="36" t="s">
        <v>61</v>
      </c>
      <c r="D22" s="44" t="s">
        <v>21</v>
      </c>
      <c r="E22" s="46">
        <f>ROUND(E30/0.07*0.09,2)</f>
        <v>1344044.57</v>
      </c>
      <c r="F22" s="46">
        <f>ROUND(F30/0.07*0.09,2)</f>
        <v>297000</v>
      </c>
      <c r="G22" s="46">
        <f>ROUND(G30/0.07*0.09,2)</f>
        <v>652952.56999999995</v>
      </c>
      <c r="H22" s="46">
        <f>ROUND(H30/0.07*0.09,2)</f>
        <v>1015714.29</v>
      </c>
      <c r="I22" s="46">
        <f>ROUND(I30/0.07*0.09,2)</f>
        <v>95657.14</v>
      </c>
      <c r="J22" s="38">
        <f t="shared" si="0"/>
        <v>3405368.5700000003</v>
      </c>
      <c r="K22" s="44"/>
    </row>
    <row r="23" spans="1:11" ht="14.1" customHeight="1">
      <c r="A23" s="35" t="s">
        <v>62</v>
      </c>
      <c r="B23" s="36" t="s">
        <v>200</v>
      </c>
      <c r="C23" s="36" t="s">
        <v>61</v>
      </c>
      <c r="D23" s="44" t="s">
        <v>43</v>
      </c>
      <c r="E23" s="46">
        <f>E24+E25</f>
        <v>597353.14</v>
      </c>
      <c r="F23" s="46">
        <f>F24+F25</f>
        <v>132000</v>
      </c>
      <c r="G23" s="46">
        <f>G24+G25</f>
        <v>290201.14</v>
      </c>
      <c r="H23" s="46">
        <f>H24+H25</f>
        <v>451428.58</v>
      </c>
      <c r="I23" s="46">
        <f>I24+I25</f>
        <v>42514.28</v>
      </c>
      <c r="J23" s="38">
        <f t="shared" si="0"/>
        <v>1513497.1400000001</v>
      </c>
      <c r="K23" s="44"/>
    </row>
    <row r="24" spans="1:11" ht="14.1" customHeight="1">
      <c r="A24" s="35" t="s">
        <v>64</v>
      </c>
      <c r="B24" s="36" t="s">
        <v>277</v>
      </c>
      <c r="C24" s="36" t="s">
        <v>61</v>
      </c>
      <c r="D24" s="44" t="s">
        <v>43</v>
      </c>
      <c r="E24" s="46">
        <f>ROUND(E30/0.07*0.02,2)</f>
        <v>298676.57</v>
      </c>
      <c r="F24" s="46">
        <f>ROUND(F30/0.07*0.02,2)</f>
        <v>66000</v>
      </c>
      <c r="G24" s="46">
        <f>ROUND(G30/0.07*0.02,2)</f>
        <v>145100.57</v>
      </c>
      <c r="H24" s="46">
        <f>ROUND(H30/0.07*0.02,2)</f>
        <v>225714.29</v>
      </c>
      <c r="I24" s="46">
        <f>ROUND(I30/0.07*0.02,2)</f>
        <v>21257.14</v>
      </c>
      <c r="J24" s="38">
        <f t="shared" si="0"/>
        <v>756748.57000000007</v>
      </c>
      <c r="K24" s="44"/>
    </row>
    <row r="25" spans="1:11" ht="14.1" customHeight="1">
      <c r="A25" s="35" t="s">
        <v>65</v>
      </c>
      <c r="B25" s="36" t="s">
        <v>278</v>
      </c>
      <c r="C25" s="36" t="s">
        <v>61</v>
      </c>
      <c r="D25" s="44" t="s">
        <v>43</v>
      </c>
      <c r="E25" s="46">
        <f>ROUND(E30/0.07*0.02,2)</f>
        <v>298676.57</v>
      </c>
      <c r="F25" s="46">
        <f>ROUND(F30/0.07*0.02,2)</f>
        <v>66000</v>
      </c>
      <c r="G25" s="46">
        <f>ROUND(G30/0.07*0.02,2)</f>
        <v>145100.57</v>
      </c>
      <c r="H25" s="46">
        <f>ROUND(H30/0.07*0.02,2)</f>
        <v>225714.29</v>
      </c>
      <c r="I25" s="46">
        <f>ROUND(I30/0.07*0.02,2)</f>
        <v>21257.14</v>
      </c>
      <c r="J25" s="38">
        <f t="shared" si="0"/>
        <v>756748.57000000007</v>
      </c>
      <c r="K25" s="44"/>
    </row>
    <row r="26" spans="1:11" ht="14.1" customHeight="1">
      <c r="A26" s="35" t="s">
        <v>66</v>
      </c>
      <c r="B26" s="36" t="s">
        <v>67</v>
      </c>
      <c r="C26" s="36"/>
      <c r="D26" s="37" t="s">
        <v>21</v>
      </c>
      <c r="E26" s="38">
        <f>E27</f>
        <v>2389412.5699999998</v>
      </c>
      <c r="F26" s="38">
        <f>F27</f>
        <v>528000</v>
      </c>
      <c r="G26" s="38">
        <f>G27</f>
        <v>1160804.57</v>
      </c>
      <c r="H26" s="38">
        <f>H27</f>
        <v>1805714.29</v>
      </c>
      <c r="I26" s="38">
        <f>I27</f>
        <v>170057.14</v>
      </c>
      <c r="J26" s="38">
        <f t="shared" si="0"/>
        <v>6053988.5699999994</v>
      </c>
      <c r="K26" s="39"/>
    </row>
    <row r="27" spans="1:11" s="2" customFormat="1" ht="14.1" customHeight="1">
      <c r="A27" s="35" t="s">
        <v>68</v>
      </c>
      <c r="B27" s="42" t="s">
        <v>201</v>
      </c>
      <c r="C27" s="42" t="s">
        <v>70</v>
      </c>
      <c r="D27" s="39" t="s">
        <v>43</v>
      </c>
      <c r="E27" s="38">
        <f>ROUND(E30/0.07*0.16,2)</f>
        <v>2389412.5699999998</v>
      </c>
      <c r="F27" s="38">
        <f>ROUND(F30/0.07*0.16,2)</f>
        <v>528000</v>
      </c>
      <c r="G27" s="38">
        <f>ROUND(G30/0.07*0.16,2)</f>
        <v>1160804.57</v>
      </c>
      <c r="H27" s="38">
        <f>ROUND(H30/0.07*0.16,2)</f>
        <v>1805714.29</v>
      </c>
      <c r="I27" s="38">
        <f>ROUND(I30/0.07*0.16,2)</f>
        <v>170057.14</v>
      </c>
      <c r="J27" s="38">
        <f t="shared" si="0"/>
        <v>6053988.5699999994</v>
      </c>
      <c r="K27" s="39"/>
    </row>
    <row r="28" spans="1:11" ht="14.1" customHeight="1">
      <c r="A28" s="35" t="s">
        <v>71</v>
      </c>
      <c r="B28" s="36" t="s">
        <v>72</v>
      </c>
      <c r="C28" s="36"/>
      <c r="D28" s="37" t="s">
        <v>21</v>
      </c>
      <c r="E28" s="38">
        <f>E29</f>
        <v>1194706.29</v>
      </c>
      <c r="F28" s="38">
        <f>F29</f>
        <v>264000</v>
      </c>
      <c r="G28" s="38">
        <f>G29</f>
        <v>580402.29</v>
      </c>
      <c r="H28" s="38">
        <f>H29</f>
        <v>902857.14</v>
      </c>
      <c r="I28" s="38">
        <f>I29</f>
        <v>85028.57</v>
      </c>
      <c r="J28" s="38">
        <f t="shared" si="0"/>
        <v>3026994.29</v>
      </c>
      <c r="K28" s="39"/>
    </row>
    <row r="29" spans="1:11" s="2" customFormat="1" ht="14.1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1194706.29</v>
      </c>
      <c r="F29" s="38">
        <f>ROUND(F30/0.07*0.08,2)</f>
        <v>264000</v>
      </c>
      <c r="G29" s="38">
        <f>ROUND(G30/0.07*0.08,2)</f>
        <v>580402.29</v>
      </c>
      <c r="H29" s="38">
        <f>ROUND(H30/0.07*0.08,2)</f>
        <v>902857.14</v>
      </c>
      <c r="I29" s="38">
        <f>ROUND(I30/0.07*0.08,2)</f>
        <v>85028.57</v>
      </c>
      <c r="J29" s="38">
        <f t="shared" si="0"/>
        <v>3026994.29</v>
      </c>
      <c r="K29" s="39"/>
    </row>
    <row r="30" spans="1:11" ht="14.1" customHeight="1">
      <c r="A30" s="35" t="s">
        <v>76</v>
      </c>
      <c r="B30" s="36" t="s">
        <v>202</v>
      </c>
      <c r="C30" s="36" t="s">
        <v>78</v>
      </c>
      <c r="D30" s="37" t="s">
        <v>28</v>
      </c>
      <c r="E30" s="45">
        <v>1045368</v>
      </c>
      <c r="F30" s="45">
        <v>231000</v>
      </c>
      <c r="G30" s="45">
        <v>507852</v>
      </c>
      <c r="H30" s="45">
        <v>790000</v>
      </c>
      <c r="I30" s="45">
        <v>74400</v>
      </c>
      <c r="J30" s="38">
        <f t="shared" si="0"/>
        <v>2648620</v>
      </c>
      <c r="K30" s="44"/>
    </row>
    <row r="31" spans="1:11" ht="14.1" customHeight="1">
      <c r="A31" s="35" t="s">
        <v>80</v>
      </c>
      <c r="B31" s="36" t="s">
        <v>203</v>
      </c>
      <c r="C31" s="43" t="s">
        <v>27</v>
      </c>
      <c r="D31" s="39" t="s">
        <v>204</v>
      </c>
      <c r="E31" s="45"/>
      <c r="F31" s="45"/>
      <c r="G31" s="45"/>
      <c r="H31" s="45"/>
      <c r="I31" s="45"/>
      <c r="J31" s="38">
        <f t="shared" si="0"/>
        <v>0</v>
      </c>
      <c r="K31" s="44"/>
    </row>
    <row r="32" spans="1:11" ht="14.1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1371935</v>
      </c>
      <c r="F32" s="38">
        <f>F33+F35</f>
        <v>136860</v>
      </c>
      <c r="G32" s="38">
        <f>G33+G35</f>
        <v>51420</v>
      </c>
      <c r="H32" s="38">
        <f>H33+H35</f>
        <v>30600</v>
      </c>
      <c r="I32" s="38">
        <f>I33+I35</f>
        <v>0</v>
      </c>
      <c r="J32" s="38">
        <f t="shared" si="0"/>
        <v>1590815</v>
      </c>
      <c r="K32" s="39"/>
    </row>
    <row r="33" spans="1:11" ht="14.1" customHeight="1">
      <c r="A33" s="35" t="s">
        <v>85</v>
      </c>
      <c r="B33" s="36" t="s">
        <v>205</v>
      </c>
      <c r="C33" s="36" t="s">
        <v>87</v>
      </c>
      <c r="D33" s="44" t="s">
        <v>206</v>
      </c>
      <c r="E33" s="46">
        <f>E34</f>
        <v>1367585</v>
      </c>
      <c r="F33" s="46">
        <f>F34</f>
        <v>134340</v>
      </c>
      <c r="G33" s="46">
        <f>G34</f>
        <v>48180</v>
      </c>
      <c r="H33" s="46">
        <f>H34</f>
        <v>28800</v>
      </c>
      <c r="I33" s="46">
        <f>I34</f>
        <v>0</v>
      </c>
      <c r="J33" s="38">
        <f t="shared" si="0"/>
        <v>1578905</v>
      </c>
      <c r="K33" s="44"/>
    </row>
    <row r="34" spans="1:11" ht="14.1" customHeight="1">
      <c r="A34" s="35" t="s">
        <v>89</v>
      </c>
      <c r="B34" s="36" t="s">
        <v>207</v>
      </c>
      <c r="C34" s="36" t="s">
        <v>87</v>
      </c>
      <c r="D34" s="44" t="s">
        <v>206</v>
      </c>
      <c r="E34" s="40">
        <v>1367585</v>
      </c>
      <c r="F34" s="40">
        <v>134340</v>
      </c>
      <c r="G34" s="40">
        <v>48180</v>
      </c>
      <c r="H34" s="40">
        <f>2400*12</f>
        <v>28800</v>
      </c>
      <c r="I34" s="40"/>
      <c r="J34" s="38">
        <f t="shared" si="0"/>
        <v>1578905</v>
      </c>
      <c r="K34" s="39"/>
    </row>
    <row r="35" spans="1:11" ht="14.1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4350</v>
      </c>
      <c r="F35" s="38">
        <f>F36</f>
        <v>2520</v>
      </c>
      <c r="G35" s="38">
        <f>G36</f>
        <v>3240</v>
      </c>
      <c r="H35" s="38">
        <f>H36</f>
        <v>1800</v>
      </c>
      <c r="I35" s="38">
        <f>I36</f>
        <v>0</v>
      </c>
      <c r="J35" s="38">
        <f t="shared" si="0"/>
        <v>11910</v>
      </c>
      <c r="K35" s="39"/>
    </row>
    <row r="36" spans="1:11" ht="14.1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4350</v>
      </c>
      <c r="F36" s="40">
        <f>210*12</f>
        <v>2520</v>
      </c>
      <c r="G36" s="40">
        <v>3240</v>
      </c>
      <c r="H36" s="40">
        <v>1800</v>
      </c>
      <c r="I36" s="40"/>
      <c r="J36" s="38">
        <f t="shared" si="0"/>
        <v>11910</v>
      </c>
      <c r="K36" s="39"/>
    </row>
    <row r="37" spans="1:11" ht="14.1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4442666.07</v>
      </c>
      <c r="F37" s="38">
        <f>F38+F40+F42+F44+F46+F49+F51+F53+F55+F57</f>
        <v>1088885</v>
      </c>
      <c r="G37" s="38">
        <f>G38+G40+G42+G44+G46+G49+G51+G53+G55+G57</f>
        <v>1711120.07</v>
      </c>
      <c r="H37" s="38">
        <f>H38+H40+H42+H44+H46+H49+H51+H53+H55+H57</f>
        <v>2952764.49</v>
      </c>
      <c r="I37" s="38">
        <f>I38+I40+I42+I44+I46+I49+I51+I53+I55+I57</f>
        <v>230737.14</v>
      </c>
      <c r="J37" s="38">
        <f t="shared" si="0"/>
        <v>10426172.770000001</v>
      </c>
      <c r="K37" s="39"/>
    </row>
    <row r="38" spans="1:11" ht="14.1" customHeight="1">
      <c r="A38" s="35" t="s">
        <v>96</v>
      </c>
      <c r="B38" s="36" t="s">
        <v>100</v>
      </c>
      <c r="C38" s="36"/>
      <c r="D38" s="37" t="s">
        <v>101</v>
      </c>
      <c r="E38" s="40">
        <f>1035*3210</f>
        <v>3322350</v>
      </c>
      <c r="F38" s="40">
        <f>2860*300</f>
        <v>858000</v>
      </c>
      <c r="G38" s="40">
        <f>408*3060</f>
        <v>1248480</v>
      </c>
      <c r="H38" s="40">
        <f>751*2860</f>
        <v>2147860</v>
      </c>
      <c r="I38" s="40">
        <v>89600</v>
      </c>
      <c r="J38" s="38">
        <f t="shared" si="0"/>
        <v>7666290</v>
      </c>
      <c r="K38" s="39"/>
    </row>
    <row r="39" spans="1:11" ht="14.1" customHeight="1">
      <c r="A39" s="35" t="s">
        <v>97</v>
      </c>
      <c r="B39" s="36" t="s">
        <v>208</v>
      </c>
      <c r="C39" s="36" t="s">
        <v>27</v>
      </c>
      <c r="D39" s="47" t="s">
        <v>209</v>
      </c>
      <c r="E39" s="40">
        <f>E38*0.05</f>
        <v>166117.5</v>
      </c>
      <c r="F39" s="40">
        <f>125*2860*5%</f>
        <v>17875</v>
      </c>
      <c r="G39" s="40">
        <f>408*3060*5%</f>
        <v>62424</v>
      </c>
      <c r="H39" s="40">
        <f>H38*5%</f>
        <v>107393</v>
      </c>
      <c r="I39" s="40">
        <v>3360</v>
      </c>
      <c r="J39" s="38">
        <f t="shared" si="0"/>
        <v>357169.5</v>
      </c>
      <c r="K39" s="39"/>
    </row>
    <row r="40" spans="1:11" ht="14.1" customHeight="1">
      <c r="A40" s="35" t="s">
        <v>99</v>
      </c>
      <c r="B40" s="36" t="s">
        <v>107</v>
      </c>
      <c r="C40" s="36"/>
      <c r="D40" s="37"/>
      <c r="E40" s="38">
        <f>E41</f>
        <v>26000</v>
      </c>
      <c r="F40" s="38">
        <f>F41</f>
        <v>6000</v>
      </c>
      <c r="G40" s="38">
        <f>G41</f>
        <v>12800</v>
      </c>
      <c r="H40" s="38">
        <f>H41</f>
        <v>20400</v>
      </c>
      <c r="I40" s="38">
        <f>I41</f>
        <v>1600</v>
      </c>
      <c r="J40" s="38">
        <f t="shared" si="0"/>
        <v>66800</v>
      </c>
      <c r="K40" s="39"/>
    </row>
    <row r="41" spans="1:11" s="2" customFormat="1" ht="14.1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26000</v>
      </c>
      <c r="F41" s="38">
        <f>F60*400</f>
        <v>6000</v>
      </c>
      <c r="G41" s="38">
        <f>G60*400</f>
        <v>12800</v>
      </c>
      <c r="H41" s="38">
        <f>H60*400</f>
        <v>20400</v>
      </c>
      <c r="I41" s="38">
        <f>I60*400</f>
        <v>1600</v>
      </c>
      <c r="J41" s="38">
        <f t="shared" si="0"/>
        <v>66800</v>
      </c>
      <c r="K41" s="39"/>
    </row>
    <row r="42" spans="1:11" ht="14.1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100471.5</v>
      </c>
      <c r="F42" s="38">
        <f>F43</f>
        <v>22725</v>
      </c>
      <c r="G42" s="38">
        <f>G43</f>
        <v>86839.5</v>
      </c>
      <c r="H42" s="38">
        <f>H43</f>
        <v>224590.2</v>
      </c>
      <c r="I42" s="38">
        <f>I43</f>
        <v>45000</v>
      </c>
      <c r="J42" s="38">
        <f t="shared" si="0"/>
        <v>479626.2</v>
      </c>
      <c r="K42" s="39"/>
    </row>
    <row r="43" spans="1:11" s="2" customFormat="1" ht="14.1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100471.5</v>
      </c>
      <c r="F43" s="38">
        <f>F71*15</f>
        <v>22725</v>
      </c>
      <c r="G43" s="38">
        <f>G71*15</f>
        <v>86839.5</v>
      </c>
      <c r="H43" s="38">
        <f>H71*15</f>
        <v>224590.2</v>
      </c>
      <c r="I43" s="38">
        <f>I71*15</f>
        <v>45000</v>
      </c>
      <c r="J43" s="38">
        <f t="shared" si="0"/>
        <v>479626.2</v>
      </c>
      <c r="K43" s="39"/>
    </row>
    <row r="44" spans="1:11" ht="14.1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40528</v>
      </c>
      <c r="F44" s="38">
        <f>F45</f>
        <v>1600</v>
      </c>
      <c r="G44" s="38">
        <f>G45</f>
        <v>28000</v>
      </c>
      <c r="H44" s="38">
        <f>H45</f>
        <v>66440</v>
      </c>
      <c r="I44" s="38">
        <f>I45</f>
        <v>24000</v>
      </c>
      <c r="J44" s="38">
        <f t="shared" si="0"/>
        <v>160568</v>
      </c>
      <c r="K44" s="39"/>
    </row>
    <row r="45" spans="1:11" s="2" customFormat="1" ht="14.1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40528</v>
      </c>
      <c r="F45" s="38">
        <f>F72*8</f>
        <v>1600</v>
      </c>
      <c r="G45" s="38">
        <f>G72*8</f>
        <v>28000</v>
      </c>
      <c r="H45" s="38">
        <f>H72*8</f>
        <v>66440</v>
      </c>
      <c r="I45" s="38">
        <f>I72*8</f>
        <v>24000</v>
      </c>
      <c r="J45" s="38">
        <f t="shared" si="0"/>
        <v>160568</v>
      </c>
      <c r="K45" s="39"/>
    </row>
    <row r="46" spans="1:11" ht="14.1" customHeight="1">
      <c r="A46" s="35" t="s">
        <v>116</v>
      </c>
      <c r="B46" s="36" t="s">
        <v>210</v>
      </c>
      <c r="C46" s="36"/>
      <c r="D46" s="37" t="s">
        <v>21</v>
      </c>
      <c r="E46" s="38">
        <f>E47+E48</f>
        <v>591840</v>
      </c>
      <c r="F46" s="38">
        <f>F47+F48</f>
        <v>99360</v>
      </c>
      <c r="G46" s="38">
        <f>G47+G48</f>
        <v>151200</v>
      </c>
      <c r="H46" s="38">
        <f>H47+H48</f>
        <v>228960</v>
      </c>
      <c r="I46" s="38">
        <f>I47+I48</f>
        <v>17280</v>
      </c>
      <c r="J46" s="38">
        <f t="shared" si="0"/>
        <v>1088640</v>
      </c>
      <c r="K46" s="39"/>
    </row>
    <row r="47" spans="1:11" s="2" customFormat="1" ht="14.1" customHeight="1">
      <c r="A47" s="35" t="s">
        <v>118</v>
      </c>
      <c r="B47" s="42" t="s">
        <v>211</v>
      </c>
      <c r="C47" s="42" t="s">
        <v>27</v>
      </c>
      <c r="D47" s="48" t="s">
        <v>124</v>
      </c>
      <c r="E47" s="38">
        <f>E60*4320</f>
        <v>280800</v>
      </c>
      <c r="F47" s="38">
        <f>F60*4320</f>
        <v>64800</v>
      </c>
      <c r="G47" s="38">
        <f>G60*4320</f>
        <v>138240</v>
      </c>
      <c r="H47" s="38">
        <f>H60*4320</f>
        <v>220320</v>
      </c>
      <c r="I47" s="38">
        <f>I60*4320</f>
        <v>17280</v>
      </c>
      <c r="J47" s="38">
        <f t="shared" si="0"/>
        <v>721440</v>
      </c>
      <c r="K47" s="39"/>
    </row>
    <row r="48" spans="1:11" s="2" customFormat="1" ht="14.1" customHeight="1">
      <c r="A48" s="35" t="s">
        <v>121</v>
      </c>
      <c r="B48" s="42" t="s">
        <v>212</v>
      </c>
      <c r="C48" s="42" t="s">
        <v>27</v>
      </c>
      <c r="D48" s="48" t="s">
        <v>213</v>
      </c>
      <c r="E48" s="38">
        <f>E70*4320</f>
        <v>311040</v>
      </c>
      <c r="F48" s="38">
        <f>F70*4320</f>
        <v>34560</v>
      </c>
      <c r="G48" s="38">
        <f>G70*4320</f>
        <v>12960</v>
      </c>
      <c r="H48" s="38">
        <f>H70*4320</f>
        <v>8640</v>
      </c>
      <c r="I48" s="38">
        <f>I70*4320</f>
        <v>0</v>
      </c>
      <c r="J48" s="38">
        <f t="shared" si="0"/>
        <v>367200</v>
      </c>
      <c r="K48" s="39"/>
    </row>
    <row r="49" spans="1:11" ht="14.1" customHeight="1">
      <c r="A49" s="35" t="s">
        <v>123</v>
      </c>
      <c r="B49" s="36" t="s">
        <v>214</v>
      </c>
      <c r="C49" s="36"/>
      <c r="D49" s="37" t="s">
        <v>21</v>
      </c>
      <c r="E49" s="38">
        <f>E50</f>
        <v>298676.57</v>
      </c>
      <c r="F49" s="38">
        <f>F50</f>
        <v>66000</v>
      </c>
      <c r="G49" s="38">
        <f>G50</f>
        <v>145100.57</v>
      </c>
      <c r="H49" s="38">
        <f>H50</f>
        <v>225714.29</v>
      </c>
      <c r="I49" s="38">
        <f>I50</f>
        <v>21257.14</v>
      </c>
      <c r="J49" s="38">
        <f t="shared" si="0"/>
        <v>756748.57000000007</v>
      </c>
      <c r="K49" s="39"/>
    </row>
    <row r="50" spans="1:11" s="2" customFormat="1" ht="14.1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298676.57</v>
      </c>
      <c r="F50" s="38">
        <f>ROUND(F30/0.07*0.02,2)</f>
        <v>66000</v>
      </c>
      <c r="G50" s="38">
        <f>ROUND(G30/0.07*0.02,2)</f>
        <v>145100.57</v>
      </c>
      <c r="H50" s="38">
        <f>ROUND(H30/0.07*0.02,2)</f>
        <v>225714.29</v>
      </c>
      <c r="I50" s="38">
        <f>ROUND(I30/0.07*0.02,2)</f>
        <v>21257.14</v>
      </c>
      <c r="J50" s="38">
        <f t="shared" si="0"/>
        <v>756748.57000000007</v>
      </c>
      <c r="K50" s="39"/>
    </row>
    <row r="51" spans="1:11" ht="14.1" customHeight="1">
      <c r="A51" s="35" t="s">
        <v>126</v>
      </c>
      <c r="B51" s="36" t="s">
        <v>215</v>
      </c>
      <c r="C51" s="36"/>
      <c r="D51" s="37" t="s">
        <v>21</v>
      </c>
      <c r="E51" s="38">
        <f>E52</f>
        <v>32000</v>
      </c>
      <c r="F51" s="38">
        <f>F52</f>
        <v>0</v>
      </c>
      <c r="G51" s="38">
        <f>G52</f>
        <v>0</v>
      </c>
      <c r="H51" s="38">
        <f>H52</f>
        <v>0</v>
      </c>
      <c r="I51" s="38">
        <f>I52</f>
        <v>0</v>
      </c>
      <c r="J51" s="38">
        <f t="shared" si="0"/>
        <v>32000</v>
      </c>
      <c r="K51" s="39"/>
    </row>
    <row r="52" spans="1:11" ht="14.1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40"/>
      <c r="G52" s="40"/>
      <c r="H52" s="40"/>
      <c r="I52" s="40"/>
      <c r="J52" s="38">
        <f t="shared" si="0"/>
        <v>32000</v>
      </c>
      <c r="K52" s="39"/>
    </row>
    <row r="53" spans="1:11" ht="14.1" customHeight="1">
      <c r="A53" s="35" t="s">
        <v>130</v>
      </c>
      <c r="B53" s="36" t="s">
        <v>287</v>
      </c>
      <c r="C53" s="36"/>
      <c r="D53" s="37" t="s">
        <v>21</v>
      </c>
      <c r="E53" s="38">
        <f>E54</f>
        <v>28800</v>
      </c>
      <c r="F53" s="38">
        <f>F54</f>
        <v>3200</v>
      </c>
      <c r="G53" s="38">
        <f>G54</f>
        <v>1200</v>
      </c>
      <c r="H53" s="38">
        <f>H54</f>
        <v>800</v>
      </c>
      <c r="I53" s="38">
        <f>I54</f>
        <v>0</v>
      </c>
      <c r="J53" s="38">
        <f t="shared" si="0"/>
        <v>34000</v>
      </c>
      <c r="K53" s="39"/>
    </row>
    <row r="54" spans="1:11" s="2" customFormat="1" ht="14.1" customHeight="1">
      <c r="A54" s="35" t="s">
        <v>131</v>
      </c>
      <c r="B54" s="42" t="s">
        <v>288</v>
      </c>
      <c r="C54" s="42" t="s">
        <v>27</v>
      </c>
      <c r="D54" s="48" t="s">
        <v>216</v>
      </c>
      <c r="E54" s="38">
        <f>E70*400</f>
        <v>28800</v>
      </c>
      <c r="F54" s="38">
        <f>F70*400</f>
        <v>3200</v>
      </c>
      <c r="G54" s="38">
        <f>G70*400</f>
        <v>1200</v>
      </c>
      <c r="H54" s="38">
        <f>H70*400</f>
        <v>800</v>
      </c>
      <c r="I54" s="38">
        <f>I70*400</f>
        <v>0</v>
      </c>
      <c r="J54" s="38">
        <f t="shared" si="0"/>
        <v>34000</v>
      </c>
      <c r="K54" s="39"/>
    </row>
    <row r="55" spans="1:11" s="2" customFormat="1" ht="14.1" customHeight="1">
      <c r="A55" s="35" t="s">
        <v>134</v>
      </c>
      <c r="B55" s="36" t="s">
        <v>281</v>
      </c>
      <c r="C55" s="42"/>
      <c r="D55" s="48"/>
      <c r="E55" s="38">
        <f>E56</f>
        <v>2000</v>
      </c>
      <c r="F55" s="38">
        <f>F56</f>
        <v>0</v>
      </c>
      <c r="G55" s="38">
        <f>G56</f>
        <v>5500</v>
      </c>
      <c r="H55" s="38">
        <f>H56</f>
        <v>6000</v>
      </c>
      <c r="I55" s="38">
        <f>I56</f>
        <v>0</v>
      </c>
      <c r="J55" s="38">
        <f t="shared" si="0"/>
        <v>13500</v>
      </c>
      <c r="K55" s="39"/>
    </row>
    <row r="56" spans="1:11" ht="14.1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2000</v>
      </c>
      <c r="F56" s="49"/>
      <c r="G56" s="49">
        <v>5500</v>
      </c>
      <c r="H56" s="49">
        <v>6000</v>
      </c>
      <c r="I56" s="49"/>
      <c r="J56" s="38">
        <f t="shared" si="0"/>
        <v>13500</v>
      </c>
      <c r="K56" s="44"/>
    </row>
    <row r="57" spans="1:11" ht="14.1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0</v>
      </c>
      <c r="F57" s="38">
        <f>F58</f>
        <v>32000</v>
      </c>
      <c r="G57" s="38">
        <f>G58</f>
        <v>32000</v>
      </c>
      <c r="H57" s="38">
        <f>H58</f>
        <v>32000</v>
      </c>
      <c r="I57" s="38">
        <f>I58</f>
        <v>32000</v>
      </c>
      <c r="J57" s="38">
        <f t="shared" si="0"/>
        <v>128000</v>
      </c>
      <c r="K57" s="39"/>
    </row>
    <row r="58" spans="1:11" ht="14.1" customHeight="1" thickBot="1">
      <c r="A58" s="35" t="s">
        <v>139</v>
      </c>
      <c r="B58" s="4" t="s">
        <v>143</v>
      </c>
      <c r="C58" s="36" t="s">
        <v>27</v>
      </c>
      <c r="D58" s="5" t="s">
        <v>217</v>
      </c>
      <c r="E58" s="6"/>
      <c r="F58" s="6">
        <v>32000</v>
      </c>
      <c r="G58" s="6">
        <v>32000</v>
      </c>
      <c r="H58" s="6">
        <v>32000</v>
      </c>
      <c r="I58" s="6">
        <v>32000</v>
      </c>
      <c r="J58" s="38">
        <f t="shared" si="0"/>
        <v>128000</v>
      </c>
      <c r="K58" s="8"/>
    </row>
    <row r="59" spans="1:11" ht="14.1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38">
        <f t="shared" si="0"/>
        <v>0</v>
      </c>
      <c r="K59" s="12"/>
    </row>
    <row r="60" spans="1:11" ht="14.1" customHeight="1">
      <c r="A60" s="35" t="s">
        <v>142</v>
      </c>
      <c r="B60" s="36" t="s">
        <v>147</v>
      </c>
      <c r="C60" s="36"/>
      <c r="D60" s="37" t="s">
        <v>285</v>
      </c>
      <c r="E60" s="38">
        <f>E61+E62+E63+E64</f>
        <v>65</v>
      </c>
      <c r="F60" s="38">
        <f>F61+F62+F63+F64</f>
        <v>15</v>
      </c>
      <c r="G60" s="38">
        <f>G61+G62+G63+G64</f>
        <v>32</v>
      </c>
      <c r="H60" s="38">
        <f>H61+H62+H63+H64</f>
        <v>51</v>
      </c>
      <c r="I60" s="38">
        <f>I61+I62+I63+I64</f>
        <v>4</v>
      </c>
      <c r="J60" s="38">
        <f t="shared" si="0"/>
        <v>167</v>
      </c>
      <c r="K60" s="39"/>
    </row>
    <row r="61" spans="1:11" ht="14.1" customHeight="1">
      <c r="A61" s="35" t="s">
        <v>144</v>
      </c>
      <c r="B61" s="50" t="s">
        <v>149</v>
      </c>
      <c r="C61" s="50"/>
      <c r="D61" s="44"/>
      <c r="E61" s="45"/>
      <c r="F61" s="45"/>
      <c r="G61" s="45"/>
      <c r="H61" s="45"/>
      <c r="I61" s="45"/>
      <c r="J61" s="38">
        <f t="shared" si="0"/>
        <v>0</v>
      </c>
      <c r="K61" s="39"/>
    </row>
    <row r="62" spans="1:11" ht="14.1" customHeight="1">
      <c r="A62" s="35" t="s">
        <v>146</v>
      </c>
      <c r="B62" s="50" t="s">
        <v>151</v>
      </c>
      <c r="C62" s="50"/>
      <c r="D62" s="37"/>
      <c r="E62" s="40">
        <v>65</v>
      </c>
      <c r="F62" s="40"/>
      <c r="G62" s="40"/>
      <c r="H62" s="40"/>
      <c r="I62" s="40"/>
      <c r="J62" s="38">
        <f t="shared" si="0"/>
        <v>65</v>
      </c>
      <c r="K62" s="39"/>
    </row>
    <row r="63" spans="1:11" ht="14.1" customHeight="1">
      <c r="A63" s="35" t="s">
        <v>148</v>
      </c>
      <c r="B63" s="50" t="s">
        <v>153</v>
      </c>
      <c r="C63" s="50"/>
      <c r="D63" s="44"/>
      <c r="E63" s="45"/>
      <c r="F63" s="45">
        <v>15</v>
      </c>
      <c r="G63" s="45">
        <v>32</v>
      </c>
      <c r="H63" s="45">
        <v>51</v>
      </c>
      <c r="I63" s="45"/>
      <c r="J63" s="38">
        <f t="shared" si="0"/>
        <v>98</v>
      </c>
      <c r="K63" s="39"/>
    </row>
    <row r="64" spans="1:11" ht="14.1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>
        <v>4</v>
      </c>
      <c r="J64" s="38">
        <f t="shared" si="0"/>
        <v>4</v>
      </c>
      <c r="K64" s="39"/>
    </row>
    <row r="65" spans="1:11" ht="14.1" customHeight="1">
      <c r="A65" s="35" t="s">
        <v>152</v>
      </c>
      <c r="B65" s="36" t="s">
        <v>157</v>
      </c>
      <c r="C65" s="36"/>
      <c r="D65" s="37" t="s">
        <v>286</v>
      </c>
      <c r="E65" s="38">
        <f>E66+E67+E68+E69</f>
        <v>1035</v>
      </c>
      <c r="F65" s="38">
        <f>F66+F67+F68+F69</f>
        <v>125</v>
      </c>
      <c r="G65" s="38">
        <f>G66+G67+G68+G69</f>
        <v>408</v>
      </c>
      <c r="H65" s="38">
        <f>H66+H67+H68+H69</f>
        <v>751</v>
      </c>
      <c r="I65" s="38">
        <f>I66+I67+I68+I69</f>
        <v>0</v>
      </c>
      <c r="J65" s="38">
        <f t="shared" si="0"/>
        <v>2319</v>
      </c>
      <c r="K65" s="39"/>
    </row>
    <row r="66" spans="1:11" ht="14.1" customHeight="1">
      <c r="A66" s="35" t="s">
        <v>154</v>
      </c>
      <c r="B66" s="50" t="s">
        <v>149</v>
      </c>
      <c r="C66" s="50"/>
      <c r="D66" s="44"/>
      <c r="E66" s="45"/>
      <c r="F66" s="45"/>
      <c r="G66" s="45"/>
      <c r="H66" s="45"/>
      <c r="I66" s="45"/>
      <c r="J66" s="38">
        <f t="shared" si="0"/>
        <v>0</v>
      </c>
      <c r="K66" s="39"/>
    </row>
    <row r="67" spans="1:11" ht="14.1" customHeight="1">
      <c r="A67" s="35" t="s">
        <v>156</v>
      </c>
      <c r="B67" s="50" t="s">
        <v>151</v>
      </c>
      <c r="C67" s="50"/>
      <c r="D67" s="37"/>
      <c r="E67" s="40">
        <v>1035</v>
      </c>
      <c r="F67" s="40"/>
      <c r="G67" s="40"/>
      <c r="H67" s="40"/>
      <c r="I67" s="40"/>
      <c r="J67" s="38">
        <f t="shared" si="0"/>
        <v>1035</v>
      </c>
      <c r="K67" s="39"/>
    </row>
    <row r="68" spans="1:11" ht="14.1" customHeight="1">
      <c r="A68" s="35" t="s">
        <v>158</v>
      </c>
      <c r="B68" s="50" t="s">
        <v>153</v>
      </c>
      <c r="C68" s="50"/>
      <c r="D68" s="44"/>
      <c r="E68" s="45"/>
      <c r="F68" s="45">
        <v>125</v>
      </c>
      <c r="G68" s="45">
        <v>408</v>
      </c>
      <c r="H68" s="45">
        <v>751</v>
      </c>
      <c r="I68" s="45"/>
      <c r="J68" s="38">
        <f t="shared" ref="J68:J72" si="1">SUM(E68:I68)</f>
        <v>1284</v>
      </c>
      <c r="K68" s="39"/>
    </row>
    <row r="69" spans="1:11" ht="14.1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38">
        <f t="shared" si="1"/>
        <v>0</v>
      </c>
      <c r="K69" s="39"/>
    </row>
    <row r="70" spans="1:11" ht="14.1" customHeight="1">
      <c r="A70" s="35" t="s">
        <v>160</v>
      </c>
      <c r="B70" s="36" t="s">
        <v>218</v>
      </c>
      <c r="C70" s="36"/>
      <c r="D70" s="37"/>
      <c r="E70" s="40">
        <v>72</v>
      </c>
      <c r="F70" s="40">
        <v>8</v>
      </c>
      <c r="G70" s="40">
        <v>3</v>
      </c>
      <c r="H70" s="40">
        <v>2</v>
      </c>
      <c r="I70" s="40"/>
      <c r="J70" s="38">
        <f t="shared" si="1"/>
        <v>85</v>
      </c>
      <c r="K70" s="39"/>
    </row>
    <row r="71" spans="1:11" ht="14.1" customHeight="1">
      <c r="A71" s="35" t="s">
        <v>161</v>
      </c>
      <c r="B71" s="50" t="s">
        <v>219</v>
      </c>
      <c r="C71" s="50"/>
      <c r="D71" s="47"/>
      <c r="E71" s="40">
        <v>6698.1</v>
      </c>
      <c r="F71" s="40">
        <v>1515</v>
      </c>
      <c r="G71" s="40">
        <v>5789.3</v>
      </c>
      <c r="H71" s="40">
        <v>14972.68</v>
      </c>
      <c r="I71" s="40">
        <v>3000</v>
      </c>
      <c r="J71" s="38">
        <f t="shared" si="1"/>
        <v>31975.08</v>
      </c>
      <c r="K71" s="39"/>
    </row>
    <row r="72" spans="1:11" ht="14.1" customHeight="1">
      <c r="A72" s="35" t="s">
        <v>162</v>
      </c>
      <c r="B72" s="50" t="s">
        <v>220</v>
      </c>
      <c r="C72" s="50"/>
      <c r="D72" s="47"/>
      <c r="E72" s="40">
        <v>5066</v>
      </c>
      <c r="F72" s="40">
        <v>200</v>
      </c>
      <c r="G72" s="40">
        <v>3500</v>
      </c>
      <c r="H72" s="40">
        <v>8305</v>
      </c>
      <c r="I72" s="40">
        <v>3000</v>
      </c>
      <c r="J72" s="38">
        <f t="shared" si="1"/>
        <v>20071</v>
      </c>
      <c r="K72" s="39"/>
    </row>
    <row r="73" spans="1:11">
      <c r="E73" s="1">
        <f t="shared" ref="E73:J73" si="2">E5/E60</f>
        <v>363290.17507692304</v>
      </c>
      <c r="F73" s="1">
        <f t="shared" si="2"/>
        <v>330950.66666666669</v>
      </c>
      <c r="G73" s="1">
        <f t="shared" si="2"/>
        <v>326218.43906250002</v>
      </c>
      <c r="H73" s="1">
        <f t="shared" si="2"/>
        <v>319403.04784313729</v>
      </c>
      <c r="I73" s="1">
        <f t="shared" si="2"/>
        <v>378661.42750000005</v>
      </c>
      <c r="J73" s="1">
        <f t="shared" si="2"/>
        <v>340247.38071856293</v>
      </c>
    </row>
    <row r="74" spans="1:11">
      <c r="E74" s="1">
        <f t="shared" ref="E74:J74" si="3">E34/E70</f>
        <v>18994.236111111109</v>
      </c>
      <c r="F74" s="1">
        <f t="shared" si="3"/>
        <v>16792.5</v>
      </c>
      <c r="G74" s="1">
        <f t="shared" si="3"/>
        <v>16060</v>
      </c>
      <c r="H74" s="1">
        <f t="shared" si="3"/>
        <v>14400</v>
      </c>
      <c r="I74" s="1" t="e">
        <f t="shared" si="3"/>
        <v>#DIV/0!</v>
      </c>
      <c r="J74" s="1">
        <f t="shared" si="3"/>
        <v>18575.352941176472</v>
      </c>
    </row>
  </sheetData>
  <protectedRanges>
    <protectedRange password="E9C1" sqref="D30 C31 A5:D6 B7:D29 A2:K2 J5:K72 B32:D72 A7:A72 A4:K4 A3:D3 J3:K3" name="区域1_1"/>
    <protectedRange password="E9C1" sqref="B30:C30 B31" name="区域1_1_1"/>
    <protectedRange password="E9C1" sqref="D31" name="区域1_2"/>
    <protectedRange password="E9C1" sqref="F3:H3" name="区域1_1_2"/>
  </protectedRanges>
  <mergeCells count="7">
    <mergeCell ref="A1:K1"/>
    <mergeCell ref="A2:A3"/>
    <mergeCell ref="B2:B3"/>
    <mergeCell ref="C2:C3"/>
    <mergeCell ref="D2:D3"/>
    <mergeCell ref="J2:J3"/>
    <mergeCell ref="K2:K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Y74"/>
  <sheetViews>
    <sheetView topLeftCell="F1" workbookViewId="0">
      <selection activeCell="V3" sqref="V3"/>
    </sheetView>
  </sheetViews>
  <sheetFormatPr defaultRowHeight="11.25"/>
  <cols>
    <col min="1" max="1" width="4.125" style="13" customWidth="1"/>
    <col min="2" max="2" width="12.125" style="1" customWidth="1"/>
    <col min="3" max="3" width="5.375" style="1" hidden="1" customWidth="1"/>
    <col min="4" max="4" width="6.125" style="14" hidden="1" customWidth="1"/>
    <col min="5" max="25" width="11.625" style="1" customWidth="1"/>
    <col min="26" max="16384" width="9" style="1"/>
  </cols>
  <sheetData>
    <row r="1" spans="1:25" s="117" customFormat="1" ht="20.100000000000001" customHeight="1">
      <c r="A1" s="356" t="s">
        <v>829</v>
      </c>
      <c r="B1" s="357"/>
      <c r="C1" s="357"/>
      <c r="D1" s="357"/>
      <c r="E1" s="357"/>
      <c r="F1" s="357"/>
      <c r="G1" s="357"/>
      <c r="H1" s="357"/>
      <c r="I1" s="357"/>
      <c r="J1" s="357"/>
      <c r="K1" s="357"/>
      <c r="L1" s="357"/>
      <c r="M1" s="357"/>
      <c r="N1" s="357"/>
      <c r="O1" s="357"/>
      <c r="P1" s="357"/>
      <c r="Q1" s="357"/>
      <c r="R1" s="357"/>
      <c r="S1" s="357"/>
      <c r="T1" s="357"/>
      <c r="U1" s="357"/>
      <c r="V1" s="357"/>
      <c r="W1" s="357"/>
      <c r="X1" s="357"/>
      <c r="Y1" s="357"/>
    </row>
    <row r="2" spans="1:25" ht="24.95" customHeight="1">
      <c r="A2" s="358" t="s">
        <v>12</v>
      </c>
      <c r="B2" s="358" t="s">
        <v>13</v>
      </c>
      <c r="C2" s="358" t="s">
        <v>14</v>
      </c>
      <c r="D2" s="358" t="s">
        <v>15</v>
      </c>
      <c r="E2" s="52" t="s">
        <v>289</v>
      </c>
      <c r="F2" s="52" t="s">
        <v>290</v>
      </c>
      <c r="G2" s="52" t="s">
        <v>291</v>
      </c>
      <c r="H2" s="52" t="s">
        <v>292</v>
      </c>
      <c r="I2" s="52" t="s">
        <v>293</v>
      </c>
      <c r="J2" s="52" t="s">
        <v>294</v>
      </c>
      <c r="K2" s="52" t="s">
        <v>295</v>
      </c>
      <c r="L2" s="52" t="s">
        <v>296</v>
      </c>
      <c r="M2" s="52" t="s">
        <v>297</v>
      </c>
      <c r="N2" s="52" t="s">
        <v>298</v>
      </c>
      <c r="O2" s="52" t="s">
        <v>299</v>
      </c>
      <c r="P2" s="52" t="s">
        <v>300</v>
      </c>
      <c r="Q2" s="52" t="s">
        <v>301</v>
      </c>
      <c r="R2" s="52" t="s">
        <v>302</v>
      </c>
      <c r="S2" s="52" t="s">
        <v>303</v>
      </c>
      <c r="T2" s="52" t="s">
        <v>304</v>
      </c>
      <c r="U2" s="52" t="s">
        <v>305</v>
      </c>
      <c r="V2" s="52" t="s">
        <v>306</v>
      </c>
      <c r="W2" s="52" t="s">
        <v>307</v>
      </c>
      <c r="X2" s="52" t="s">
        <v>308</v>
      </c>
      <c r="Y2" s="358" t="s">
        <v>17</v>
      </c>
    </row>
    <row r="3" spans="1:25" ht="24.95" customHeight="1">
      <c r="A3" s="359"/>
      <c r="B3" s="359"/>
      <c r="C3" s="359"/>
      <c r="D3" s="359"/>
      <c r="E3" s="33" t="s">
        <v>464</v>
      </c>
      <c r="F3" s="33" t="s">
        <v>464</v>
      </c>
      <c r="G3" s="33" t="s">
        <v>464</v>
      </c>
      <c r="H3" s="33" t="s">
        <v>464</v>
      </c>
      <c r="I3" s="33" t="s">
        <v>463</v>
      </c>
      <c r="J3" s="33" t="s">
        <v>463</v>
      </c>
      <c r="K3" s="33" t="s">
        <v>463</v>
      </c>
      <c r="L3" s="33" t="s">
        <v>463</v>
      </c>
      <c r="M3" s="33" t="s">
        <v>463</v>
      </c>
      <c r="N3" s="33" t="s">
        <v>460</v>
      </c>
      <c r="O3" s="33" t="s">
        <v>460</v>
      </c>
      <c r="P3" s="33" t="s">
        <v>460</v>
      </c>
      <c r="Q3" s="33" t="s">
        <v>460</v>
      </c>
      <c r="R3" s="33" t="s">
        <v>460</v>
      </c>
      <c r="S3" s="33" t="s">
        <v>461</v>
      </c>
      <c r="T3" s="33" t="s">
        <v>460</v>
      </c>
      <c r="U3" s="33" t="s">
        <v>462</v>
      </c>
      <c r="V3" s="33" t="s">
        <v>460</v>
      </c>
      <c r="W3" s="33" t="s">
        <v>460</v>
      </c>
      <c r="X3" s="33" t="s">
        <v>460</v>
      </c>
      <c r="Y3" s="359"/>
    </row>
    <row r="4" spans="1:25" ht="24.95" customHeight="1">
      <c r="A4" s="35" t="s">
        <v>19</v>
      </c>
      <c r="B4" s="36" t="s">
        <v>20</v>
      </c>
      <c r="C4" s="36"/>
      <c r="D4" s="37" t="s">
        <v>21</v>
      </c>
      <c r="E4" s="38">
        <f t="shared" ref="E4:X4" si="0">E5+E32+E37</f>
        <v>123679896.22999999</v>
      </c>
      <c r="F4" s="38">
        <f t="shared" si="0"/>
        <v>42674178.579999998</v>
      </c>
      <c r="G4" s="38">
        <f t="shared" si="0"/>
        <v>36775619.049999997</v>
      </c>
      <c r="H4" s="38">
        <f t="shared" si="0"/>
        <v>47574334.219999999</v>
      </c>
      <c r="I4" s="38">
        <f t="shared" si="0"/>
        <v>155089921.33000001</v>
      </c>
      <c r="J4" s="38">
        <f t="shared" si="0"/>
        <v>25671099.18</v>
      </c>
      <c r="K4" s="38">
        <f t="shared" si="0"/>
        <v>59082254.959999993</v>
      </c>
      <c r="L4" s="38">
        <f t="shared" si="0"/>
        <v>24359039.82</v>
      </c>
      <c r="M4" s="38">
        <f t="shared" si="0"/>
        <v>55658006.520000003</v>
      </c>
      <c r="N4" s="38">
        <f t="shared" si="0"/>
        <v>35227661.200000003</v>
      </c>
      <c r="O4" s="38">
        <f t="shared" si="0"/>
        <v>16095520.27</v>
      </c>
      <c r="P4" s="38">
        <f t="shared" si="0"/>
        <v>17774278.849999998</v>
      </c>
      <c r="Q4" s="38">
        <f t="shared" si="0"/>
        <v>10691313.93</v>
      </c>
      <c r="R4" s="38">
        <f t="shared" si="0"/>
        <v>15563313.899999999</v>
      </c>
      <c r="S4" s="38">
        <f t="shared" si="0"/>
        <v>3141847.15</v>
      </c>
      <c r="T4" s="38">
        <f t="shared" si="0"/>
        <v>15984353.949999999</v>
      </c>
      <c r="U4" s="38">
        <f t="shared" si="0"/>
        <v>54247307.549999997</v>
      </c>
      <c r="V4" s="38">
        <f t="shared" si="0"/>
        <v>7180418.379999999</v>
      </c>
      <c r="W4" s="38">
        <f t="shared" si="0"/>
        <v>26858614.850000001</v>
      </c>
      <c r="X4" s="38">
        <f t="shared" si="0"/>
        <v>5226212.0199999996</v>
      </c>
      <c r="Y4" s="38">
        <f t="shared" ref="Y4:Y67" si="1">SUM(E4:X4)</f>
        <v>778555191.93999994</v>
      </c>
    </row>
    <row r="5" spans="1:25" ht="24.9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103475681.14999999</v>
      </c>
      <c r="F5" s="38">
        <f t="shared" ref="F5:X5" si="2">F6+F9+F13+F16+F21+F26+F28+F30+F31</f>
        <v>35021807.149999999</v>
      </c>
      <c r="G5" s="38">
        <f t="shared" si="2"/>
        <v>29916835.710000001</v>
      </c>
      <c r="H5" s="38">
        <f t="shared" si="2"/>
        <v>39830768.559999995</v>
      </c>
      <c r="I5" s="38">
        <f t="shared" si="2"/>
        <v>130019167.44000001</v>
      </c>
      <c r="J5" s="38">
        <f t="shared" si="2"/>
        <v>21698245.440000001</v>
      </c>
      <c r="K5" s="38">
        <f t="shared" si="2"/>
        <v>49168209.229999997</v>
      </c>
      <c r="L5" s="38">
        <f t="shared" si="2"/>
        <v>20612076.559999999</v>
      </c>
      <c r="M5" s="38">
        <f t="shared" si="2"/>
        <v>47276106.230000004</v>
      </c>
      <c r="N5" s="38">
        <f t="shared" si="2"/>
        <v>30222078.289999999</v>
      </c>
      <c r="O5" s="38">
        <f t="shared" si="2"/>
        <v>13320412.559999999</v>
      </c>
      <c r="P5" s="38">
        <f t="shared" si="2"/>
        <v>15162754.289999999</v>
      </c>
      <c r="Q5" s="38">
        <f t="shared" si="2"/>
        <v>9361678.8399999999</v>
      </c>
      <c r="R5" s="38">
        <f t="shared" si="2"/>
        <v>13190629.039999999</v>
      </c>
      <c r="S5" s="38">
        <f t="shared" si="2"/>
        <v>2647160.29</v>
      </c>
      <c r="T5" s="38">
        <f t="shared" si="2"/>
        <v>14221134.289999999</v>
      </c>
      <c r="U5" s="38">
        <f t="shared" si="2"/>
        <v>44736412.289999999</v>
      </c>
      <c r="V5" s="38">
        <f t="shared" si="2"/>
        <v>5984493.1499999994</v>
      </c>
      <c r="W5" s="38">
        <f t="shared" si="2"/>
        <v>24144545.710000001</v>
      </c>
      <c r="X5" s="38">
        <f t="shared" si="2"/>
        <v>4103171.85</v>
      </c>
      <c r="Y5" s="38">
        <f t="shared" si="1"/>
        <v>654113368.06999993</v>
      </c>
    </row>
    <row r="6" spans="1:25" ht="24.95" customHeight="1">
      <c r="A6" s="35" t="s">
        <v>23</v>
      </c>
      <c r="B6" s="36" t="s">
        <v>24</v>
      </c>
      <c r="C6" s="36"/>
      <c r="D6" s="37" t="s">
        <v>21</v>
      </c>
      <c r="E6" s="38">
        <f>E7+E8</f>
        <v>13346017</v>
      </c>
      <c r="F6" s="38">
        <f t="shared" ref="F6:X6" si="3">F7+F8</f>
        <v>4575828</v>
      </c>
      <c r="G6" s="38">
        <f t="shared" si="3"/>
        <v>3961992</v>
      </c>
      <c r="H6" s="38">
        <f t="shared" si="3"/>
        <v>4764552</v>
      </c>
      <c r="I6" s="38">
        <f t="shared" si="3"/>
        <v>16713215</v>
      </c>
      <c r="J6" s="38">
        <f t="shared" si="3"/>
        <v>2976804</v>
      </c>
      <c r="K6" s="38">
        <f t="shared" si="3"/>
        <v>5856958.0800000001</v>
      </c>
      <c r="L6" s="38">
        <f t="shared" si="3"/>
        <v>2769900</v>
      </c>
      <c r="M6" s="38">
        <f t="shared" si="3"/>
        <v>5720996.5200000005</v>
      </c>
      <c r="N6" s="38">
        <f t="shared" si="3"/>
        <v>4382400</v>
      </c>
      <c r="O6" s="38">
        <f t="shared" si="3"/>
        <v>1986792</v>
      </c>
      <c r="P6" s="38">
        <f t="shared" si="3"/>
        <v>1979256</v>
      </c>
      <c r="Q6" s="38">
        <f t="shared" si="3"/>
        <v>1269622.3999999999</v>
      </c>
      <c r="R6" s="38">
        <f t="shared" si="3"/>
        <v>1933330.75</v>
      </c>
      <c r="S6" s="38">
        <f t="shared" si="3"/>
        <v>359736</v>
      </c>
      <c r="T6" s="38">
        <f t="shared" si="3"/>
        <v>1961892</v>
      </c>
      <c r="U6" s="38">
        <f t="shared" si="3"/>
        <v>4841988</v>
      </c>
      <c r="V6" s="38">
        <f t="shared" si="3"/>
        <v>774180</v>
      </c>
      <c r="W6" s="38">
        <f t="shared" si="3"/>
        <v>3463896</v>
      </c>
      <c r="X6" s="38">
        <f t="shared" si="3"/>
        <v>492922</v>
      </c>
      <c r="Y6" s="38">
        <f t="shared" si="1"/>
        <v>84132277.75</v>
      </c>
    </row>
    <row r="7" spans="1:25" ht="24.9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7331142</v>
      </c>
      <c r="F7" s="40">
        <f>217520*12</f>
        <v>2610240</v>
      </c>
      <c r="G7" s="40">
        <v>2195160</v>
      </c>
      <c r="H7" s="40">
        <f>243457*12</f>
        <v>2921484</v>
      </c>
      <c r="I7" s="40">
        <v>9736373</v>
      </c>
      <c r="J7" s="40">
        <v>1558896</v>
      </c>
      <c r="K7" s="40">
        <f>294035.84*12</f>
        <v>3528430.08</v>
      </c>
      <c r="L7" s="40">
        <f>120511*12</f>
        <v>1446132</v>
      </c>
      <c r="M7" s="40">
        <f>291512.71*12</f>
        <v>3498152.5200000005</v>
      </c>
      <c r="N7" s="40">
        <f>197084*12</f>
        <v>2365008</v>
      </c>
      <c r="O7" s="40">
        <f>86075*12</f>
        <v>1032900</v>
      </c>
      <c r="P7" s="40">
        <f>103202*12</f>
        <v>1238424</v>
      </c>
      <c r="Q7" s="40">
        <v>766767.4</v>
      </c>
      <c r="R7" s="40">
        <v>1045390</v>
      </c>
      <c r="S7" s="40">
        <v>183000</v>
      </c>
      <c r="T7" s="40">
        <v>1156320</v>
      </c>
      <c r="U7" s="40">
        <f>273300*12</f>
        <v>3279600</v>
      </c>
      <c r="V7" s="40">
        <f>39325*12</f>
        <v>471900</v>
      </c>
      <c r="W7" s="40">
        <f>159189*12</f>
        <v>1910268</v>
      </c>
      <c r="X7" s="40">
        <v>317548</v>
      </c>
      <c r="Y7" s="38">
        <f t="shared" si="1"/>
        <v>48593135</v>
      </c>
    </row>
    <row r="8" spans="1:25" ht="24.9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6014875</v>
      </c>
      <c r="F8" s="40">
        <f>163799*12</f>
        <v>1965588</v>
      </c>
      <c r="G8" s="40">
        <v>1766832</v>
      </c>
      <c r="H8" s="40">
        <f>153589*12</f>
        <v>1843068</v>
      </c>
      <c r="I8" s="40">
        <v>6976842</v>
      </c>
      <c r="J8" s="40">
        <v>1417908</v>
      </c>
      <c r="K8" s="40">
        <f>194044*12</f>
        <v>2328528</v>
      </c>
      <c r="L8" s="40">
        <f>110314*12</f>
        <v>1323768</v>
      </c>
      <c r="M8" s="40">
        <f>185237*12</f>
        <v>2222844</v>
      </c>
      <c r="N8" s="40">
        <f>168116*12</f>
        <v>2017392</v>
      </c>
      <c r="O8" s="40">
        <f>79491*12</f>
        <v>953892</v>
      </c>
      <c r="P8" s="40">
        <f>61736*12</f>
        <v>740832</v>
      </c>
      <c r="Q8" s="40">
        <v>502855</v>
      </c>
      <c r="R8" s="40">
        <v>887940.75</v>
      </c>
      <c r="S8" s="40">
        <v>176736</v>
      </c>
      <c r="T8" s="40">
        <v>805572</v>
      </c>
      <c r="U8" s="40">
        <f>130199*12</f>
        <v>1562388</v>
      </c>
      <c r="V8" s="40">
        <f>25190*12</f>
        <v>302280</v>
      </c>
      <c r="W8" s="40">
        <f>129469*12</f>
        <v>1553628</v>
      </c>
      <c r="X8" s="40">
        <v>175374</v>
      </c>
      <c r="Y8" s="38">
        <f t="shared" si="1"/>
        <v>35539142.75</v>
      </c>
    </row>
    <row r="9" spans="1:25" ht="24.9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1433780</v>
      </c>
      <c r="F9" s="38">
        <f t="shared" ref="F9:X9" si="4">F10+F11</f>
        <v>487308</v>
      </c>
      <c r="G9" s="38">
        <f t="shared" si="4"/>
        <v>423072</v>
      </c>
      <c r="H9" s="38">
        <f t="shared" si="4"/>
        <v>565284</v>
      </c>
      <c r="I9" s="38">
        <f t="shared" si="4"/>
        <v>1918399</v>
      </c>
      <c r="J9" s="38">
        <f t="shared" si="4"/>
        <v>316548</v>
      </c>
      <c r="K9" s="38">
        <f t="shared" si="4"/>
        <v>719484</v>
      </c>
      <c r="L9" s="38">
        <f t="shared" si="4"/>
        <v>300420</v>
      </c>
      <c r="M9" s="38">
        <f t="shared" si="4"/>
        <v>693684</v>
      </c>
      <c r="N9" s="38">
        <f t="shared" si="4"/>
        <v>493956</v>
      </c>
      <c r="O9" s="38">
        <f t="shared" si="4"/>
        <v>220008</v>
      </c>
      <c r="P9" s="38">
        <f t="shared" si="4"/>
        <v>256452</v>
      </c>
      <c r="Q9" s="38">
        <f t="shared" si="4"/>
        <v>155029</v>
      </c>
      <c r="R9" s="38">
        <f t="shared" si="4"/>
        <v>219935</v>
      </c>
      <c r="S9" s="38">
        <f t="shared" si="4"/>
        <v>37488</v>
      </c>
      <c r="T9" s="38">
        <f t="shared" si="4"/>
        <v>235152</v>
      </c>
      <c r="U9" s="38">
        <f t="shared" si="4"/>
        <v>633864</v>
      </c>
      <c r="V9" s="38">
        <f t="shared" si="4"/>
        <v>101340</v>
      </c>
      <c r="W9" s="38">
        <f t="shared" si="4"/>
        <v>391752</v>
      </c>
      <c r="X9" s="38">
        <f t="shared" si="4"/>
        <v>74681</v>
      </c>
      <c r="Y9" s="38">
        <f t="shared" si="1"/>
        <v>9677636</v>
      </c>
    </row>
    <row r="10" spans="1:25" ht="24.9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18740</v>
      </c>
      <c r="F10" s="40">
        <f>569*12</f>
        <v>6828</v>
      </c>
      <c r="G10" s="40">
        <v>5952</v>
      </c>
      <c r="H10" s="40">
        <f>467*12</f>
        <v>5604</v>
      </c>
      <c r="I10" s="40">
        <v>22879</v>
      </c>
      <c r="J10" s="40">
        <v>5028</v>
      </c>
      <c r="K10" s="40">
        <f>557*12</f>
        <v>6684</v>
      </c>
      <c r="L10" s="40">
        <f>395*12</f>
        <v>4740</v>
      </c>
      <c r="M10" s="40">
        <f>607*12</f>
        <v>7284</v>
      </c>
      <c r="N10" s="40">
        <f>683*12</f>
        <v>8196</v>
      </c>
      <c r="O10" s="40">
        <f>294*12</f>
        <v>3528</v>
      </c>
      <c r="P10" s="40">
        <f>251*12</f>
        <v>3012</v>
      </c>
      <c r="Q10" s="40">
        <v>1909</v>
      </c>
      <c r="R10" s="40">
        <v>3455</v>
      </c>
      <c r="S10" s="40">
        <v>528</v>
      </c>
      <c r="T10" s="40">
        <v>2832</v>
      </c>
      <c r="U10" s="40">
        <f>(338+124)*12</f>
        <v>5544</v>
      </c>
      <c r="V10" s="40">
        <f>85*12</f>
        <v>1020</v>
      </c>
      <c r="W10" s="40">
        <f>526*12</f>
        <v>6312</v>
      </c>
      <c r="X10" s="40">
        <v>761</v>
      </c>
      <c r="Y10" s="38">
        <f t="shared" si="1"/>
        <v>120836</v>
      </c>
    </row>
    <row r="11" spans="1:25" ht="24.9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1415040</v>
      </c>
      <c r="F11" s="38">
        <f t="shared" ref="F11:X11" si="5">F12</f>
        <v>480480</v>
      </c>
      <c r="G11" s="38">
        <f t="shared" si="5"/>
        <v>417120</v>
      </c>
      <c r="H11" s="38">
        <f t="shared" si="5"/>
        <v>559680</v>
      </c>
      <c r="I11" s="38">
        <f t="shared" si="5"/>
        <v>1895520</v>
      </c>
      <c r="J11" s="38">
        <f t="shared" si="5"/>
        <v>311520</v>
      </c>
      <c r="K11" s="38">
        <f t="shared" si="5"/>
        <v>712800</v>
      </c>
      <c r="L11" s="38">
        <f t="shared" si="5"/>
        <v>295680</v>
      </c>
      <c r="M11" s="38">
        <f t="shared" si="5"/>
        <v>686400</v>
      </c>
      <c r="N11" s="38">
        <f t="shared" si="5"/>
        <v>485760</v>
      </c>
      <c r="O11" s="38">
        <f t="shared" si="5"/>
        <v>216480</v>
      </c>
      <c r="P11" s="38">
        <f t="shared" si="5"/>
        <v>253440</v>
      </c>
      <c r="Q11" s="38">
        <f t="shared" si="5"/>
        <v>153120</v>
      </c>
      <c r="R11" s="38">
        <f t="shared" si="5"/>
        <v>216480</v>
      </c>
      <c r="S11" s="38">
        <f t="shared" si="5"/>
        <v>36960</v>
      </c>
      <c r="T11" s="38">
        <f t="shared" si="5"/>
        <v>232320</v>
      </c>
      <c r="U11" s="38">
        <f t="shared" si="5"/>
        <v>628320</v>
      </c>
      <c r="V11" s="38">
        <f t="shared" si="5"/>
        <v>100320</v>
      </c>
      <c r="W11" s="38">
        <f t="shared" si="5"/>
        <v>385440</v>
      </c>
      <c r="X11" s="38">
        <f t="shared" si="5"/>
        <v>73920</v>
      </c>
      <c r="Y11" s="38">
        <f t="shared" si="1"/>
        <v>9556800</v>
      </c>
    </row>
    <row r="12" spans="1:25" s="2" customFormat="1" ht="24.95" customHeight="1">
      <c r="A12" s="35" t="s">
        <v>37</v>
      </c>
      <c r="B12" s="42" t="s">
        <v>309</v>
      </c>
      <c r="C12" s="42" t="s">
        <v>27</v>
      </c>
      <c r="D12" s="39" t="s">
        <v>21</v>
      </c>
      <c r="E12" s="38">
        <f>440*12*E60</f>
        <v>1415040</v>
      </c>
      <c r="F12" s="38">
        <f t="shared" ref="F12:X12" si="6">440*12*F60</f>
        <v>480480</v>
      </c>
      <c r="G12" s="38">
        <f t="shared" si="6"/>
        <v>417120</v>
      </c>
      <c r="H12" s="38">
        <f t="shared" si="6"/>
        <v>559680</v>
      </c>
      <c r="I12" s="38">
        <f t="shared" si="6"/>
        <v>1895520</v>
      </c>
      <c r="J12" s="38">
        <f t="shared" si="6"/>
        <v>311520</v>
      </c>
      <c r="K12" s="38">
        <f t="shared" si="6"/>
        <v>712800</v>
      </c>
      <c r="L12" s="38">
        <f t="shared" si="6"/>
        <v>295680</v>
      </c>
      <c r="M12" s="38">
        <f t="shared" si="6"/>
        <v>686400</v>
      </c>
      <c r="N12" s="38">
        <f t="shared" si="6"/>
        <v>485760</v>
      </c>
      <c r="O12" s="38">
        <f t="shared" si="6"/>
        <v>216480</v>
      </c>
      <c r="P12" s="38">
        <f t="shared" si="6"/>
        <v>253440</v>
      </c>
      <c r="Q12" s="38">
        <f t="shared" si="6"/>
        <v>153120</v>
      </c>
      <c r="R12" s="38">
        <f t="shared" si="6"/>
        <v>216480</v>
      </c>
      <c r="S12" s="38">
        <f t="shared" si="6"/>
        <v>36960</v>
      </c>
      <c r="T12" s="38">
        <f t="shared" si="6"/>
        <v>232320</v>
      </c>
      <c r="U12" s="38">
        <f t="shared" si="6"/>
        <v>628320</v>
      </c>
      <c r="V12" s="38">
        <f t="shared" si="6"/>
        <v>100320</v>
      </c>
      <c r="W12" s="38">
        <f t="shared" si="6"/>
        <v>385440</v>
      </c>
      <c r="X12" s="38">
        <f t="shared" si="6"/>
        <v>73920</v>
      </c>
      <c r="Y12" s="38">
        <f t="shared" si="1"/>
        <v>9556800</v>
      </c>
    </row>
    <row r="13" spans="1:25" ht="24.9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701092.72</v>
      </c>
      <c r="F13" s="38">
        <f t="shared" ref="F13:X13" si="7">F14+F15</f>
        <v>234541.72</v>
      </c>
      <c r="G13" s="38">
        <f t="shared" si="7"/>
        <v>193028.58</v>
      </c>
      <c r="H13" s="38">
        <f t="shared" si="7"/>
        <v>264402.86</v>
      </c>
      <c r="I13" s="38">
        <f t="shared" si="7"/>
        <v>858997.14</v>
      </c>
      <c r="J13" s="38">
        <f t="shared" si="7"/>
        <v>143369.14000000001</v>
      </c>
      <c r="K13" s="38">
        <f t="shared" si="7"/>
        <v>338689.72</v>
      </c>
      <c r="L13" s="38">
        <f t="shared" si="7"/>
        <v>137694.85999999999</v>
      </c>
      <c r="M13" s="38">
        <f t="shared" si="7"/>
        <v>322748.58</v>
      </c>
      <c r="N13" s="38">
        <f t="shared" si="7"/>
        <v>206883.42</v>
      </c>
      <c r="O13" s="38">
        <f t="shared" si="7"/>
        <v>88158.86</v>
      </c>
      <c r="P13" s="38">
        <f t="shared" si="7"/>
        <v>101343.42</v>
      </c>
      <c r="Q13" s="38">
        <f t="shared" si="7"/>
        <v>64049.14</v>
      </c>
      <c r="R13" s="38">
        <f t="shared" si="7"/>
        <v>86464.42</v>
      </c>
      <c r="S13" s="38">
        <f t="shared" si="7"/>
        <v>18183.419999999998</v>
      </c>
      <c r="T13" s="38">
        <f t="shared" si="7"/>
        <v>96771.42</v>
      </c>
      <c r="U13" s="38">
        <f t="shared" si="7"/>
        <v>308571.42</v>
      </c>
      <c r="V13" s="38">
        <f t="shared" si="7"/>
        <v>39937.72</v>
      </c>
      <c r="W13" s="38">
        <f t="shared" si="7"/>
        <v>168104.58</v>
      </c>
      <c r="X13" s="38">
        <f t="shared" si="7"/>
        <v>24340.28</v>
      </c>
      <c r="Y13" s="38">
        <f t="shared" si="1"/>
        <v>4397373.42</v>
      </c>
    </row>
    <row r="14" spans="1:25" s="2" customFormat="1" ht="24.95" customHeight="1">
      <c r="A14" s="35" t="s">
        <v>42</v>
      </c>
      <c r="B14" s="42" t="s">
        <v>310</v>
      </c>
      <c r="C14" s="42" t="s">
        <v>27</v>
      </c>
      <c r="D14" s="39" t="s">
        <v>43</v>
      </c>
      <c r="E14" s="38">
        <f>ROUND(E30/0.07*0.005,2)</f>
        <v>350546.36</v>
      </c>
      <c r="F14" s="38">
        <f t="shared" ref="F14:X14" si="8">ROUND(F30/0.07*0.005,2)</f>
        <v>117270.86</v>
      </c>
      <c r="G14" s="38">
        <f t="shared" si="8"/>
        <v>96514.29</v>
      </c>
      <c r="H14" s="38">
        <f t="shared" si="8"/>
        <v>132201.43</v>
      </c>
      <c r="I14" s="38">
        <f t="shared" si="8"/>
        <v>429498.57</v>
      </c>
      <c r="J14" s="38">
        <f t="shared" si="8"/>
        <v>71684.570000000007</v>
      </c>
      <c r="K14" s="38">
        <f t="shared" si="8"/>
        <v>169344.86</v>
      </c>
      <c r="L14" s="38">
        <f t="shared" si="8"/>
        <v>68847.429999999993</v>
      </c>
      <c r="M14" s="38">
        <f t="shared" si="8"/>
        <v>161374.29</v>
      </c>
      <c r="N14" s="38">
        <f t="shared" si="8"/>
        <v>103441.71</v>
      </c>
      <c r="O14" s="38">
        <f t="shared" si="8"/>
        <v>44079.43</v>
      </c>
      <c r="P14" s="38">
        <f t="shared" si="8"/>
        <v>50671.71</v>
      </c>
      <c r="Q14" s="38">
        <f t="shared" si="8"/>
        <v>32024.57</v>
      </c>
      <c r="R14" s="38">
        <f t="shared" si="8"/>
        <v>43232.21</v>
      </c>
      <c r="S14" s="38">
        <f t="shared" si="8"/>
        <v>9091.7099999999991</v>
      </c>
      <c r="T14" s="38">
        <f t="shared" si="8"/>
        <v>48385.71</v>
      </c>
      <c r="U14" s="38">
        <f t="shared" si="8"/>
        <v>154285.71</v>
      </c>
      <c r="V14" s="38">
        <f t="shared" si="8"/>
        <v>19968.86</v>
      </c>
      <c r="W14" s="38">
        <f t="shared" si="8"/>
        <v>84052.29</v>
      </c>
      <c r="X14" s="38">
        <f t="shared" si="8"/>
        <v>12170.14</v>
      </c>
      <c r="Y14" s="38">
        <f t="shared" si="1"/>
        <v>2198686.71</v>
      </c>
    </row>
    <row r="15" spans="1:25" s="2" customFormat="1" ht="24.95" customHeight="1">
      <c r="A15" s="35" t="s">
        <v>44</v>
      </c>
      <c r="B15" s="42" t="s">
        <v>311</v>
      </c>
      <c r="C15" s="42" t="s">
        <v>27</v>
      </c>
      <c r="D15" s="39" t="s">
        <v>43</v>
      </c>
      <c r="E15" s="38">
        <f>ROUND(E30/0.07*0.005,2)</f>
        <v>350546.36</v>
      </c>
      <c r="F15" s="38">
        <f t="shared" ref="F15:X15" si="9">ROUND(F30/0.07*0.005,2)</f>
        <v>117270.86</v>
      </c>
      <c r="G15" s="38">
        <f t="shared" si="9"/>
        <v>96514.29</v>
      </c>
      <c r="H15" s="38">
        <f t="shared" si="9"/>
        <v>132201.43</v>
      </c>
      <c r="I15" s="38">
        <f t="shared" si="9"/>
        <v>429498.57</v>
      </c>
      <c r="J15" s="38">
        <f t="shared" si="9"/>
        <v>71684.570000000007</v>
      </c>
      <c r="K15" s="38">
        <f t="shared" si="9"/>
        <v>169344.86</v>
      </c>
      <c r="L15" s="38">
        <f t="shared" si="9"/>
        <v>68847.429999999993</v>
      </c>
      <c r="M15" s="38">
        <f t="shared" si="9"/>
        <v>161374.29</v>
      </c>
      <c r="N15" s="38">
        <f t="shared" si="9"/>
        <v>103441.71</v>
      </c>
      <c r="O15" s="38">
        <f t="shared" si="9"/>
        <v>44079.43</v>
      </c>
      <c r="P15" s="38">
        <f t="shared" si="9"/>
        <v>50671.71</v>
      </c>
      <c r="Q15" s="38">
        <f t="shared" si="9"/>
        <v>32024.57</v>
      </c>
      <c r="R15" s="38">
        <f t="shared" si="9"/>
        <v>43232.21</v>
      </c>
      <c r="S15" s="38">
        <f t="shared" si="9"/>
        <v>9091.7099999999991</v>
      </c>
      <c r="T15" s="38">
        <f t="shared" si="9"/>
        <v>48385.71</v>
      </c>
      <c r="U15" s="38">
        <f t="shared" si="9"/>
        <v>154285.71</v>
      </c>
      <c r="V15" s="38">
        <f t="shared" si="9"/>
        <v>19968.86</v>
      </c>
      <c r="W15" s="38">
        <f t="shared" si="9"/>
        <v>84052.29</v>
      </c>
      <c r="X15" s="38">
        <f t="shared" si="9"/>
        <v>12170.14</v>
      </c>
      <c r="Y15" s="38">
        <f t="shared" si="1"/>
        <v>2198686.71</v>
      </c>
    </row>
    <row r="16" spans="1:25" ht="24.9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57146712</v>
      </c>
      <c r="F16" s="38">
        <f t="shared" ref="F16:X16" si="10">F17+F18+F19+F20</f>
        <v>19404294</v>
      </c>
      <c r="G16" s="38">
        <f t="shared" si="10"/>
        <v>16845486</v>
      </c>
      <c r="H16" s="38">
        <f t="shared" si="10"/>
        <v>22602804</v>
      </c>
      <c r="I16" s="38">
        <f t="shared" si="10"/>
        <v>72732682</v>
      </c>
      <c r="J16" s="38">
        <f t="shared" si="10"/>
        <v>11953282</v>
      </c>
      <c r="K16" s="38">
        <f t="shared" si="10"/>
        <v>27350730</v>
      </c>
      <c r="L16" s="38">
        <f t="shared" si="10"/>
        <v>11345488</v>
      </c>
      <c r="M16" s="38">
        <f t="shared" si="10"/>
        <v>26337740</v>
      </c>
      <c r="N16" s="38">
        <f t="shared" si="10"/>
        <v>16035968</v>
      </c>
      <c r="O16" s="38">
        <f t="shared" si="10"/>
        <v>7146464</v>
      </c>
      <c r="P16" s="38">
        <f t="shared" si="10"/>
        <v>8366592</v>
      </c>
      <c r="Q16" s="38">
        <f t="shared" si="10"/>
        <v>5054816</v>
      </c>
      <c r="R16" s="38">
        <f t="shared" si="10"/>
        <v>7146464</v>
      </c>
      <c r="S16" s="38">
        <f t="shared" si="10"/>
        <v>1431682</v>
      </c>
      <c r="T16" s="38">
        <f t="shared" si="10"/>
        <v>7669376</v>
      </c>
      <c r="U16" s="38">
        <f t="shared" si="10"/>
        <v>25374846</v>
      </c>
      <c r="V16" s="38">
        <f t="shared" si="10"/>
        <v>3311776</v>
      </c>
      <c r="W16" s="38">
        <f t="shared" si="10"/>
        <v>12724192</v>
      </c>
      <c r="X16" s="38">
        <f t="shared" si="10"/>
        <v>2440256</v>
      </c>
      <c r="Y16" s="38">
        <f t="shared" si="1"/>
        <v>362421650</v>
      </c>
    </row>
    <row r="17" spans="1:25" ht="24.95" customHeight="1">
      <c r="A17" s="35" t="s">
        <v>48</v>
      </c>
      <c r="B17" s="43" t="s">
        <v>49</v>
      </c>
      <c r="C17" s="43" t="s">
        <v>27</v>
      </c>
      <c r="D17" s="44" t="s">
        <v>312</v>
      </c>
      <c r="E17" s="45">
        <v>52207088</v>
      </c>
      <c r="F17" s="45">
        <v>17693078</v>
      </c>
      <c r="G17" s="45">
        <v>15083062</v>
      </c>
      <c r="H17" s="45">
        <v>20591208</v>
      </c>
      <c r="I17" s="45">
        <v>66309974</v>
      </c>
      <c r="J17" s="45">
        <v>10779090</v>
      </c>
      <c r="K17" s="45">
        <v>24596646</v>
      </c>
      <c r="L17" s="45">
        <v>10223616</v>
      </c>
      <c r="M17" s="45">
        <v>23988104</v>
      </c>
      <c r="N17" s="45">
        <v>15193284</v>
      </c>
      <c r="O17" s="45">
        <v>6678348</v>
      </c>
      <c r="P17" s="45">
        <v>7856488</v>
      </c>
      <c r="Q17" s="45">
        <v>4659540</v>
      </c>
      <c r="R17" s="45">
        <v>6677760</v>
      </c>
      <c r="S17" s="45">
        <v>1389682</v>
      </c>
      <c r="T17" s="45">
        <v>7131220</v>
      </c>
      <c r="U17" s="45">
        <v>23212346</v>
      </c>
      <c r="V17" s="45">
        <v>2992460</v>
      </c>
      <c r="W17" s="45">
        <v>12286192</v>
      </c>
      <c r="X17" s="45">
        <v>2149500</v>
      </c>
      <c r="Y17" s="38">
        <f t="shared" si="1"/>
        <v>331698686</v>
      </c>
    </row>
    <row r="18" spans="1:25" ht="24.9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651624</v>
      </c>
      <c r="F18" s="45">
        <v>255216</v>
      </c>
      <c r="G18" s="45">
        <f>478464+19960</f>
        <v>498424</v>
      </c>
      <c r="H18" s="45">
        <f>304268+11328</f>
        <v>315596</v>
      </c>
      <c r="I18" s="45">
        <v>678708</v>
      </c>
      <c r="J18" s="45">
        <v>230192</v>
      </c>
      <c r="K18" s="45">
        <v>594084</v>
      </c>
      <c r="L18" s="45">
        <v>225872</v>
      </c>
      <c r="M18" s="45">
        <v>269636</v>
      </c>
      <c r="N18" s="45">
        <v>290684</v>
      </c>
      <c r="O18" s="45">
        <v>222116</v>
      </c>
      <c r="P18" s="45">
        <v>222104</v>
      </c>
      <c r="Q18" s="45">
        <v>221276</v>
      </c>
      <c r="R18" s="45">
        <v>222704</v>
      </c>
      <c r="S18" s="45"/>
      <c r="T18" s="45">
        <v>274156</v>
      </c>
      <c r="U18" s="45">
        <f>248428+10072</f>
        <v>258500</v>
      </c>
      <c r="V18" s="45">
        <v>205316</v>
      </c>
      <c r="W18" s="45"/>
      <c r="X18" s="45">
        <v>206756</v>
      </c>
      <c r="Y18" s="38">
        <f t="shared" si="1"/>
        <v>5842964</v>
      </c>
    </row>
    <row r="19" spans="1:25" ht="24.95" customHeight="1">
      <c r="A19" s="35" t="s">
        <v>54</v>
      </c>
      <c r="B19" s="43" t="s">
        <v>313</v>
      </c>
      <c r="C19" s="43" t="s">
        <v>27</v>
      </c>
      <c r="D19" s="37" t="s">
        <v>21</v>
      </c>
      <c r="E19" s="46">
        <f>E60*500*12</f>
        <v>1608000</v>
      </c>
      <c r="F19" s="46">
        <f t="shared" ref="F19:X19" si="11">F60*500*12</f>
        <v>546000</v>
      </c>
      <c r="G19" s="46">
        <f t="shared" si="11"/>
        <v>474000</v>
      </c>
      <c r="H19" s="46">
        <f t="shared" si="11"/>
        <v>636000</v>
      </c>
      <c r="I19" s="46">
        <f t="shared" si="11"/>
        <v>2154000</v>
      </c>
      <c r="J19" s="46">
        <f t="shared" si="11"/>
        <v>354000</v>
      </c>
      <c r="K19" s="46">
        <f t="shared" si="11"/>
        <v>810000</v>
      </c>
      <c r="L19" s="46">
        <f t="shared" si="11"/>
        <v>336000</v>
      </c>
      <c r="M19" s="46">
        <f t="shared" si="11"/>
        <v>780000</v>
      </c>
      <c r="N19" s="46">
        <f t="shared" si="11"/>
        <v>552000</v>
      </c>
      <c r="O19" s="46">
        <f t="shared" si="11"/>
        <v>246000</v>
      </c>
      <c r="P19" s="46">
        <f t="shared" si="11"/>
        <v>288000</v>
      </c>
      <c r="Q19" s="46">
        <f t="shared" si="11"/>
        <v>174000</v>
      </c>
      <c r="R19" s="46">
        <f t="shared" si="11"/>
        <v>246000</v>
      </c>
      <c r="S19" s="46">
        <f t="shared" si="11"/>
        <v>42000</v>
      </c>
      <c r="T19" s="46">
        <f t="shared" si="11"/>
        <v>264000</v>
      </c>
      <c r="U19" s="46">
        <f t="shared" si="11"/>
        <v>714000</v>
      </c>
      <c r="V19" s="46">
        <f t="shared" si="11"/>
        <v>114000</v>
      </c>
      <c r="W19" s="46">
        <f t="shared" si="11"/>
        <v>438000</v>
      </c>
      <c r="X19" s="46">
        <f t="shared" si="11"/>
        <v>84000</v>
      </c>
      <c r="Y19" s="38">
        <f t="shared" si="1"/>
        <v>10860000</v>
      </c>
    </row>
    <row r="20" spans="1:25" ht="24.95" customHeight="1">
      <c r="A20" s="35" t="s">
        <v>56</v>
      </c>
      <c r="B20" s="43" t="s">
        <v>314</v>
      </c>
      <c r="C20" s="43" t="s">
        <v>27</v>
      </c>
      <c r="D20" s="37" t="s">
        <v>28</v>
      </c>
      <c r="E20" s="45">
        <v>2680000</v>
      </c>
      <c r="F20" s="45">
        <f>F61*10000</f>
        <v>910000</v>
      </c>
      <c r="G20" s="45">
        <f>G61*10000</f>
        <v>790000</v>
      </c>
      <c r="H20" s="45">
        <f>H61*10000</f>
        <v>1060000</v>
      </c>
      <c r="I20" s="45">
        <f>I62*10000</f>
        <v>3590000</v>
      </c>
      <c r="J20" s="45">
        <f>J62*10000</f>
        <v>590000</v>
      </c>
      <c r="K20" s="45">
        <f>K62*10000</f>
        <v>1350000</v>
      </c>
      <c r="L20" s="45">
        <f>L62*10000</f>
        <v>560000</v>
      </c>
      <c r="M20" s="45">
        <f>M62*10000</f>
        <v>1300000</v>
      </c>
      <c r="N20" s="45"/>
      <c r="O20" s="45"/>
      <c r="P20" s="45"/>
      <c r="Q20" s="45"/>
      <c r="R20" s="45"/>
      <c r="S20" s="45"/>
      <c r="T20" s="45"/>
      <c r="U20" s="45">
        <v>1190000</v>
      </c>
      <c r="V20" s="45"/>
      <c r="W20" s="45"/>
      <c r="X20" s="45"/>
      <c r="Y20" s="38">
        <f t="shared" si="1"/>
        <v>14020000</v>
      </c>
    </row>
    <row r="21" spans="1:25" ht="24.9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9114205.2899999991</v>
      </c>
      <c r="F21" s="46">
        <f t="shared" ref="F21:X21" si="12">F22+F23</f>
        <v>3049042.29</v>
      </c>
      <c r="G21" s="46">
        <f t="shared" si="12"/>
        <v>2509371.42</v>
      </c>
      <c r="H21" s="46">
        <f t="shared" si="12"/>
        <v>3437237.13</v>
      </c>
      <c r="I21" s="46">
        <f t="shared" si="12"/>
        <v>11166962.870000001</v>
      </c>
      <c r="J21" s="46">
        <f t="shared" si="12"/>
        <v>1863798.87</v>
      </c>
      <c r="K21" s="46">
        <f t="shared" si="12"/>
        <v>4402966.29</v>
      </c>
      <c r="L21" s="46">
        <f t="shared" si="12"/>
        <v>1790033.13</v>
      </c>
      <c r="M21" s="46">
        <f t="shared" si="12"/>
        <v>4195731.42</v>
      </c>
      <c r="N21" s="46">
        <f t="shared" si="12"/>
        <v>2689484.58</v>
      </c>
      <c r="O21" s="46">
        <f t="shared" si="12"/>
        <v>1146065.1299999999</v>
      </c>
      <c r="P21" s="46">
        <f t="shared" si="12"/>
        <v>1317464.58</v>
      </c>
      <c r="Q21" s="46">
        <f t="shared" si="12"/>
        <v>832638.87</v>
      </c>
      <c r="R21" s="46">
        <f t="shared" si="12"/>
        <v>1124037.58</v>
      </c>
      <c r="S21" s="46">
        <f t="shared" si="12"/>
        <v>236384.58</v>
      </c>
      <c r="T21" s="46">
        <f t="shared" si="12"/>
        <v>1258028.58</v>
      </c>
      <c r="U21" s="46">
        <f t="shared" si="12"/>
        <v>4011428.58</v>
      </c>
      <c r="V21" s="46">
        <f t="shared" si="12"/>
        <v>519190.29</v>
      </c>
      <c r="W21" s="46">
        <f t="shared" si="12"/>
        <v>2185359.42</v>
      </c>
      <c r="X21" s="46">
        <f t="shared" si="12"/>
        <v>316423.71000000002</v>
      </c>
      <c r="Y21" s="38">
        <f t="shared" si="1"/>
        <v>57165854.609999999</v>
      </c>
    </row>
    <row r="22" spans="1:25" ht="24.95" customHeight="1">
      <c r="A22" s="35" t="s">
        <v>60</v>
      </c>
      <c r="B22" s="36" t="s">
        <v>315</v>
      </c>
      <c r="C22" s="36" t="s">
        <v>61</v>
      </c>
      <c r="D22" s="44" t="s">
        <v>21</v>
      </c>
      <c r="E22" s="46">
        <f>ROUND(E30/0.07*0.09,2)</f>
        <v>6309834.4299999997</v>
      </c>
      <c r="F22" s="46">
        <f t="shared" ref="F22:X22" si="13">ROUND(F30/0.07*0.09,2)</f>
        <v>2110875.4300000002</v>
      </c>
      <c r="G22" s="46">
        <f t="shared" si="13"/>
        <v>1737257.14</v>
      </c>
      <c r="H22" s="46">
        <f t="shared" si="13"/>
        <v>2379625.71</v>
      </c>
      <c r="I22" s="46">
        <f t="shared" si="13"/>
        <v>7730974.29</v>
      </c>
      <c r="J22" s="46">
        <f t="shared" si="13"/>
        <v>1290322.29</v>
      </c>
      <c r="K22" s="46">
        <f t="shared" si="13"/>
        <v>3048207.43</v>
      </c>
      <c r="L22" s="46">
        <f t="shared" si="13"/>
        <v>1239253.71</v>
      </c>
      <c r="M22" s="46">
        <f t="shared" si="13"/>
        <v>2904737.14</v>
      </c>
      <c r="N22" s="46">
        <f t="shared" si="13"/>
        <v>1861950.86</v>
      </c>
      <c r="O22" s="46">
        <f t="shared" si="13"/>
        <v>793429.71</v>
      </c>
      <c r="P22" s="46">
        <f t="shared" si="13"/>
        <v>912090.86</v>
      </c>
      <c r="Q22" s="46">
        <f t="shared" si="13"/>
        <v>576442.29</v>
      </c>
      <c r="R22" s="46">
        <f t="shared" si="13"/>
        <v>778179.86</v>
      </c>
      <c r="S22" s="46">
        <f t="shared" si="13"/>
        <v>163650.85999999999</v>
      </c>
      <c r="T22" s="46">
        <f t="shared" si="13"/>
        <v>870942.86</v>
      </c>
      <c r="U22" s="46">
        <f t="shared" si="13"/>
        <v>2777142.86</v>
      </c>
      <c r="V22" s="46">
        <f t="shared" si="13"/>
        <v>359439.43</v>
      </c>
      <c r="W22" s="46">
        <f t="shared" si="13"/>
        <v>1512941.14</v>
      </c>
      <c r="X22" s="46">
        <f t="shared" si="13"/>
        <v>219062.57</v>
      </c>
      <c r="Y22" s="38">
        <f t="shared" si="1"/>
        <v>39576360.869999997</v>
      </c>
    </row>
    <row r="23" spans="1:25" ht="24.95" customHeight="1">
      <c r="A23" s="35" t="s">
        <v>62</v>
      </c>
      <c r="B23" s="36" t="s">
        <v>316</v>
      </c>
      <c r="C23" s="36" t="s">
        <v>61</v>
      </c>
      <c r="D23" s="44" t="s">
        <v>43</v>
      </c>
      <c r="E23" s="46">
        <f>E24+E25</f>
        <v>2804370.86</v>
      </c>
      <c r="F23" s="46">
        <f t="shared" ref="F23:X23" si="14">F24+F25</f>
        <v>938166.86</v>
      </c>
      <c r="G23" s="46">
        <f t="shared" si="14"/>
        <v>772114.28</v>
      </c>
      <c r="H23" s="46">
        <f t="shared" si="14"/>
        <v>1057611.42</v>
      </c>
      <c r="I23" s="46">
        <f t="shared" si="14"/>
        <v>3435988.58</v>
      </c>
      <c r="J23" s="46">
        <f t="shared" si="14"/>
        <v>573476.57999999996</v>
      </c>
      <c r="K23" s="46">
        <f t="shared" si="14"/>
        <v>1354758.86</v>
      </c>
      <c r="L23" s="46">
        <f t="shared" si="14"/>
        <v>550779.42000000004</v>
      </c>
      <c r="M23" s="46">
        <f t="shared" si="14"/>
        <v>1290994.28</v>
      </c>
      <c r="N23" s="46">
        <f t="shared" si="14"/>
        <v>827533.72</v>
      </c>
      <c r="O23" s="46">
        <f t="shared" si="14"/>
        <v>352635.42</v>
      </c>
      <c r="P23" s="46">
        <f t="shared" si="14"/>
        <v>405373.72</v>
      </c>
      <c r="Q23" s="46">
        <f t="shared" si="14"/>
        <v>256196.58</v>
      </c>
      <c r="R23" s="46">
        <f t="shared" si="14"/>
        <v>345857.72</v>
      </c>
      <c r="S23" s="46">
        <f t="shared" si="14"/>
        <v>72733.72</v>
      </c>
      <c r="T23" s="46">
        <f t="shared" si="14"/>
        <v>387085.72</v>
      </c>
      <c r="U23" s="46">
        <f t="shared" si="14"/>
        <v>1234285.72</v>
      </c>
      <c r="V23" s="46">
        <f t="shared" si="14"/>
        <v>159750.85999999999</v>
      </c>
      <c r="W23" s="46">
        <f t="shared" si="14"/>
        <v>672418.28</v>
      </c>
      <c r="X23" s="46">
        <f t="shared" si="14"/>
        <v>97361.14</v>
      </c>
      <c r="Y23" s="38">
        <f t="shared" si="1"/>
        <v>17589493.740000006</v>
      </c>
    </row>
    <row r="24" spans="1:25" ht="24.95" customHeight="1">
      <c r="A24" s="35" t="s">
        <v>64</v>
      </c>
      <c r="B24" s="36" t="s">
        <v>317</v>
      </c>
      <c r="C24" s="36" t="s">
        <v>61</v>
      </c>
      <c r="D24" s="44" t="s">
        <v>43</v>
      </c>
      <c r="E24" s="46">
        <f>ROUND(E30/0.07*0.02,2)</f>
        <v>1402185.43</v>
      </c>
      <c r="F24" s="46">
        <f t="shared" ref="F24:X24" si="15">ROUND(F30/0.07*0.02,2)</f>
        <v>469083.43</v>
      </c>
      <c r="G24" s="46">
        <f t="shared" si="15"/>
        <v>386057.14</v>
      </c>
      <c r="H24" s="46">
        <f t="shared" si="15"/>
        <v>528805.71</v>
      </c>
      <c r="I24" s="46">
        <f t="shared" si="15"/>
        <v>1717994.29</v>
      </c>
      <c r="J24" s="46">
        <f t="shared" si="15"/>
        <v>286738.28999999998</v>
      </c>
      <c r="K24" s="46">
        <f t="shared" si="15"/>
        <v>677379.43</v>
      </c>
      <c r="L24" s="46">
        <f t="shared" si="15"/>
        <v>275389.71000000002</v>
      </c>
      <c r="M24" s="46">
        <f t="shared" si="15"/>
        <v>645497.14</v>
      </c>
      <c r="N24" s="46">
        <f t="shared" si="15"/>
        <v>413766.86</v>
      </c>
      <c r="O24" s="46">
        <f t="shared" si="15"/>
        <v>176317.71</v>
      </c>
      <c r="P24" s="46">
        <f t="shared" si="15"/>
        <v>202686.86</v>
      </c>
      <c r="Q24" s="46">
        <f t="shared" si="15"/>
        <v>128098.29</v>
      </c>
      <c r="R24" s="46">
        <f t="shared" si="15"/>
        <v>172928.86</v>
      </c>
      <c r="S24" s="46">
        <f t="shared" si="15"/>
        <v>36366.86</v>
      </c>
      <c r="T24" s="46">
        <f t="shared" si="15"/>
        <v>193542.86</v>
      </c>
      <c r="U24" s="46">
        <f t="shared" si="15"/>
        <v>617142.86</v>
      </c>
      <c r="V24" s="46">
        <f t="shared" si="15"/>
        <v>79875.429999999993</v>
      </c>
      <c r="W24" s="46">
        <f t="shared" si="15"/>
        <v>336209.14</v>
      </c>
      <c r="X24" s="46">
        <f t="shared" si="15"/>
        <v>48680.57</v>
      </c>
      <c r="Y24" s="38">
        <f t="shared" si="1"/>
        <v>8794746.8700000029</v>
      </c>
    </row>
    <row r="25" spans="1:25" ht="24.95" customHeight="1">
      <c r="A25" s="35" t="s">
        <v>65</v>
      </c>
      <c r="B25" s="36" t="s">
        <v>318</v>
      </c>
      <c r="C25" s="36" t="s">
        <v>61</v>
      </c>
      <c r="D25" s="44" t="s">
        <v>43</v>
      </c>
      <c r="E25" s="46">
        <f>ROUND(E30/0.07*0.02,2)</f>
        <v>1402185.43</v>
      </c>
      <c r="F25" s="46">
        <f t="shared" ref="F25:X25" si="16">ROUND(F30/0.07*0.02,2)</f>
        <v>469083.43</v>
      </c>
      <c r="G25" s="46">
        <f t="shared" si="16"/>
        <v>386057.14</v>
      </c>
      <c r="H25" s="46">
        <f t="shared" si="16"/>
        <v>528805.71</v>
      </c>
      <c r="I25" s="46">
        <f t="shared" si="16"/>
        <v>1717994.29</v>
      </c>
      <c r="J25" s="46">
        <f t="shared" si="16"/>
        <v>286738.28999999998</v>
      </c>
      <c r="K25" s="46">
        <f t="shared" si="16"/>
        <v>677379.43</v>
      </c>
      <c r="L25" s="46">
        <f t="shared" si="16"/>
        <v>275389.71000000002</v>
      </c>
      <c r="M25" s="46">
        <f t="shared" si="16"/>
        <v>645497.14</v>
      </c>
      <c r="N25" s="46">
        <f t="shared" si="16"/>
        <v>413766.86</v>
      </c>
      <c r="O25" s="46">
        <f t="shared" si="16"/>
        <v>176317.71</v>
      </c>
      <c r="P25" s="46">
        <f t="shared" si="16"/>
        <v>202686.86</v>
      </c>
      <c r="Q25" s="46">
        <f t="shared" si="16"/>
        <v>128098.29</v>
      </c>
      <c r="R25" s="46">
        <f t="shared" si="16"/>
        <v>172928.86</v>
      </c>
      <c r="S25" s="46">
        <f t="shared" si="16"/>
        <v>36366.86</v>
      </c>
      <c r="T25" s="46">
        <f t="shared" si="16"/>
        <v>193542.86</v>
      </c>
      <c r="U25" s="46">
        <f t="shared" si="16"/>
        <v>617142.86</v>
      </c>
      <c r="V25" s="46">
        <f t="shared" si="16"/>
        <v>79875.429999999993</v>
      </c>
      <c r="W25" s="46">
        <f t="shared" si="16"/>
        <v>336209.14</v>
      </c>
      <c r="X25" s="46">
        <f t="shared" si="16"/>
        <v>48680.57</v>
      </c>
      <c r="Y25" s="38">
        <f t="shared" si="1"/>
        <v>8794746.8700000029</v>
      </c>
    </row>
    <row r="26" spans="1:25" ht="24.9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X26" si="17">E27</f>
        <v>11217483.43</v>
      </c>
      <c r="F26" s="38">
        <f t="shared" si="17"/>
        <v>3752667.43</v>
      </c>
      <c r="G26" s="38">
        <f t="shared" si="17"/>
        <v>3088457.14</v>
      </c>
      <c r="H26" s="38">
        <f t="shared" si="17"/>
        <v>4230445.71</v>
      </c>
      <c r="I26" s="38">
        <f t="shared" si="17"/>
        <v>13743954.289999999</v>
      </c>
      <c r="J26" s="38">
        <f t="shared" si="17"/>
        <v>2293906.29</v>
      </c>
      <c r="K26" s="38">
        <f t="shared" si="17"/>
        <v>5419035.4299999997</v>
      </c>
      <c r="L26" s="38">
        <f t="shared" si="17"/>
        <v>2203117.71</v>
      </c>
      <c r="M26" s="38">
        <f t="shared" si="17"/>
        <v>5163977.1399999997</v>
      </c>
      <c r="N26" s="38">
        <f t="shared" si="17"/>
        <v>3310134.86</v>
      </c>
      <c r="O26" s="38">
        <f t="shared" si="17"/>
        <v>1410541.71</v>
      </c>
      <c r="P26" s="38">
        <f t="shared" si="17"/>
        <v>1621494.86</v>
      </c>
      <c r="Q26" s="38">
        <f t="shared" si="17"/>
        <v>1024786.29</v>
      </c>
      <c r="R26" s="38">
        <f t="shared" si="17"/>
        <v>1383430.86</v>
      </c>
      <c r="S26" s="38">
        <f t="shared" si="17"/>
        <v>290934.86</v>
      </c>
      <c r="T26" s="38">
        <f t="shared" si="17"/>
        <v>1548342.86</v>
      </c>
      <c r="U26" s="38">
        <f t="shared" si="17"/>
        <v>4937142.8600000003</v>
      </c>
      <c r="V26" s="38">
        <f t="shared" si="17"/>
        <v>639003.43000000005</v>
      </c>
      <c r="W26" s="38">
        <f t="shared" si="17"/>
        <v>2689673.14</v>
      </c>
      <c r="X26" s="38">
        <f t="shared" si="17"/>
        <v>389444.57</v>
      </c>
      <c r="Y26" s="38">
        <f t="shared" si="1"/>
        <v>70357974.86999999</v>
      </c>
    </row>
    <row r="27" spans="1:25" s="2" customFormat="1" ht="24.95" customHeight="1">
      <c r="A27" s="35" t="s">
        <v>68</v>
      </c>
      <c r="B27" s="42" t="s">
        <v>319</v>
      </c>
      <c r="C27" s="42" t="s">
        <v>70</v>
      </c>
      <c r="D27" s="39" t="s">
        <v>43</v>
      </c>
      <c r="E27" s="38">
        <f>ROUND(E30/0.07*0.16,2)</f>
        <v>11217483.43</v>
      </c>
      <c r="F27" s="38">
        <f t="shared" ref="F27:X27" si="18">ROUND(F30/0.07*0.16,2)</f>
        <v>3752667.43</v>
      </c>
      <c r="G27" s="38">
        <f t="shared" si="18"/>
        <v>3088457.14</v>
      </c>
      <c r="H27" s="38">
        <f t="shared" si="18"/>
        <v>4230445.71</v>
      </c>
      <c r="I27" s="38">
        <f t="shared" si="18"/>
        <v>13743954.289999999</v>
      </c>
      <c r="J27" s="38">
        <f t="shared" si="18"/>
        <v>2293906.29</v>
      </c>
      <c r="K27" s="38">
        <f t="shared" si="18"/>
        <v>5419035.4299999997</v>
      </c>
      <c r="L27" s="38">
        <f t="shared" si="18"/>
        <v>2203117.71</v>
      </c>
      <c r="M27" s="38">
        <f t="shared" si="18"/>
        <v>5163977.1399999997</v>
      </c>
      <c r="N27" s="38">
        <f t="shared" si="18"/>
        <v>3310134.86</v>
      </c>
      <c r="O27" s="38">
        <f t="shared" si="18"/>
        <v>1410541.71</v>
      </c>
      <c r="P27" s="38">
        <f t="shared" si="18"/>
        <v>1621494.86</v>
      </c>
      <c r="Q27" s="38">
        <f t="shared" si="18"/>
        <v>1024786.29</v>
      </c>
      <c r="R27" s="38">
        <f t="shared" si="18"/>
        <v>1383430.86</v>
      </c>
      <c r="S27" s="38">
        <f t="shared" si="18"/>
        <v>290934.86</v>
      </c>
      <c r="T27" s="38">
        <f t="shared" si="18"/>
        <v>1548342.86</v>
      </c>
      <c r="U27" s="38">
        <f t="shared" si="18"/>
        <v>4937142.8600000003</v>
      </c>
      <c r="V27" s="38">
        <f t="shared" si="18"/>
        <v>639003.43000000005</v>
      </c>
      <c r="W27" s="38">
        <f t="shared" si="18"/>
        <v>2689673.14</v>
      </c>
      <c r="X27" s="38">
        <f t="shared" si="18"/>
        <v>389444.57</v>
      </c>
      <c r="Y27" s="38">
        <f t="shared" si="1"/>
        <v>70357974.86999999</v>
      </c>
    </row>
    <row r="28" spans="1:25" ht="24.9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X28" si="19">E29</f>
        <v>5608741.71</v>
      </c>
      <c r="F28" s="38">
        <f t="shared" si="19"/>
        <v>1876333.71</v>
      </c>
      <c r="G28" s="38">
        <f t="shared" si="19"/>
        <v>1544228.57</v>
      </c>
      <c r="H28" s="38">
        <f t="shared" si="19"/>
        <v>2115222.86</v>
      </c>
      <c r="I28" s="38">
        <f t="shared" si="19"/>
        <v>6871977.1399999997</v>
      </c>
      <c r="J28" s="38">
        <f t="shared" si="19"/>
        <v>1146953.1399999999</v>
      </c>
      <c r="K28" s="38">
        <f t="shared" si="19"/>
        <v>2709517.71</v>
      </c>
      <c r="L28" s="38">
        <f t="shared" si="19"/>
        <v>1101558.8600000001</v>
      </c>
      <c r="M28" s="38">
        <f t="shared" si="19"/>
        <v>2581988.5699999998</v>
      </c>
      <c r="N28" s="38">
        <f t="shared" si="19"/>
        <v>1655067.43</v>
      </c>
      <c r="O28" s="38">
        <f t="shared" si="19"/>
        <v>705270.86</v>
      </c>
      <c r="P28" s="38">
        <f t="shared" si="19"/>
        <v>810747.43</v>
      </c>
      <c r="Q28" s="38">
        <f t="shared" si="19"/>
        <v>512393.14</v>
      </c>
      <c r="R28" s="38">
        <f t="shared" si="19"/>
        <v>691715.43</v>
      </c>
      <c r="S28" s="38">
        <f t="shared" si="19"/>
        <v>145467.43</v>
      </c>
      <c r="T28" s="38">
        <f t="shared" si="19"/>
        <v>774171.43</v>
      </c>
      <c r="U28" s="38">
        <f t="shared" si="19"/>
        <v>2468571.4300000002</v>
      </c>
      <c r="V28" s="38">
        <f t="shared" si="19"/>
        <v>319501.71000000002</v>
      </c>
      <c r="W28" s="38">
        <f t="shared" si="19"/>
        <v>1344836.57</v>
      </c>
      <c r="X28" s="38">
        <f t="shared" si="19"/>
        <v>194722.29</v>
      </c>
      <c r="Y28" s="38">
        <f t="shared" si="1"/>
        <v>35178987.419999994</v>
      </c>
    </row>
    <row r="29" spans="1:25" s="2" customFormat="1" ht="24.9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5608741.71</v>
      </c>
      <c r="F29" s="38">
        <f t="shared" ref="F29:X29" si="20">ROUND(F30/0.07*0.08,2)</f>
        <v>1876333.71</v>
      </c>
      <c r="G29" s="38">
        <f t="shared" si="20"/>
        <v>1544228.57</v>
      </c>
      <c r="H29" s="38">
        <f t="shared" si="20"/>
        <v>2115222.86</v>
      </c>
      <c r="I29" s="38">
        <f t="shared" si="20"/>
        <v>6871977.1399999997</v>
      </c>
      <c r="J29" s="38">
        <f t="shared" si="20"/>
        <v>1146953.1399999999</v>
      </c>
      <c r="K29" s="38">
        <f t="shared" si="20"/>
        <v>2709517.71</v>
      </c>
      <c r="L29" s="38">
        <f t="shared" si="20"/>
        <v>1101558.8600000001</v>
      </c>
      <c r="M29" s="38">
        <f t="shared" si="20"/>
        <v>2581988.5699999998</v>
      </c>
      <c r="N29" s="38">
        <f t="shared" si="20"/>
        <v>1655067.43</v>
      </c>
      <c r="O29" s="38">
        <f t="shared" si="20"/>
        <v>705270.86</v>
      </c>
      <c r="P29" s="38">
        <f t="shared" si="20"/>
        <v>810747.43</v>
      </c>
      <c r="Q29" s="38">
        <f t="shared" si="20"/>
        <v>512393.14</v>
      </c>
      <c r="R29" s="38">
        <f t="shared" si="20"/>
        <v>691715.43</v>
      </c>
      <c r="S29" s="38">
        <f t="shared" si="20"/>
        <v>145467.43</v>
      </c>
      <c r="T29" s="38">
        <f t="shared" si="20"/>
        <v>774171.43</v>
      </c>
      <c r="U29" s="38">
        <f t="shared" si="20"/>
        <v>2468571.4300000002</v>
      </c>
      <c r="V29" s="38">
        <f t="shared" si="20"/>
        <v>319501.71000000002</v>
      </c>
      <c r="W29" s="38">
        <f t="shared" si="20"/>
        <v>1344836.57</v>
      </c>
      <c r="X29" s="38">
        <f t="shared" si="20"/>
        <v>194722.29</v>
      </c>
      <c r="Y29" s="38">
        <f t="shared" si="1"/>
        <v>35178987.419999994</v>
      </c>
    </row>
    <row r="30" spans="1:25" ht="24.95" customHeight="1">
      <c r="A30" s="35" t="s">
        <v>76</v>
      </c>
      <c r="B30" s="36" t="s">
        <v>320</v>
      </c>
      <c r="C30" s="36" t="s">
        <v>78</v>
      </c>
      <c r="D30" s="37" t="s">
        <v>321</v>
      </c>
      <c r="E30" s="45">
        <v>4907649</v>
      </c>
      <c r="F30" s="45">
        <f>136816*12</f>
        <v>1641792</v>
      </c>
      <c r="G30" s="45">
        <v>1351200</v>
      </c>
      <c r="H30" s="45">
        <f>154235*12</f>
        <v>1850820</v>
      </c>
      <c r="I30" s="45">
        <v>6012980</v>
      </c>
      <c r="J30" s="45">
        <v>1003584</v>
      </c>
      <c r="K30" s="45">
        <f>197569*12</f>
        <v>2370828</v>
      </c>
      <c r="L30" s="45">
        <f>80322*12</f>
        <v>963864</v>
      </c>
      <c r="M30" s="45">
        <f>188270*12</f>
        <v>2259240</v>
      </c>
      <c r="N30" s="45">
        <f>120682*12</f>
        <v>1448184</v>
      </c>
      <c r="O30" s="45">
        <f>51426*12</f>
        <v>617112</v>
      </c>
      <c r="P30" s="45">
        <f>59117*12</f>
        <v>709404</v>
      </c>
      <c r="Q30" s="45">
        <v>448344</v>
      </c>
      <c r="R30" s="45">
        <v>605251</v>
      </c>
      <c r="S30" s="45">
        <v>127284</v>
      </c>
      <c r="T30" s="45">
        <v>677400</v>
      </c>
      <c r="U30" s="45">
        <f>180000*12</f>
        <v>2160000</v>
      </c>
      <c r="V30" s="45">
        <f>23297*12</f>
        <v>279564</v>
      </c>
      <c r="W30" s="45">
        <f>98061*12</f>
        <v>1176732</v>
      </c>
      <c r="X30" s="45">
        <v>170382</v>
      </c>
      <c r="Y30" s="38">
        <f t="shared" si="1"/>
        <v>30781614</v>
      </c>
    </row>
    <row r="31" spans="1:25" ht="24.95" customHeight="1">
      <c r="A31" s="35" t="s">
        <v>80</v>
      </c>
      <c r="B31" s="36" t="s">
        <v>322</v>
      </c>
      <c r="C31" s="43" t="s">
        <v>27</v>
      </c>
      <c r="D31" s="39" t="s">
        <v>323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38">
        <f t="shared" si="1"/>
        <v>0</v>
      </c>
    </row>
    <row r="32" spans="1:25" ht="24.95" customHeight="1">
      <c r="A32" s="35" t="s">
        <v>83</v>
      </c>
      <c r="B32" s="36" t="s">
        <v>84</v>
      </c>
      <c r="C32" s="36"/>
      <c r="D32" s="37" t="s">
        <v>21</v>
      </c>
      <c r="E32" s="38">
        <f t="shared" ref="E32:O32" si="21">E33+E35</f>
        <v>2438134.2000000002</v>
      </c>
      <c r="F32" s="38">
        <f t="shared" si="21"/>
        <v>990900</v>
      </c>
      <c r="G32" s="38">
        <f t="shared" si="21"/>
        <v>1155540</v>
      </c>
      <c r="H32" s="38">
        <f t="shared" si="21"/>
        <v>45360</v>
      </c>
      <c r="I32" s="38">
        <f t="shared" si="21"/>
        <v>2005145</v>
      </c>
      <c r="J32" s="38">
        <f t="shared" si="21"/>
        <v>604620</v>
      </c>
      <c r="K32" s="38">
        <f t="shared" si="21"/>
        <v>624600</v>
      </c>
      <c r="L32" s="38">
        <f t="shared" si="21"/>
        <v>421500</v>
      </c>
      <c r="M32" s="38">
        <f t="shared" si="21"/>
        <v>64980</v>
      </c>
      <c r="N32" s="38">
        <f t="shared" si="21"/>
        <v>804120</v>
      </c>
      <c r="O32" s="38">
        <f t="shared" si="21"/>
        <v>674100</v>
      </c>
      <c r="P32" s="38">
        <f>P33+P35</f>
        <v>29100</v>
      </c>
      <c r="Q32" s="38">
        <f t="shared" ref="Q32:X32" si="22">Q33+Q35</f>
        <v>1890</v>
      </c>
      <c r="R32" s="38">
        <f t="shared" si="22"/>
        <v>466440</v>
      </c>
      <c r="S32" s="38">
        <f t="shared" si="22"/>
        <v>156720</v>
      </c>
      <c r="T32" s="38">
        <f t="shared" si="22"/>
        <v>3600</v>
      </c>
      <c r="U32" s="38">
        <f t="shared" si="22"/>
        <v>291120</v>
      </c>
      <c r="V32" s="38">
        <f t="shared" si="22"/>
        <v>360</v>
      </c>
      <c r="W32" s="38">
        <f t="shared" si="22"/>
        <v>70080</v>
      </c>
      <c r="X32" s="38">
        <f t="shared" si="22"/>
        <v>780</v>
      </c>
      <c r="Y32" s="38">
        <f t="shared" si="1"/>
        <v>10849089.199999999</v>
      </c>
    </row>
    <row r="33" spans="1:25" ht="24.95" customHeight="1">
      <c r="A33" s="35" t="s">
        <v>85</v>
      </c>
      <c r="B33" s="36" t="s">
        <v>324</v>
      </c>
      <c r="C33" s="36" t="s">
        <v>87</v>
      </c>
      <c r="D33" s="44" t="s">
        <v>325</v>
      </c>
      <c r="E33" s="46">
        <f>E34</f>
        <v>2424244.2000000002</v>
      </c>
      <c r="F33" s="46">
        <f t="shared" ref="F33:X33" si="23">F34</f>
        <v>984420</v>
      </c>
      <c r="G33" s="46">
        <f t="shared" si="23"/>
        <v>1146900</v>
      </c>
      <c r="H33" s="46">
        <f t="shared" si="23"/>
        <v>40680</v>
      </c>
      <c r="I33" s="46">
        <f t="shared" si="23"/>
        <v>1987925</v>
      </c>
      <c r="J33" s="46">
        <f t="shared" si="23"/>
        <v>601740</v>
      </c>
      <c r="K33" s="46">
        <f t="shared" si="23"/>
        <v>620280</v>
      </c>
      <c r="L33" s="46">
        <f t="shared" si="23"/>
        <v>420060</v>
      </c>
      <c r="M33" s="46">
        <f t="shared" si="23"/>
        <v>62880</v>
      </c>
      <c r="N33" s="46">
        <f t="shared" si="23"/>
        <v>798000</v>
      </c>
      <c r="O33" s="46">
        <f t="shared" si="23"/>
        <v>671580</v>
      </c>
      <c r="P33" s="46">
        <f t="shared" si="23"/>
        <v>25860</v>
      </c>
      <c r="Q33" s="46">
        <f t="shared" si="23"/>
        <v>0</v>
      </c>
      <c r="R33" s="46">
        <f t="shared" si="23"/>
        <v>465000</v>
      </c>
      <c r="S33" s="46">
        <f t="shared" si="23"/>
        <v>156360</v>
      </c>
      <c r="T33" s="46">
        <f t="shared" si="23"/>
        <v>0</v>
      </c>
      <c r="U33" s="46">
        <f t="shared" si="23"/>
        <v>286800</v>
      </c>
      <c r="V33" s="46">
        <f t="shared" si="23"/>
        <v>0</v>
      </c>
      <c r="W33" s="46">
        <f t="shared" si="23"/>
        <v>63600</v>
      </c>
      <c r="X33" s="46">
        <f t="shared" si="23"/>
        <v>0</v>
      </c>
      <c r="Y33" s="38">
        <f t="shared" si="1"/>
        <v>10756329.199999999</v>
      </c>
    </row>
    <row r="34" spans="1:25" ht="24.95" customHeight="1">
      <c r="A34" s="35" t="s">
        <v>89</v>
      </c>
      <c r="B34" s="36" t="s">
        <v>326</v>
      </c>
      <c r="C34" s="36" t="s">
        <v>87</v>
      </c>
      <c r="D34" s="44" t="s">
        <v>325</v>
      </c>
      <c r="E34" s="40">
        <v>2424244.2000000002</v>
      </c>
      <c r="F34" s="40">
        <f>82035*12</f>
        <v>984420</v>
      </c>
      <c r="G34" s="40">
        <v>1146900</v>
      </c>
      <c r="H34" s="40">
        <f>3390*12</f>
        <v>40680</v>
      </c>
      <c r="I34" s="40">
        <v>1987925</v>
      </c>
      <c r="J34" s="40">
        <v>601740</v>
      </c>
      <c r="K34" s="40">
        <f>51690*12</f>
        <v>620280</v>
      </c>
      <c r="L34" s="40">
        <f>35005*12</f>
        <v>420060</v>
      </c>
      <c r="M34" s="40">
        <f>5240*12</f>
        <v>62880</v>
      </c>
      <c r="N34" s="40">
        <f>66500*12</f>
        <v>798000</v>
      </c>
      <c r="O34" s="40">
        <f>55965*12</f>
        <v>671580</v>
      </c>
      <c r="P34" s="40">
        <f>2155*12</f>
        <v>25860</v>
      </c>
      <c r="Q34" s="40"/>
      <c r="R34" s="40">
        <v>465000</v>
      </c>
      <c r="S34" s="40">
        <v>156360</v>
      </c>
      <c r="T34" s="40"/>
      <c r="U34" s="40">
        <v>286800</v>
      </c>
      <c r="V34" s="40"/>
      <c r="W34" s="40">
        <f>5300*12</f>
        <v>63600</v>
      </c>
      <c r="X34" s="40"/>
      <c r="Y34" s="38">
        <f t="shared" si="1"/>
        <v>10756329.199999999</v>
      </c>
    </row>
    <row r="35" spans="1:25" ht="24.9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13890</v>
      </c>
      <c r="F35" s="38">
        <f t="shared" ref="F35:X35" si="24">F36</f>
        <v>6480</v>
      </c>
      <c r="G35" s="38">
        <f t="shared" si="24"/>
        <v>8640</v>
      </c>
      <c r="H35" s="38">
        <f t="shared" si="24"/>
        <v>4680</v>
      </c>
      <c r="I35" s="38">
        <f t="shared" si="24"/>
        <v>17220</v>
      </c>
      <c r="J35" s="38">
        <f t="shared" si="24"/>
        <v>2880</v>
      </c>
      <c r="K35" s="38">
        <f t="shared" si="24"/>
        <v>4320</v>
      </c>
      <c r="L35" s="38">
        <f t="shared" si="24"/>
        <v>1440</v>
      </c>
      <c r="M35" s="38">
        <f t="shared" si="24"/>
        <v>2100</v>
      </c>
      <c r="N35" s="38">
        <f t="shared" si="24"/>
        <v>6120</v>
      </c>
      <c r="O35" s="38">
        <f t="shared" si="24"/>
        <v>2520</v>
      </c>
      <c r="P35" s="38">
        <f t="shared" si="24"/>
        <v>3240</v>
      </c>
      <c r="Q35" s="38">
        <f t="shared" si="24"/>
        <v>1890</v>
      </c>
      <c r="R35" s="38">
        <f t="shared" si="24"/>
        <v>1440</v>
      </c>
      <c r="S35" s="38">
        <f t="shared" si="24"/>
        <v>360</v>
      </c>
      <c r="T35" s="38">
        <f t="shared" si="24"/>
        <v>3600</v>
      </c>
      <c r="U35" s="38">
        <f t="shared" si="24"/>
        <v>4320</v>
      </c>
      <c r="V35" s="38">
        <f t="shared" si="24"/>
        <v>360</v>
      </c>
      <c r="W35" s="38">
        <f t="shared" si="24"/>
        <v>6480</v>
      </c>
      <c r="X35" s="38">
        <f t="shared" si="24"/>
        <v>780</v>
      </c>
      <c r="Y35" s="38">
        <f t="shared" si="1"/>
        <v>92760</v>
      </c>
    </row>
    <row r="36" spans="1:25" ht="24.9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13890</v>
      </c>
      <c r="F36" s="40">
        <f>540*12</f>
        <v>6480</v>
      </c>
      <c r="G36" s="40">
        <v>8640</v>
      </c>
      <c r="H36" s="40">
        <f>390*12</f>
        <v>4680</v>
      </c>
      <c r="I36" s="40">
        <v>17220</v>
      </c>
      <c r="J36" s="40">
        <v>2880</v>
      </c>
      <c r="K36" s="40">
        <f>360*12</f>
        <v>4320</v>
      </c>
      <c r="L36" s="40">
        <f>120*12</f>
        <v>1440</v>
      </c>
      <c r="M36" s="40">
        <v>2100</v>
      </c>
      <c r="N36" s="40">
        <f>510*12</f>
        <v>6120</v>
      </c>
      <c r="O36" s="40">
        <f>210*12</f>
        <v>2520</v>
      </c>
      <c r="P36" s="40">
        <f>270*12</f>
        <v>3240</v>
      </c>
      <c r="Q36" s="40">
        <v>1890</v>
      </c>
      <c r="R36" s="40">
        <v>1440</v>
      </c>
      <c r="S36" s="40">
        <v>360</v>
      </c>
      <c r="T36" s="40">
        <v>3600</v>
      </c>
      <c r="U36" s="40">
        <f>(210+150)*12</f>
        <v>4320</v>
      </c>
      <c r="V36" s="40">
        <f>30*12</f>
        <v>360</v>
      </c>
      <c r="W36" s="40">
        <f>540*12</f>
        <v>6480</v>
      </c>
      <c r="X36" s="40">
        <v>780</v>
      </c>
      <c r="Y36" s="38">
        <f t="shared" si="1"/>
        <v>92760</v>
      </c>
    </row>
    <row r="37" spans="1:25" ht="24.9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17766080.879999999</v>
      </c>
      <c r="F37" s="38">
        <f t="shared" ref="F37:X37" si="25">F38+F40+F42+F44+F46+F49+F51+F53+F55+F57</f>
        <v>6661471.4299999997</v>
      </c>
      <c r="G37" s="38">
        <f t="shared" si="25"/>
        <v>5703243.3399999999</v>
      </c>
      <c r="H37" s="38">
        <f t="shared" si="25"/>
        <v>7698205.6600000001</v>
      </c>
      <c r="I37" s="38">
        <f t="shared" si="25"/>
        <v>23065608.890000001</v>
      </c>
      <c r="J37" s="38">
        <f t="shared" si="25"/>
        <v>3368233.74</v>
      </c>
      <c r="K37" s="38">
        <f t="shared" si="25"/>
        <v>9289445.7300000004</v>
      </c>
      <c r="L37" s="38">
        <f t="shared" si="25"/>
        <v>3325463.26</v>
      </c>
      <c r="M37" s="38">
        <f t="shared" si="25"/>
        <v>8316920.29</v>
      </c>
      <c r="N37" s="38">
        <f t="shared" si="25"/>
        <v>4201462.91</v>
      </c>
      <c r="O37" s="38">
        <f t="shared" si="25"/>
        <v>2101007.71</v>
      </c>
      <c r="P37" s="38">
        <f t="shared" si="25"/>
        <v>2582424.56</v>
      </c>
      <c r="Q37" s="38">
        <f t="shared" si="25"/>
        <v>1327745.0900000001</v>
      </c>
      <c r="R37" s="38">
        <f t="shared" si="25"/>
        <v>1906244.8599999999</v>
      </c>
      <c r="S37" s="38">
        <f t="shared" si="25"/>
        <v>337966.86</v>
      </c>
      <c r="T37" s="38">
        <f t="shared" si="25"/>
        <v>1759619.6600000001</v>
      </c>
      <c r="U37" s="38">
        <f t="shared" si="25"/>
        <v>9219775.2599999998</v>
      </c>
      <c r="V37" s="38">
        <f t="shared" si="25"/>
        <v>1195565.23</v>
      </c>
      <c r="W37" s="38">
        <f t="shared" si="25"/>
        <v>2643989.14</v>
      </c>
      <c r="X37" s="38">
        <f t="shared" si="25"/>
        <v>1122260.17</v>
      </c>
      <c r="Y37" s="38">
        <f t="shared" si="1"/>
        <v>113592734.67000002</v>
      </c>
    </row>
    <row r="38" spans="1:25" ht="24.95" customHeight="1">
      <c r="A38" s="35" t="s">
        <v>96</v>
      </c>
      <c r="B38" s="36" t="s">
        <v>100</v>
      </c>
      <c r="C38" s="36"/>
      <c r="D38" s="37" t="s">
        <v>101</v>
      </c>
      <c r="E38" s="40">
        <v>13763750</v>
      </c>
      <c r="F38" s="40">
        <v>5220600</v>
      </c>
      <c r="G38" s="40">
        <v>4427500</v>
      </c>
      <c r="H38" s="40">
        <v>6406400</v>
      </c>
      <c r="I38" s="40">
        <v>18406140</v>
      </c>
      <c r="J38" s="40">
        <v>2500590</v>
      </c>
      <c r="K38" s="40">
        <v>7524240</v>
      </c>
      <c r="L38" s="40">
        <v>2462070</v>
      </c>
      <c r="M38" s="40">
        <v>6718530</v>
      </c>
      <c r="N38" s="40">
        <v>2891460</v>
      </c>
      <c r="O38" s="40">
        <v>1430000</v>
      </c>
      <c r="P38" s="40">
        <v>1861860</v>
      </c>
      <c r="Q38" s="40">
        <v>958100</v>
      </c>
      <c r="R38" s="40">
        <v>1287000</v>
      </c>
      <c r="S38" s="40">
        <v>156800</v>
      </c>
      <c r="T38" s="40">
        <v>1208000</v>
      </c>
      <c r="U38" s="40">
        <v>7288760</v>
      </c>
      <c r="V38" s="40">
        <v>858000</v>
      </c>
      <c r="W38" s="40">
        <v>1673820</v>
      </c>
      <c r="X38" s="40">
        <v>858000</v>
      </c>
      <c r="Y38" s="38">
        <f t="shared" si="1"/>
        <v>87901620</v>
      </c>
    </row>
    <row r="39" spans="1:25" ht="24.95" customHeight="1">
      <c r="A39" s="35" t="s">
        <v>97</v>
      </c>
      <c r="B39" s="36" t="s">
        <v>327</v>
      </c>
      <c r="C39" s="36" t="s">
        <v>328</v>
      </c>
      <c r="D39" s="47" t="s">
        <v>329</v>
      </c>
      <c r="E39" s="40">
        <v>688187.5</v>
      </c>
      <c r="F39" s="40">
        <v>261030</v>
      </c>
      <c r="G39" s="40">
        <v>221375</v>
      </c>
      <c r="H39" s="40">
        <v>320320</v>
      </c>
      <c r="I39" s="40">
        <v>920307</v>
      </c>
      <c r="J39" s="40">
        <v>125029.5</v>
      </c>
      <c r="K39" s="40">
        <v>376212</v>
      </c>
      <c r="L39" s="40">
        <v>123103.5</v>
      </c>
      <c r="M39" s="40">
        <v>335926.5</v>
      </c>
      <c r="N39" s="40">
        <v>123409</v>
      </c>
      <c r="O39" s="40">
        <v>52338</v>
      </c>
      <c r="P39" s="40">
        <v>83369</v>
      </c>
      <c r="Q39" s="40">
        <v>47905</v>
      </c>
      <c r="R39" s="40">
        <v>51480</v>
      </c>
      <c r="S39" s="40">
        <v>7840</v>
      </c>
      <c r="T39" s="40">
        <v>53250</v>
      </c>
      <c r="U39" s="40">
        <v>364438</v>
      </c>
      <c r="V39" s="40">
        <v>29458</v>
      </c>
      <c r="W39" s="40">
        <v>83691</v>
      </c>
      <c r="X39" s="40">
        <v>32461</v>
      </c>
      <c r="Y39" s="38">
        <f t="shared" si="1"/>
        <v>4301130</v>
      </c>
    </row>
    <row r="40" spans="1:25" ht="24.95" customHeight="1">
      <c r="A40" s="35" t="s">
        <v>99</v>
      </c>
      <c r="B40" s="36" t="s">
        <v>107</v>
      </c>
      <c r="C40" s="36"/>
      <c r="D40" s="37"/>
      <c r="E40" s="38">
        <f>E41</f>
        <v>107200</v>
      </c>
      <c r="F40" s="38">
        <f t="shared" ref="F40:X40" si="26">F41</f>
        <v>36400</v>
      </c>
      <c r="G40" s="38">
        <f t="shared" si="26"/>
        <v>31600</v>
      </c>
      <c r="H40" s="38">
        <f t="shared" si="26"/>
        <v>42400</v>
      </c>
      <c r="I40" s="38">
        <f t="shared" si="26"/>
        <v>143600</v>
      </c>
      <c r="J40" s="38">
        <f t="shared" si="26"/>
        <v>23600</v>
      </c>
      <c r="K40" s="38">
        <f t="shared" si="26"/>
        <v>54000</v>
      </c>
      <c r="L40" s="38">
        <f t="shared" si="26"/>
        <v>22400</v>
      </c>
      <c r="M40" s="38">
        <f t="shared" si="26"/>
        <v>52000</v>
      </c>
      <c r="N40" s="38">
        <f t="shared" si="26"/>
        <v>36800</v>
      </c>
      <c r="O40" s="38">
        <f t="shared" si="26"/>
        <v>16400</v>
      </c>
      <c r="P40" s="38">
        <f t="shared" si="26"/>
        <v>19200</v>
      </c>
      <c r="Q40" s="38">
        <f t="shared" si="26"/>
        <v>11600</v>
      </c>
      <c r="R40" s="38">
        <f t="shared" si="26"/>
        <v>16400</v>
      </c>
      <c r="S40" s="38">
        <f t="shared" si="26"/>
        <v>2800</v>
      </c>
      <c r="T40" s="38">
        <f t="shared" si="26"/>
        <v>17600</v>
      </c>
      <c r="U40" s="38">
        <f t="shared" si="26"/>
        <v>47600</v>
      </c>
      <c r="V40" s="38">
        <f t="shared" si="26"/>
        <v>7600</v>
      </c>
      <c r="W40" s="38">
        <f t="shared" si="26"/>
        <v>29200</v>
      </c>
      <c r="X40" s="38">
        <f t="shared" si="26"/>
        <v>5600</v>
      </c>
      <c r="Y40" s="38">
        <f t="shared" si="1"/>
        <v>724000</v>
      </c>
    </row>
    <row r="41" spans="1:25" s="2" customFormat="1" ht="24.9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107200</v>
      </c>
      <c r="F41" s="38">
        <f t="shared" ref="F41:X41" si="27">F60*400</f>
        <v>36400</v>
      </c>
      <c r="G41" s="38">
        <f t="shared" si="27"/>
        <v>31600</v>
      </c>
      <c r="H41" s="38">
        <f t="shared" si="27"/>
        <v>42400</v>
      </c>
      <c r="I41" s="38">
        <f t="shared" si="27"/>
        <v>143600</v>
      </c>
      <c r="J41" s="38">
        <f t="shared" si="27"/>
        <v>23600</v>
      </c>
      <c r="K41" s="38">
        <f t="shared" si="27"/>
        <v>54000</v>
      </c>
      <c r="L41" s="38">
        <f t="shared" si="27"/>
        <v>22400</v>
      </c>
      <c r="M41" s="38">
        <f t="shared" si="27"/>
        <v>52000</v>
      </c>
      <c r="N41" s="38">
        <f t="shared" si="27"/>
        <v>36800</v>
      </c>
      <c r="O41" s="38">
        <f t="shared" si="27"/>
        <v>16400</v>
      </c>
      <c r="P41" s="38">
        <f t="shared" si="27"/>
        <v>19200</v>
      </c>
      <c r="Q41" s="38">
        <f t="shared" si="27"/>
        <v>11600</v>
      </c>
      <c r="R41" s="38">
        <f t="shared" si="27"/>
        <v>16400</v>
      </c>
      <c r="S41" s="38">
        <f t="shared" si="27"/>
        <v>2800</v>
      </c>
      <c r="T41" s="38">
        <f t="shared" si="27"/>
        <v>17600</v>
      </c>
      <c r="U41" s="38">
        <f t="shared" si="27"/>
        <v>47600</v>
      </c>
      <c r="V41" s="38">
        <f t="shared" si="27"/>
        <v>7600</v>
      </c>
      <c r="W41" s="38">
        <f t="shared" si="27"/>
        <v>29200</v>
      </c>
      <c r="X41" s="38">
        <f t="shared" si="27"/>
        <v>5600</v>
      </c>
      <c r="Y41" s="38">
        <f t="shared" si="1"/>
        <v>724000</v>
      </c>
    </row>
    <row r="42" spans="1:25" ht="24.9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517599.44999999995</v>
      </c>
      <c r="F42" s="38">
        <f t="shared" ref="F42:X42" si="28">F43</f>
        <v>197400</v>
      </c>
      <c r="G42" s="38">
        <f t="shared" si="28"/>
        <v>134278.19999999998</v>
      </c>
      <c r="H42" s="38">
        <f t="shared" si="28"/>
        <v>170335.94999999998</v>
      </c>
      <c r="I42" s="38">
        <f t="shared" si="28"/>
        <v>570432.6</v>
      </c>
      <c r="J42" s="38">
        <f t="shared" si="28"/>
        <v>69477.45</v>
      </c>
      <c r="K42" s="38">
        <f t="shared" si="28"/>
        <v>191346.3</v>
      </c>
      <c r="L42" s="38">
        <f t="shared" si="28"/>
        <v>139283.54999999999</v>
      </c>
      <c r="M42" s="38">
        <f t="shared" si="28"/>
        <v>215373.15</v>
      </c>
      <c r="N42" s="38">
        <f t="shared" si="28"/>
        <v>147436.04999999999</v>
      </c>
      <c r="O42" s="38">
        <f t="shared" si="28"/>
        <v>64290</v>
      </c>
      <c r="P42" s="38">
        <f t="shared" si="28"/>
        <v>200240.1</v>
      </c>
      <c r="Q42" s="38">
        <f t="shared" si="28"/>
        <v>55978.8</v>
      </c>
      <c r="R42" s="38">
        <f t="shared" si="28"/>
        <v>69180</v>
      </c>
      <c r="S42" s="38">
        <f t="shared" si="28"/>
        <v>42000</v>
      </c>
      <c r="T42" s="38">
        <f t="shared" si="28"/>
        <v>97500</v>
      </c>
      <c r="U42" s="38">
        <f t="shared" si="28"/>
        <v>484158</v>
      </c>
      <c r="V42" s="38">
        <f t="shared" si="28"/>
        <v>104925</v>
      </c>
      <c r="W42" s="38">
        <f t="shared" si="28"/>
        <v>198000</v>
      </c>
      <c r="X42" s="38">
        <f t="shared" si="28"/>
        <v>99000</v>
      </c>
      <c r="Y42" s="38">
        <f t="shared" si="1"/>
        <v>3768234.5999999996</v>
      </c>
    </row>
    <row r="43" spans="1:25" s="2" customFormat="1" ht="24.9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517599.44999999995</v>
      </c>
      <c r="F43" s="38">
        <f t="shared" ref="F43:X43" si="29">F71*15</f>
        <v>197400</v>
      </c>
      <c r="G43" s="38">
        <f t="shared" si="29"/>
        <v>134278.19999999998</v>
      </c>
      <c r="H43" s="38">
        <f t="shared" si="29"/>
        <v>170335.94999999998</v>
      </c>
      <c r="I43" s="38">
        <f t="shared" si="29"/>
        <v>570432.6</v>
      </c>
      <c r="J43" s="38">
        <f t="shared" si="29"/>
        <v>69477.45</v>
      </c>
      <c r="K43" s="38">
        <f t="shared" si="29"/>
        <v>191346.3</v>
      </c>
      <c r="L43" s="38">
        <f t="shared" si="29"/>
        <v>139283.54999999999</v>
      </c>
      <c r="M43" s="38">
        <f t="shared" si="29"/>
        <v>215373.15</v>
      </c>
      <c r="N43" s="38">
        <f t="shared" si="29"/>
        <v>147436.04999999999</v>
      </c>
      <c r="O43" s="38">
        <f t="shared" si="29"/>
        <v>64290</v>
      </c>
      <c r="P43" s="38">
        <f t="shared" si="29"/>
        <v>200240.1</v>
      </c>
      <c r="Q43" s="38">
        <f t="shared" si="29"/>
        <v>55978.8</v>
      </c>
      <c r="R43" s="38">
        <f t="shared" si="29"/>
        <v>69180</v>
      </c>
      <c r="S43" s="38">
        <f t="shared" si="29"/>
        <v>42000</v>
      </c>
      <c r="T43" s="38">
        <f t="shared" si="29"/>
        <v>97500</v>
      </c>
      <c r="U43" s="38">
        <f t="shared" si="29"/>
        <v>484158</v>
      </c>
      <c r="V43" s="38">
        <f t="shared" si="29"/>
        <v>104925</v>
      </c>
      <c r="W43" s="38">
        <f t="shared" si="29"/>
        <v>198000</v>
      </c>
      <c r="X43" s="38">
        <f t="shared" si="29"/>
        <v>99000</v>
      </c>
      <c r="Y43" s="38">
        <f t="shared" si="1"/>
        <v>3768234.5999999996</v>
      </c>
    </row>
    <row r="44" spans="1:25" ht="24.9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139576</v>
      </c>
      <c r="F44" s="38">
        <f t="shared" ref="F44:X44" si="30">F45</f>
        <v>69528</v>
      </c>
      <c r="G44" s="38">
        <f t="shared" si="30"/>
        <v>51968</v>
      </c>
      <c r="H44" s="38">
        <f t="shared" si="30"/>
        <v>32584</v>
      </c>
      <c r="I44" s="38">
        <f t="shared" si="30"/>
        <v>98712</v>
      </c>
      <c r="J44" s="38">
        <f t="shared" si="30"/>
        <v>25808</v>
      </c>
      <c r="K44" s="38">
        <f t="shared" si="30"/>
        <v>52960</v>
      </c>
      <c r="L44" s="38">
        <f t="shared" si="30"/>
        <v>28680</v>
      </c>
      <c r="M44" s="38">
        <f t="shared" si="30"/>
        <v>63040</v>
      </c>
      <c r="N44" s="38">
        <f t="shared" si="30"/>
        <v>42640</v>
      </c>
      <c r="O44" s="38">
        <f t="shared" si="30"/>
        <v>18800</v>
      </c>
      <c r="P44" s="38">
        <f t="shared" si="30"/>
        <v>48357.599999999999</v>
      </c>
      <c r="Q44" s="38">
        <f t="shared" si="30"/>
        <v>14288</v>
      </c>
      <c r="R44" s="38">
        <f t="shared" si="30"/>
        <v>13736</v>
      </c>
      <c r="S44" s="38">
        <f t="shared" si="30"/>
        <v>0</v>
      </c>
      <c r="T44" s="38">
        <f t="shared" si="30"/>
        <v>18496.8</v>
      </c>
      <c r="U44" s="38">
        <f t="shared" si="30"/>
        <v>137634.4</v>
      </c>
      <c r="V44" s="38">
        <f t="shared" si="30"/>
        <v>29584.799999999999</v>
      </c>
      <c r="W44" s="38">
        <f t="shared" si="30"/>
        <v>32800</v>
      </c>
      <c r="X44" s="38">
        <f t="shared" si="30"/>
        <v>18499.599999999999</v>
      </c>
      <c r="Y44" s="38">
        <f t="shared" si="1"/>
        <v>937693.20000000007</v>
      </c>
    </row>
    <row r="45" spans="1:25" s="2" customFormat="1" ht="24.9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139576</v>
      </c>
      <c r="F45" s="38">
        <f t="shared" ref="F45:X45" si="31">F72*8</f>
        <v>69528</v>
      </c>
      <c r="G45" s="38">
        <f t="shared" si="31"/>
        <v>51968</v>
      </c>
      <c r="H45" s="38">
        <f t="shared" si="31"/>
        <v>32584</v>
      </c>
      <c r="I45" s="38">
        <f t="shared" si="31"/>
        <v>98712</v>
      </c>
      <c r="J45" s="38">
        <f t="shared" si="31"/>
        <v>25808</v>
      </c>
      <c r="K45" s="38">
        <f t="shared" si="31"/>
        <v>52960</v>
      </c>
      <c r="L45" s="38">
        <f t="shared" si="31"/>
        <v>28680</v>
      </c>
      <c r="M45" s="38">
        <f t="shared" si="31"/>
        <v>63040</v>
      </c>
      <c r="N45" s="38">
        <f t="shared" si="31"/>
        <v>42640</v>
      </c>
      <c r="O45" s="38">
        <f t="shared" si="31"/>
        <v>18800</v>
      </c>
      <c r="P45" s="38">
        <f t="shared" si="31"/>
        <v>48357.599999999999</v>
      </c>
      <c r="Q45" s="38">
        <f t="shared" si="31"/>
        <v>14288</v>
      </c>
      <c r="R45" s="38">
        <f t="shared" si="31"/>
        <v>13736</v>
      </c>
      <c r="S45" s="38">
        <f t="shared" si="31"/>
        <v>0</v>
      </c>
      <c r="T45" s="38">
        <f t="shared" si="31"/>
        <v>18496.8</v>
      </c>
      <c r="U45" s="38">
        <f t="shared" si="31"/>
        <v>137634.4</v>
      </c>
      <c r="V45" s="38">
        <f t="shared" si="31"/>
        <v>29584.799999999999</v>
      </c>
      <c r="W45" s="38">
        <f t="shared" si="31"/>
        <v>32800</v>
      </c>
      <c r="X45" s="38">
        <f t="shared" si="31"/>
        <v>18499.599999999999</v>
      </c>
      <c r="Y45" s="38">
        <f t="shared" si="1"/>
        <v>937693.20000000007</v>
      </c>
    </row>
    <row r="46" spans="1:25" ht="24.95" customHeight="1">
      <c r="A46" s="35" t="s">
        <v>116</v>
      </c>
      <c r="B46" s="36" t="s">
        <v>330</v>
      </c>
      <c r="C46" s="36"/>
      <c r="D46" s="37" t="s">
        <v>21</v>
      </c>
      <c r="E46" s="38">
        <f>E47+E48</f>
        <v>1732320</v>
      </c>
      <c r="F46" s="38">
        <f t="shared" ref="F46:X46" si="32">F47+F48</f>
        <v>617760</v>
      </c>
      <c r="G46" s="38">
        <f t="shared" si="32"/>
        <v>613440</v>
      </c>
      <c r="H46" s="38">
        <f t="shared" si="32"/>
        <v>470880</v>
      </c>
      <c r="I46" s="38">
        <f t="shared" si="32"/>
        <v>2026080</v>
      </c>
      <c r="J46" s="38">
        <f t="shared" si="32"/>
        <v>414720</v>
      </c>
      <c r="K46" s="38">
        <f t="shared" si="32"/>
        <v>738720</v>
      </c>
      <c r="L46" s="38">
        <f t="shared" si="32"/>
        <v>354240</v>
      </c>
      <c r="M46" s="38">
        <f t="shared" si="32"/>
        <v>578880</v>
      </c>
      <c r="N46" s="38">
        <f t="shared" si="32"/>
        <v>596160</v>
      </c>
      <c r="O46" s="38">
        <f t="shared" si="32"/>
        <v>345600</v>
      </c>
      <c r="P46" s="38">
        <f t="shared" si="32"/>
        <v>211680</v>
      </c>
      <c r="Q46" s="38">
        <f t="shared" si="32"/>
        <v>125280</v>
      </c>
      <c r="R46" s="38">
        <f t="shared" si="32"/>
        <v>302400</v>
      </c>
      <c r="S46" s="38">
        <f t="shared" si="32"/>
        <v>64800</v>
      </c>
      <c r="T46" s="38">
        <f t="shared" si="32"/>
        <v>190080</v>
      </c>
      <c r="U46" s="38">
        <f t="shared" si="32"/>
        <v>600480</v>
      </c>
      <c r="V46" s="38">
        <f t="shared" si="32"/>
        <v>82080</v>
      </c>
      <c r="W46" s="38">
        <f t="shared" si="32"/>
        <v>336960</v>
      </c>
      <c r="X46" s="38">
        <f t="shared" si="32"/>
        <v>60480</v>
      </c>
      <c r="Y46" s="38">
        <f t="shared" si="1"/>
        <v>10463040</v>
      </c>
    </row>
    <row r="47" spans="1:25" s="2" customFormat="1" ht="24.95" customHeight="1">
      <c r="A47" s="35" t="s">
        <v>118</v>
      </c>
      <c r="B47" s="42" t="s">
        <v>331</v>
      </c>
      <c r="C47" s="42" t="s">
        <v>27</v>
      </c>
      <c r="D47" s="48" t="s">
        <v>124</v>
      </c>
      <c r="E47" s="38">
        <f>E60*4320</f>
        <v>1157760</v>
      </c>
      <c r="F47" s="38">
        <f t="shared" ref="F47:X47" si="33">F60*4320</f>
        <v>393120</v>
      </c>
      <c r="G47" s="38">
        <f t="shared" si="33"/>
        <v>341280</v>
      </c>
      <c r="H47" s="38">
        <f t="shared" si="33"/>
        <v>457920</v>
      </c>
      <c r="I47" s="38">
        <f t="shared" si="33"/>
        <v>1550880</v>
      </c>
      <c r="J47" s="38">
        <f t="shared" si="33"/>
        <v>254880</v>
      </c>
      <c r="K47" s="38">
        <f t="shared" si="33"/>
        <v>583200</v>
      </c>
      <c r="L47" s="38">
        <f t="shared" si="33"/>
        <v>241920</v>
      </c>
      <c r="M47" s="38">
        <f t="shared" si="33"/>
        <v>561600</v>
      </c>
      <c r="N47" s="38">
        <f t="shared" si="33"/>
        <v>397440</v>
      </c>
      <c r="O47" s="38">
        <f t="shared" si="33"/>
        <v>177120</v>
      </c>
      <c r="P47" s="38">
        <f t="shared" si="33"/>
        <v>207360</v>
      </c>
      <c r="Q47" s="38">
        <f t="shared" si="33"/>
        <v>125280</v>
      </c>
      <c r="R47" s="38">
        <f t="shared" si="33"/>
        <v>177120</v>
      </c>
      <c r="S47" s="38">
        <f t="shared" si="33"/>
        <v>30240</v>
      </c>
      <c r="T47" s="38">
        <f t="shared" si="33"/>
        <v>190080</v>
      </c>
      <c r="U47" s="38">
        <f t="shared" si="33"/>
        <v>514080</v>
      </c>
      <c r="V47" s="38">
        <f t="shared" si="33"/>
        <v>82080</v>
      </c>
      <c r="W47" s="38">
        <f t="shared" si="33"/>
        <v>315360</v>
      </c>
      <c r="X47" s="38">
        <f t="shared" si="33"/>
        <v>60480</v>
      </c>
      <c r="Y47" s="38">
        <f t="shared" si="1"/>
        <v>7819200</v>
      </c>
    </row>
    <row r="48" spans="1:25" s="2" customFormat="1" ht="24.95" customHeight="1">
      <c r="A48" s="35" t="s">
        <v>121</v>
      </c>
      <c r="B48" s="42" t="s">
        <v>332</v>
      </c>
      <c r="C48" s="42" t="s">
        <v>27</v>
      </c>
      <c r="D48" s="48" t="s">
        <v>333</v>
      </c>
      <c r="E48" s="38">
        <f>E70*4320</f>
        <v>574560</v>
      </c>
      <c r="F48" s="38">
        <f t="shared" ref="F48:X48" si="34">F70*4320</f>
        <v>224640</v>
      </c>
      <c r="G48" s="38">
        <f t="shared" si="34"/>
        <v>272160</v>
      </c>
      <c r="H48" s="38">
        <f t="shared" si="34"/>
        <v>12960</v>
      </c>
      <c r="I48" s="38">
        <f t="shared" si="34"/>
        <v>475200</v>
      </c>
      <c r="J48" s="38">
        <f t="shared" si="34"/>
        <v>159840</v>
      </c>
      <c r="K48" s="38">
        <f t="shared" si="34"/>
        <v>155520</v>
      </c>
      <c r="L48" s="38">
        <f t="shared" si="34"/>
        <v>112320</v>
      </c>
      <c r="M48" s="38">
        <f t="shared" si="34"/>
        <v>17280</v>
      </c>
      <c r="N48" s="38">
        <f t="shared" si="34"/>
        <v>198720</v>
      </c>
      <c r="O48" s="38">
        <f t="shared" si="34"/>
        <v>168480</v>
      </c>
      <c r="P48" s="38">
        <f t="shared" si="34"/>
        <v>4320</v>
      </c>
      <c r="Q48" s="38">
        <f t="shared" si="34"/>
        <v>0</v>
      </c>
      <c r="R48" s="38">
        <f t="shared" si="34"/>
        <v>125280</v>
      </c>
      <c r="S48" s="38">
        <f t="shared" si="34"/>
        <v>34560</v>
      </c>
      <c r="T48" s="38">
        <f t="shared" si="34"/>
        <v>0</v>
      </c>
      <c r="U48" s="38">
        <f t="shared" si="34"/>
        <v>86400</v>
      </c>
      <c r="V48" s="38">
        <f t="shared" si="34"/>
        <v>0</v>
      </c>
      <c r="W48" s="38">
        <f t="shared" si="34"/>
        <v>21600</v>
      </c>
      <c r="X48" s="38">
        <f t="shared" si="34"/>
        <v>0</v>
      </c>
      <c r="Y48" s="38">
        <f t="shared" si="1"/>
        <v>2643840</v>
      </c>
    </row>
    <row r="49" spans="1:25" ht="24.95" customHeight="1">
      <c r="A49" s="35" t="s">
        <v>123</v>
      </c>
      <c r="B49" s="36" t="s">
        <v>334</v>
      </c>
      <c r="C49" s="36"/>
      <c r="D49" s="37" t="s">
        <v>21</v>
      </c>
      <c r="E49" s="38">
        <f>E50</f>
        <v>1402185.43</v>
      </c>
      <c r="F49" s="38">
        <f t="shared" ref="F49:X49" si="35">F50</f>
        <v>469083.43</v>
      </c>
      <c r="G49" s="38">
        <f t="shared" si="35"/>
        <v>386057.14</v>
      </c>
      <c r="H49" s="38">
        <f t="shared" si="35"/>
        <v>528805.71</v>
      </c>
      <c r="I49" s="38">
        <f t="shared" si="35"/>
        <v>1717994.29</v>
      </c>
      <c r="J49" s="38">
        <f t="shared" si="35"/>
        <v>286738.28999999998</v>
      </c>
      <c r="K49" s="38">
        <f t="shared" si="35"/>
        <v>677379.43</v>
      </c>
      <c r="L49" s="38">
        <f t="shared" si="35"/>
        <v>275389.71000000002</v>
      </c>
      <c r="M49" s="38">
        <f t="shared" si="35"/>
        <v>645497.14</v>
      </c>
      <c r="N49" s="38">
        <f t="shared" si="35"/>
        <v>413766.86</v>
      </c>
      <c r="O49" s="38">
        <f t="shared" si="35"/>
        <v>176317.71</v>
      </c>
      <c r="P49" s="38">
        <f t="shared" si="35"/>
        <v>202686.86</v>
      </c>
      <c r="Q49" s="38">
        <f t="shared" si="35"/>
        <v>128098.29</v>
      </c>
      <c r="R49" s="38">
        <f t="shared" si="35"/>
        <v>172928.86</v>
      </c>
      <c r="S49" s="38">
        <f t="shared" si="35"/>
        <v>36366.86</v>
      </c>
      <c r="T49" s="38">
        <f t="shared" si="35"/>
        <v>193542.86</v>
      </c>
      <c r="U49" s="38">
        <f t="shared" si="35"/>
        <v>617142.86</v>
      </c>
      <c r="V49" s="38">
        <f t="shared" si="35"/>
        <v>79875.429999999993</v>
      </c>
      <c r="W49" s="38">
        <f t="shared" si="35"/>
        <v>336209.14</v>
      </c>
      <c r="X49" s="38">
        <f t="shared" si="35"/>
        <v>48680.57</v>
      </c>
      <c r="Y49" s="38">
        <f t="shared" si="1"/>
        <v>8794746.8700000029</v>
      </c>
    </row>
    <row r="50" spans="1:25" s="2" customFormat="1" ht="24.9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1402185.43</v>
      </c>
      <c r="F50" s="38">
        <f t="shared" ref="F50:X50" si="36">ROUND(F30/0.07*0.02,2)</f>
        <v>469083.43</v>
      </c>
      <c r="G50" s="38">
        <f t="shared" si="36"/>
        <v>386057.14</v>
      </c>
      <c r="H50" s="38">
        <f t="shared" si="36"/>
        <v>528805.71</v>
      </c>
      <c r="I50" s="38">
        <f t="shared" si="36"/>
        <v>1717994.29</v>
      </c>
      <c r="J50" s="38">
        <f t="shared" si="36"/>
        <v>286738.28999999998</v>
      </c>
      <c r="K50" s="38">
        <f t="shared" si="36"/>
        <v>677379.43</v>
      </c>
      <c r="L50" s="38">
        <f t="shared" si="36"/>
        <v>275389.71000000002</v>
      </c>
      <c r="M50" s="38">
        <f t="shared" si="36"/>
        <v>645497.14</v>
      </c>
      <c r="N50" s="38">
        <f t="shared" si="36"/>
        <v>413766.86</v>
      </c>
      <c r="O50" s="38">
        <f t="shared" si="36"/>
        <v>176317.71</v>
      </c>
      <c r="P50" s="38">
        <f t="shared" si="36"/>
        <v>202686.86</v>
      </c>
      <c r="Q50" s="38">
        <f t="shared" si="36"/>
        <v>128098.29</v>
      </c>
      <c r="R50" s="38">
        <f t="shared" si="36"/>
        <v>172928.86</v>
      </c>
      <c r="S50" s="38">
        <f t="shared" si="36"/>
        <v>36366.86</v>
      </c>
      <c r="T50" s="38">
        <f t="shared" si="36"/>
        <v>193542.86</v>
      </c>
      <c r="U50" s="38">
        <f t="shared" si="36"/>
        <v>617142.86</v>
      </c>
      <c r="V50" s="38">
        <f t="shared" si="36"/>
        <v>79875.429999999993</v>
      </c>
      <c r="W50" s="38">
        <f t="shared" si="36"/>
        <v>336209.14</v>
      </c>
      <c r="X50" s="38">
        <f t="shared" si="36"/>
        <v>48680.57</v>
      </c>
      <c r="Y50" s="38">
        <f t="shared" si="1"/>
        <v>8794746.8700000029</v>
      </c>
    </row>
    <row r="51" spans="1:25" ht="24.95" customHeight="1">
      <c r="A51" s="35" t="s">
        <v>126</v>
      </c>
      <c r="B51" s="36" t="s">
        <v>335</v>
      </c>
      <c r="C51" s="36"/>
      <c r="D51" s="37" t="s">
        <v>21</v>
      </c>
      <c r="E51" s="38">
        <f>E52</f>
        <v>32000</v>
      </c>
      <c r="F51" s="38">
        <f t="shared" ref="F51:X51" si="37">F52</f>
        <v>25000</v>
      </c>
      <c r="G51" s="38">
        <f t="shared" si="37"/>
        <v>32000</v>
      </c>
      <c r="H51" s="38">
        <f t="shared" si="37"/>
        <v>32000</v>
      </c>
      <c r="I51" s="38">
        <f t="shared" si="37"/>
        <v>25000</v>
      </c>
      <c r="J51" s="38">
        <f t="shared" si="37"/>
        <v>32000</v>
      </c>
      <c r="K51" s="38">
        <f t="shared" si="37"/>
        <v>0</v>
      </c>
      <c r="L51" s="38">
        <f t="shared" si="37"/>
        <v>32000</v>
      </c>
      <c r="M51" s="38">
        <f t="shared" si="37"/>
        <v>32000</v>
      </c>
      <c r="N51" s="38">
        <f t="shared" si="37"/>
        <v>32000</v>
      </c>
      <c r="O51" s="38">
        <f t="shared" si="37"/>
        <v>0</v>
      </c>
      <c r="P51" s="38">
        <f t="shared" si="37"/>
        <v>0</v>
      </c>
      <c r="Q51" s="38">
        <f t="shared" si="37"/>
        <v>32000</v>
      </c>
      <c r="R51" s="38">
        <f t="shared" si="37"/>
        <v>0</v>
      </c>
      <c r="S51" s="38">
        <f t="shared" si="37"/>
        <v>0</v>
      </c>
      <c r="T51" s="38">
        <f t="shared" si="37"/>
        <v>0</v>
      </c>
      <c r="U51" s="38">
        <f t="shared" si="37"/>
        <v>0</v>
      </c>
      <c r="V51" s="38">
        <f t="shared" si="37"/>
        <v>0</v>
      </c>
      <c r="W51" s="38">
        <f t="shared" si="37"/>
        <v>0</v>
      </c>
      <c r="X51" s="38">
        <f t="shared" si="37"/>
        <v>0</v>
      </c>
      <c r="Y51" s="38">
        <f t="shared" si="1"/>
        <v>306000</v>
      </c>
    </row>
    <row r="52" spans="1:25" ht="24.9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168">
        <f>32000-7000</f>
        <v>25000</v>
      </c>
      <c r="G52" s="40">
        <v>32000</v>
      </c>
      <c r="H52" s="40">
        <v>32000</v>
      </c>
      <c r="I52" s="168">
        <f>32000-7000</f>
        <v>25000</v>
      </c>
      <c r="J52" s="40">
        <v>32000</v>
      </c>
      <c r="K52" s="40"/>
      <c r="L52" s="40">
        <v>32000</v>
      </c>
      <c r="M52" s="40">
        <v>32000</v>
      </c>
      <c r="N52" s="40">
        <v>32000</v>
      </c>
      <c r="O52" s="40"/>
      <c r="P52" s="40"/>
      <c r="Q52" s="40">
        <v>32000</v>
      </c>
      <c r="R52" s="40"/>
      <c r="S52" s="40"/>
      <c r="T52" s="40"/>
      <c r="U52" s="40"/>
      <c r="V52" s="40"/>
      <c r="W52" s="40"/>
      <c r="X52" s="40"/>
      <c r="Y52" s="38">
        <f t="shared" si="1"/>
        <v>306000</v>
      </c>
    </row>
    <row r="53" spans="1:25" ht="24.95" customHeight="1">
      <c r="A53" s="35" t="s">
        <v>130</v>
      </c>
      <c r="B53" s="36" t="s">
        <v>287</v>
      </c>
      <c r="C53" s="36"/>
      <c r="D53" s="37" t="s">
        <v>21</v>
      </c>
      <c r="E53" s="38">
        <f>E54</f>
        <v>53200</v>
      </c>
      <c r="F53" s="38">
        <f t="shared" ref="F53:X53" si="38">F54</f>
        <v>20800</v>
      </c>
      <c r="G53" s="38">
        <f t="shared" si="38"/>
        <v>25200</v>
      </c>
      <c r="H53" s="38">
        <f t="shared" si="38"/>
        <v>1200</v>
      </c>
      <c r="I53" s="38">
        <f t="shared" si="38"/>
        <v>44000</v>
      </c>
      <c r="J53" s="38">
        <f t="shared" si="38"/>
        <v>14800</v>
      </c>
      <c r="K53" s="38">
        <f t="shared" si="38"/>
        <v>14400</v>
      </c>
      <c r="L53" s="38">
        <f t="shared" si="38"/>
        <v>10400</v>
      </c>
      <c r="M53" s="38">
        <f t="shared" si="38"/>
        <v>1600</v>
      </c>
      <c r="N53" s="38">
        <f t="shared" si="38"/>
        <v>18400</v>
      </c>
      <c r="O53" s="38">
        <f t="shared" si="38"/>
        <v>15600</v>
      </c>
      <c r="P53" s="38">
        <f t="shared" si="38"/>
        <v>400</v>
      </c>
      <c r="Q53" s="38">
        <f t="shared" si="38"/>
        <v>0</v>
      </c>
      <c r="R53" s="38">
        <f t="shared" si="38"/>
        <v>11600</v>
      </c>
      <c r="S53" s="38">
        <f t="shared" si="38"/>
        <v>3200</v>
      </c>
      <c r="T53" s="38">
        <f t="shared" si="38"/>
        <v>0</v>
      </c>
      <c r="U53" s="38">
        <f t="shared" si="38"/>
        <v>8000</v>
      </c>
      <c r="V53" s="38">
        <f t="shared" si="38"/>
        <v>0</v>
      </c>
      <c r="W53" s="38">
        <f t="shared" si="38"/>
        <v>2000</v>
      </c>
      <c r="X53" s="38">
        <f t="shared" si="38"/>
        <v>0</v>
      </c>
      <c r="Y53" s="38">
        <f t="shared" si="1"/>
        <v>244800</v>
      </c>
    </row>
    <row r="54" spans="1:25" s="2" customFormat="1" ht="24.95" customHeight="1">
      <c r="A54" s="35" t="s">
        <v>131</v>
      </c>
      <c r="B54" s="42" t="s">
        <v>288</v>
      </c>
      <c r="C54" s="42" t="s">
        <v>27</v>
      </c>
      <c r="D54" s="48" t="s">
        <v>336</v>
      </c>
      <c r="E54" s="38">
        <f>E70*400</f>
        <v>53200</v>
      </c>
      <c r="F54" s="38">
        <f t="shared" ref="F54:X54" si="39">F70*400</f>
        <v>20800</v>
      </c>
      <c r="G54" s="38">
        <f t="shared" si="39"/>
        <v>25200</v>
      </c>
      <c r="H54" s="38">
        <f t="shared" si="39"/>
        <v>1200</v>
      </c>
      <c r="I54" s="38">
        <f t="shared" si="39"/>
        <v>44000</v>
      </c>
      <c r="J54" s="38">
        <f t="shared" si="39"/>
        <v>14800</v>
      </c>
      <c r="K54" s="38">
        <f t="shared" si="39"/>
        <v>14400</v>
      </c>
      <c r="L54" s="38">
        <f t="shared" si="39"/>
        <v>10400</v>
      </c>
      <c r="M54" s="38">
        <f t="shared" si="39"/>
        <v>1600</v>
      </c>
      <c r="N54" s="38">
        <f t="shared" si="39"/>
        <v>18400</v>
      </c>
      <c r="O54" s="38">
        <f t="shared" si="39"/>
        <v>15600</v>
      </c>
      <c r="P54" s="38">
        <f t="shared" si="39"/>
        <v>400</v>
      </c>
      <c r="Q54" s="38">
        <f t="shared" si="39"/>
        <v>0</v>
      </c>
      <c r="R54" s="38">
        <f t="shared" si="39"/>
        <v>11600</v>
      </c>
      <c r="S54" s="38">
        <f t="shared" si="39"/>
        <v>3200</v>
      </c>
      <c r="T54" s="38">
        <f t="shared" si="39"/>
        <v>0</v>
      </c>
      <c r="U54" s="38">
        <f t="shared" si="39"/>
        <v>8000</v>
      </c>
      <c r="V54" s="38">
        <f t="shared" si="39"/>
        <v>0</v>
      </c>
      <c r="W54" s="38">
        <f t="shared" si="39"/>
        <v>2000</v>
      </c>
      <c r="X54" s="38">
        <f t="shared" si="39"/>
        <v>0</v>
      </c>
      <c r="Y54" s="38">
        <f t="shared" si="1"/>
        <v>244800</v>
      </c>
    </row>
    <row r="55" spans="1:25" s="2" customFormat="1" ht="24.95" customHeight="1">
      <c r="A55" s="35" t="s">
        <v>134</v>
      </c>
      <c r="B55" s="36" t="s">
        <v>281</v>
      </c>
      <c r="C55" s="42"/>
      <c r="D55" s="48"/>
      <c r="E55" s="38">
        <f>E56</f>
        <v>8250</v>
      </c>
      <c r="F55" s="38">
        <f t="shared" ref="F55:X55" si="40">F56</f>
        <v>4900</v>
      </c>
      <c r="G55" s="38">
        <f t="shared" si="40"/>
        <v>1200</v>
      </c>
      <c r="H55" s="38">
        <f t="shared" si="40"/>
        <v>3600</v>
      </c>
      <c r="I55" s="38">
        <f t="shared" si="40"/>
        <v>13650</v>
      </c>
      <c r="J55" s="38">
        <f t="shared" si="40"/>
        <v>500</v>
      </c>
      <c r="K55" s="38">
        <f t="shared" si="40"/>
        <v>4400</v>
      </c>
      <c r="L55" s="38">
        <f t="shared" si="40"/>
        <v>1000</v>
      </c>
      <c r="M55" s="38">
        <f t="shared" si="40"/>
        <v>10000</v>
      </c>
      <c r="N55" s="38">
        <f t="shared" si="40"/>
        <v>2800</v>
      </c>
      <c r="O55" s="38">
        <f t="shared" si="40"/>
        <v>2000</v>
      </c>
      <c r="P55" s="38">
        <f t="shared" si="40"/>
        <v>6000</v>
      </c>
      <c r="Q55" s="38">
        <f t="shared" si="40"/>
        <v>2400</v>
      </c>
      <c r="R55" s="38">
        <f t="shared" si="40"/>
        <v>1000</v>
      </c>
      <c r="S55" s="38">
        <f t="shared" si="40"/>
        <v>0</v>
      </c>
      <c r="T55" s="38">
        <f t="shared" si="40"/>
        <v>2400</v>
      </c>
      <c r="U55" s="38">
        <f t="shared" si="40"/>
        <v>4000</v>
      </c>
      <c r="V55" s="38">
        <f t="shared" si="40"/>
        <v>1500</v>
      </c>
      <c r="W55" s="38">
        <f t="shared" si="40"/>
        <v>3000</v>
      </c>
      <c r="X55" s="38">
        <f t="shared" si="40"/>
        <v>0</v>
      </c>
      <c r="Y55" s="38">
        <f t="shared" si="1"/>
        <v>72600</v>
      </c>
    </row>
    <row r="56" spans="1:25" ht="24.9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8250</v>
      </c>
      <c r="F56" s="49">
        <v>4900</v>
      </c>
      <c r="G56" s="49">
        <v>1200</v>
      </c>
      <c r="H56" s="49">
        <v>3600</v>
      </c>
      <c r="I56" s="49">
        <v>13650</v>
      </c>
      <c r="J56" s="49">
        <v>500</v>
      </c>
      <c r="K56" s="49">
        <v>4400</v>
      </c>
      <c r="L56" s="49">
        <v>1000</v>
      </c>
      <c r="M56" s="49">
        <v>10000</v>
      </c>
      <c r="N56" s="49">
        <v>2800</v>
      </c>
      <c r="O56" s="49">
        <v>2000</v>
      </c>
      <c r="P56" s="49">
        <v>6000</v>
      </c>
      <c r="Q56" s="49">
        <v>2400</v>
      </c>
      <c r="R56" s="49">
        <v>1000</v>
      </c>
      <c r="S56" s="49"/>
      <c r="T56" s="49">
        <v>2400</v>
      </c>
      <c r="U56" s="49">
        <v>4000</v>
      </c>
      <c r="V56" s="49">
        <v>1500</v>
      </c>
      <c r="W56" s="49">
        <v>3000</v>
      </c>
      <c r="X56" s="49"/>
      <c r="Y56" s="38">
        <f t="shared" si="1"/>
        <v>72600</v>
      </c>
    </row>
    <row r="57" spans="1:25" ht="24.9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10000</v>
      </c>
      <c r="F57" s="38">
        <f t="shared" ref="F57:X57" si="41">F58</f>
        <v>0</v>
      </c>
      <c r="G57" s="38">
        <f t="shared" si="41"/>
        <v>0</v>
      </c>
      <c r="H57" s="38">
        <f t="shared" si="41"/>
        <v>10000</v>
      </c>
      <c r="I57" s="38">
        <f t="shared" si="41"/>
        <v>20000</v>
      </c>
      <c r="J57" s="38">
        <f t="shared" si="41"/>
        <v>0</v>
      </c>
      <c r="K57" s="38">
        <f t="shared" si="41"/>
        <v>32000</v>
      </c>
      <c r="L57" s="38">
        <f t="shared" si="41"/>
        <v>0</v>
      </c>
      <c r="M57" s="38">
        <f t="shared" si="41"/>
        <v>0</v>
      </c>
      <c r="N57" s="38">
        <f t="shared" si="41"/>
        <v>20000</v>
      </c>
      <c r="O57" s="38">
        <f t="shared" si="41"/>
        <v>32000</v>
      </c>
      <c r="P57" s="38">
        <f t="shared" si="41"/>
        <v>32000</v>
      </c>
      <c r="Q57" s="38">
        <f t="shared" si="41"/>
        <v>0</v>
      </c>
      <c r="R57" s="38">
        <f t="shared" si="41"/>
        <v>32000</v>
      </c>
      <c r="S57" s="38">
        <f t="shared" si="41"/>
        <v>32000</v>
      </c>
      <c r="T57" s="38">
        <f t="shared" si="41"/>
        <v>32000</v>
      </c>
      <c r="U57" s="38">
        <f t="shared" si="41"/>
        <v>32000</v>
      </c>
      <c r="V57" s="38">
        <f t="shared" si="41"/>
        <v>32000</v>
      </c>
      <c r="W57" s="38">
        <f t="shared" si="41"/>
        <v>32000</v>
      </c>
      <c r="X57" s="38">
        <f t="shared" si="41"/>
        <v>32000</v>
      </c>
      <c r="Y57" s="38">
        <f t="shared" si="1"/>
        <v>380000</v>
      </c>
    </row>
    <row r="58" spans="1:25" ht="24.95" customHeight="1" thickBot="1">
      <c r="A58" s="35" t="s">
        <v>139</v>
      </c>
      <c r="B58" s="4" t="s">
        <v>284</v>
      </c>
      <c r="C58" s="36" t="s">
        <v>27</v>
      </c>
      <c r="D58" s="5" t="s">
        <v>337</v>
      </c>
      <c r="E58" s="6">
        <v>10000</v>
      </c>
      <c r="F58" s="6"/>
      <c r="G58" s="6"/>
      <c r="H58" s="6">
        <v>10000</v>
      </c>
      <c r="I58" s="6">
        <v>20000</v>
      </c>
      <c r="J58" s="6"/>
      <c r="K58" s="6">
        <v>32000</v>
      </c>
      <c r="L58" s="6"/>
      <c r="M58" s="6"/>
      <c r="N58" s="6">
        <v>20000</v>
      </c>
      <c r="O58" s="6">
        <v>32000</v>
      </c>
      <c r="P58" s="6">
        <v>32000</v>
      </c>
      <c r="Q58" s="6"/>
      <c r="R58" s="6">
        <v>32000</v>
      </c>
      <c r="S58" s="6">
        <v>32000</v>
      </c>
      <c r="T58" s="6">
        <v>32000</v>
      </c>
      <c r="U58" s="6">
        <v>32000</v>
      </c>
      <c r="V58" s="6">
        <v>32000</v>
      </c>
      <c r="W58" s="6">
        <v>32000</v>
      </c>
      <c r="X58" s="6">
        <v>32000</v>
      </c>
      <c r="Y58" s="38">
        <f t="shared" si="1"/>
        <v>380000</v>
      </c>
    </row>
    <row r="59" spans="1:25" ht="24.9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38">
        <f t="shared" si="1"/>
        <v>0</v>
      </c>
    </row>
    <row r="60" spans="1:25" ht="24.95" customHeight="1">
      <c r="A60" s="35" t="s">
        <v>142</v>
      </c>
      <c r="B60" s="36" t="s">
        <v>147</v>
      </c>
      <c r="C60" s="36"/>
      <c r="D60" s="37" t="s">
        <v>338</v>
      </c>
      <c r="E60" s="38">
        <f>E61+E62+E63+E64</f>
        <v>268</v>
      </c>
      <c r="F60" s="38">
        <f t="shared" ref="F60:X60" si="42">F61+F62+F63+F64</f>
        <v>91</v>
      </c>
      <c r="G60" s="38">
        <f t="shared" si="42"/>
        <v>79</v>
      </c>
      <c r="H60" s="38">
        <f t="shared" si="42"/>
        <v>106</v>
      </c>
      <c r="I60" s="38">
        <f t="shared" si="42"/>
        <v>359</v>
      </c>
      <c r="J60" s="38">
        <f t="shared" si="42"/>
        <v>59</v>
      </c>
      <c r="K60" s="38">
        <f t="shared" si="42"/>
        <v>135</v>
      </c>
      <c r="L60" s="38">
        <f t="shared" si="42"/>
        <v>56</v>
      </c>
      <c r="M60" s="38">
        <f t="shared" si="42"/>
        <v>130</v>
      </c>
      <c r="N60" s="38">
        <f t="shared" si="42"/>
        <v>92</v>
      </c>
      <c r="O60" s="38">
        <f t="shared" si="42"/>
        <v>41</v>
      </c>
      <c r="P60" s="38">
        <f t="shared" si="42"/>
        <v>48</v>
      </c>
      <c r="Q60" s="38">
        <f t="shared" si="42"/>
        <v>29</v>
      </c>
      <c r="R60" s="38">
        <f t="shared" si="42"/>
        <v>41</v>
      </c>
      <c r="S60" s="38">
        <f t="shared" si="42"/>
        <v>7</v>
      </c>
      <c r="T60" s="38">
        <f t="shared" si="42"/>
        <v>44</v>
      </c>
      <c r="U60" s="38">
        <f t="shared" si="42"/>
        <v>119</v>
      </c>
      <c r="V60" s="38">
        <f t="shared" si="42"/>
        <v>19</v>
      </c>
      <c r="W60" s="38">
        <f t="shared" si="42"/>
        <v>73</v>
      </c>
      <c r="X60" s="38">
        <f t="shared" si="42"/>
        <v>14</v>
      </c>
      <c r="Y60" s="38">
        <f t="shared" si="1"/>
        <v>1810</v>
      </c>
    </row>
    <row r="61" spans="1:25" ht="24.95" customHeight="1">
      <c r="A61" s="35" t="s">
        <v>144</v>
      </c>
      <c r="B61" s="50" t="s">
        <v>149</v>
      </c>
      <c r="C61" s="50"/>
      <c r="D61" s="44"/>
      <c r="E61" s="45">
        <v>268</v>
      </c>
      <c r="F61" s="45">
        <v>91</v>
      </c>
      <c r="G61" s="45">
        <v>79</v>
      </c>
      <c r="H61" s="45">
        <v>106</v>
      </c>
      <c r="I61" s="45"/>
      <c r="J61" s="45"/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>
        <v>85</v>
      </c>
      <c r="V61" s="45"/>
      <c r="W61" s="45"/>
      <c r="X61" s="45"/>
      <c r="Y61" s="38">
        <f t="shared" si="1"/>
        <v>629</v>
      </c>
    </row>
    <row r="62" spans="1:25" ht="24.95" customHeight="1">
      <c r="A62" s="35" t="s">
        <v>146</v>
      </c>
      <c r="B62" s="50" t="s">
        <v>151</v>
      </c>
      <c r="C62" s="50"/>
      <c r="D62" s="37"/>
      <c r="E62" s="40"/>
      <c r="F62" s="40"/>
      <c r="G62" s="40"/>
      <c r="H62" s="40"/>
      <c r="I62" s="40">
        <v>359</v>
      </c>
      <c r="J62" s="40">
        <v>59</v>
      </c>
      <c r="K62" s="40">
        <v>135</v>
      </c>
      <c r="L62" s="40">
        <v>56</v>
      </c>
      <c r="M62" s="40">
        <v>130</v>
      </c>
      <c r="N62" s="40"/>
      <c r="O62" s="40"/>
      <c r="P62" s="40"/>
      <c r="Q62" s="40"/>
      <c r="R62" s="40"/>
      <c r="S62" s="40"/>
      <c r="T62" s="40"/>
      <c r="U62" s="40">
        <v>34</v>
      </c>
      <c r="V62" s="40"/>
      <c r="W62" s="40"/>
      <c r="X62" s="40"/>
      <c r="Y62" s="38">
        <f t="shared" si="1"/>
        <v>773</v>
      </c>
    </row>
    <row r="63" spans="1:25" ht="24.9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/>
      <c r="J63" s="45"/>
      <c r="K63" s="45"/>
      <c r="L63" s="45"/>
      <c r="M63" s="45"/>
      <c r="N63" s="45">
        <v>92</v>
      </c>
      <c r="O63" s="45">
        <v>41</v>
      </c>
      <c r="P63" s="45">
        <v>48</v>
      </c>
      <c r="Q63" s="45">
        <v>29</v>
      </c>
      <c r="R63" s="45">
        <v>41</v>
      </c>
      <c r="S63" s="45"/>
      <c r="T63" s="45">
        <v>44</v>
      </c>
      <c r="U63" s="45"/>
      <c r="V63" s="45">
        <v>19</v>
      </c>
      <c r="W63" s="45">
        <v>73</v>
      </c>
      <c r="X63" s="45">
        <v>14</v>
      </c>
      <c r="Y63" s="38">
        <f t="shared" si="1"/>
        <v>401</v>
      </c>
    </row>
    <row r="64" spans="1:25" ht="24.9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S64" s="45">
        <v>7</v>
      </c>
      <c r="T64" s="45"/>
      <c r="U64" s="45"/>
      <c r="V64" s="45"/>
      <c r="W64" s="45"/>
      <c r="X64" s="45"/>
      <c r="Y64" s="38">
        <f t="shared" si="1"/>
        <v>7</v>
      </c>
    </row>
    <row r="65" spans="1:25" ht="24.95" customHeight="1">
      <c r="A65" s="35" t="s">
        <v>152</v>
      </c>
      <c r="B65" s="36" t="s">
        <v>157</v>
      </c>
      <c r="C65" s="36"/>
      <c r="D65" s="37" t="s">
        <v>339</v>
      </c>
      <c r="E65" s="38">
        <f>E66+E67+E68+E69</f>
        <v>3575</v>
      </c>
      <c r="F65" s="38">
        <f t="shared" ref="F65:X65" si="43">F66+F67+F68+F69</f>
        <v>1356</v>
      </c>
      <c r="G65" s="38">
        <f t="shared" si="43"/>
        <v>1150</v>
      </c>
      <c r="H65" s="38">
        <f t="shared" si="43"/>
        <v>1664</v>
      </c>
      <c r="I65" s="38">
        <f t="shared" si="43"/>
        <v>5734</v>
      </c>
      <c r="J65" s="38">
        <f t="shared" si="43"/>
        <v>779</v>
      </c>
      <c r="K65" s="38">
        <f t="shared" si="43"/>
        <v>2344</v>
      </c>
      <c r="L65" s="38">
        <f t="shared" si="43"/>
        <v>767</v>
      </c>
      <c r="M65" s="38">
        <f t="shared" si="43"/>
        <v>2093</v>
      </c>
      <c r="N65" s="38">
        <f t="shared" si="43"/>
        <v>863</v>
      </c>
      <c r="O65" s="38">
        <f t="shared" si="43"/>
        <v>366</v>
      </c>
      <c r="P65" s="38">
        <f t="shared" si="43"/>
        <v>583</v>
      </c>
      <c r="Q65" s="38">
        <f t="shared" si="43"/>
        <v>335</v>
      </c>
      <c r="R65" s="38">
        <f t="shared" si="43"/>
        <v>360</v>
      </c>
      <c r="S65" s="38">
        <f t="shared" si="43"/>
        <v>0</v>
      </c>
      <c r="T65" s="38">
        <f t="shared" si="43"/>
        <v>285</v>
      </c>
      <c r="U65" s="38">
        <f t="shared" si="43"/>
        <v>2028</v>
      </c>
      <c r="V65" s="38">
        <f t="shared" si="43"/>
        <v>206</v>
      </c>
      <c r="W65" s="38">
        <f t="shared" si="43"/>
        <v>547</v>
      </c>
      <c r="X65" s="38">
        <f t="shared" si="43"/>
        <v>227</v>
      </c>
      <c r="Y65" s="38">
        <f t="shared" si="1"/>
        <v>25262</v>
      </c>
    </row>
    <row r="66" spans="1:25" ht="24.95" customHeight="1">
      <c r="A66" s="35" t="s">
        <v>154</v>
      </c>
      <c r="B66" s="50" t="s">
        <v>149</v>
      </c>
      <c r="C66" s="50"/>
      <c r="D66" s="44"/>
      <c r="E66" s="45">
        <v>3575</v>
      </c>
      <c r="F66" s="45">
        <v>1356</v>
      </c>
      <c r="G66" s="45">
        <v>1150</v>
      </c>
      <c r="H66" s="45">
        <v>1664</v>
      </c>
      <c r="I66" s="45"/>
      <c r="J66" s="45"/>
      <c r="K66" s="45"/>
      <c r="L66" s="45"/>
      <c r="M66" s="45"/>
      <c r="N66" s="45"/>
      <c r="O66" s="45"/>
      <c r="P66" s="45"/>
      <c r="Q66" s="45"/>
      <c r="R66" s="45"/>
      <c r="S66" s="45"/>
      <c r="T66" s="45"/>
      <c r="U66" s="45">
        <v>1217</v>
      </c>
      <c r="V66" s="45"/>
      <c r="W66" s="45"/>
      <c r="X66" s="45"/>
      <c r="Y66" s="38">
        <f t="shared" si="1"/>
        <v>8962</v>
      </c>
    </row>
    <row r="67" spans="1:25" ht="24.95" customHeight="1">
      <c r="A67" s="35" t="s">
        <v>156</v>
      </c>
      <c r="B67" s="50" t="s">
        <v>151</v>
      </c>
      <c r="C67" s="50"/>
      <c r="D67" s="37"/>
      <c r="E67" s="40"/>
      <c r="F67" s="40"/>
      <c r="G67" s="40"/>
      <c r="H67" s="40"/>
      <c r="I67" s="40">
        <v>5734</v>
      </c>
      <c r="J67" s="40">
        <v>779</v>
      </c>
      <c r="K67" s="40">
        <v>2344</v>
      </c>
      <c r="L67" s="40">
        <v>767</v>
      </c>
      <c r="M67" s="40">
        <v>2093</v>
      </c>
      <c r="N67" s="40"/>
      <c r="O67" s="40"/>
      <c r="P67" s="40"/>
      <c r="Q67" s="40"/>
      <c r="R67" s="40"/>
      <c r="S67" s="40"/>
      <c r="T67" s="40"/>
      <c r="U67" s="40">
        <v>811</v>
      </c>
      <c r="V67" s="40"/>
      <c r="W67" s="40"/>
      <c r="X67" s="40"/>
      <c r="Y67" s="38">
        <f t="shared" si="1"/>
        <v>12528</v>
      </c>
    </row>
    <row r="68" spans="1:25" ht="24.9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/>
      <c r="J68" s="45"/>
      <c r="K68" s="45"/>
      <c r="L68" s="45"/>
      <c r="M68" s="45"/>
      <c r="N68" s="45">
        <v>863</v>
      </c>
      <c r="O68" s="45">
        <v>366</v>
      </c>
      <c r="P68" s="45">
        <v>583</v>
      </c>
      <c r="Q68" s="45">
        <v>335</v>
      </c>
      <c r="R68" s="45">
        <v>360</v>
      </c>
      <c r="S68" s="45"/>
      <c r="T68" s="45">
        <v>285</v>
      </c>
      <c r="U68" s="45"/>
      <c r="V68" s="45">
        <v>206</v>
      </c>
      <c r="W68" s="45">
        <v>547</v>
      </c>
      <c r="X68" s="45">
        <v>227</v>
      </c>
      <c r="Y68" s="38">
        <f t="shared" ref="Y68:Y72" si="44">SUM(E68:X68)</f>
        <v>3772</v>
      </c>
    </row>
    <row r="69" spans="1:25" ht="24.9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38">
        <f t="shared" si="44"/>
        <v>0</v>
      </c>
    </row>
    <row r="70" spans="1:25" ht="24.95" customHeight="1">
      <c r="A70" s="35" t="s">
        <v>160</v>
      </c>
      <c r="B70" s="36" t="s">
        <v>340</v>
      </c>
      <c r="C70" s="36"/>
      <c r="D70" s="37"/>
      <c r="E70" s="40">
        <v>133</v>
      </c>
      <c r="F70" s="40">
        <v>52</v>
      </c>
      <c r="G70" s="40">
        <v>63</v>
      </c>
      <c r="H70" s="40">
        <v>3</v>
      </c>
      <c r="I70" s="40">
        <v>110</v>
      </c>
      <c r="J70" s="40">
        <v>37</v>
      </c>
      <c r="K70" s="40">
        <v>36</v>
      </c>
      <c r="L70" s="40">
        <v>26</v>
      </c>
      <c r="M70" s="40">
        <v>4</v>
      </c>
      <c r="N70" s="40">
        <v>46</v>
      </c>
      <c r="O70" s="40">
        <v>39</v>
      </c>
      <c r="P70" s="40">
        <v>1</v>
      </c>
      <c r="Q70" s="40"/>
      <c r="R70" s="40">
        <v>29</v>
      </c>
      <c r="S70" s="40">
        <v>8</v>
      </c>
      <c r="T70" s="40"/>
      <c r="U70" s="40">
        <v>20</v>
      </c>
      <c r="V70" s="40"/>
      <c r="W70" s="40">
        <v>5</v>
      </c>
      <c r="X70" s="40"/>
      <c r="Y70" s="38">
        <f t="shared" si="44"/>
        <v>612</v>
      </c>
    </row>
    <row r="71" spans="1:25" ht="24.95" customHeight="1">
      <c r="A71" s="35" t="s">
        <v>161</v>
      </c>
      <c r="B71" s="50" t="s">
        <v>341</v>
      </c>
      <c r="C71" s="50"/>
      <c r="D71" s="47"/>
      <c r="E71" s="40">
        <v>34506.629999999997</v>
      </c>
      <c r="F71" s="40">
        <v>13160</v>
      </c>
      <c r="G71" s="40">
        <v>8951.8799999999992</v>
      </c>
      <c r="H71" s="40">
        <v>11355.73</v>
      </c>
      <c r="I71" s="40">
        <v>38028.839999999997</v>
      </c>
      <c r="J71" s="40">
        <v>4631.83</v>
      </c>
      <c r="K71" s="40">
        <v>12756.42</v>
      </c>
      <c r="L71" s="40">
        <v>9285.57</v>
      </c>
      <c r="M71" s="40">
        <v>14358.21</v>
      </c>
      <c r="N71" s="40">
        <v>9829.07</v>
      </c>
      <c r="O71" s="40">
        <v>4286</v>
      </c>
      <c r="P71" s="40">
        <v>13349.34</v>
      </c>
      <c r="Q71" s="40">
        <v>3731.92</v>
      </c>
      <c r="R71" s="40">
        <v>4612</v>
      </c>
      <c r="S71" s="40">
        <v>2800</v>
      </c>
      <c r="T71" s="40">
        <v>6500</v>
      </c>
      <c r="U71" s="40">
        <v>32277.200000000001</v>
      </c>
      <c r="V71" s="40">
        <v>6995</v>
      </c>
      <c r="W71" s="40">
        <v>13200</v>
      </c>
      <c r="X71" s="40">
        <v>6600</v>
      </c>
      <c r="Y71" s="38">
        <f t="shared" si="44"/>
        <v>251215.64</v>
      </c>
    </row>
    <row r="72" spans="1:25" ht="24.95" customHeight="1">
      <c r="A72" s="35" t="s">
        <v>162</v>
      </c>
      <c r="B72" s="50" t="s">
        <v>342</v>
      </c>
      <c r="C72" s="50"/>
      <c r="D72" s="47"/>
      <c r="E72" s="40">
        <v>17447</v>
      </c>
      <c r="F72" s="40">
        <v>8691</v>
      </c>
      <c r="G72" s="40">
        <v>6496</v>
      </c>
      <c r="H72" s="40">
        <v>4073</v>
      </c>
      <c r="I72" s="40">
        <v>12339</v>
      </c>
      <c r="J72" s="40">
        <v>3226</v>
      </c>
      <c r="K72" s="40">
        <v>6620</v>
      </c>
      <c r="L72" s="40">
        <v>3585</v>
      </c>
      <c r="M72" s="40">
        <v>7880</v>
      </c>
      <c r="N72" s="40">
        <v>5330</v>
      </c>
      <c r="O72" s="40">
        <v>2350</v>
      </c>
      <c r="P72" s="40">
        <v>6044.7</v>
      </c>
      <c r="Q72" s="40">
        <v>1786</v>
      </c>
      <c r="R72" s="40">
        <v>1717</v>
      </c>
      <c r="S72" s="40"/>
      <c r="T72" s="40">
        <v>2312.1</v>
      </c>
      <c r="U72" s="40">
        <v>17204.3</v>
      </c>
      <c r="V72" s="40">
        <v>3698.1</v>
      </c>
      <c r="W72" s="40">
        <v>4100</v>
      </c>
      <c r="X72" s="40">
        <v>2312.4499999999998</v>
      </c>
      <c r="Y72" s="38">
        <f t="shared" si="44"/>
        <v>117211.65000000001</v>
      </c>
    </row>
    <row r="73" spans="1:25">
      <c r="E73" s="1">
        <f t="shared" ref="E73:Y73" si="45">E5/E60</f>
        <v>386103.28787313431</v>
      </c>
      <c r="F73" s="1">
        <f t="shared" si="45"/>
        <v>384855.02362637362</v>
      </c>
      <c r="G73" s="1">
        <f t="shared" si="45"/>
        <v>378694.12291139242</v>
      </c>
      <c r="H73" s="1">
        <f t="shared" si="45"/>
        <v>375761.96754716977</v>
      </c>
      <c r="I73" s="1">
        <f t="shared" si="45"/>
        <v>362170.38284122566</v>
      </c>
      <c r="J73" s="1">
        <f t="shared" si="45"/>
        <v>367766.8718644068</v>
      </c>
      <c r="K73" s="1">
        <f t="shared" si="45"/>
        <v>364208.95725925924</v>
      </c>
      <c r="L73" s="1">
        <f t="shared" si="45"/>
        <v>368072.79571428569</v>
      </c>
      <c r="M73" s="1">
        <f t="shared" si="45"/>
        <v>363662.35561538464</v>
      </c>
      <c r="N73" s="1">
        <f t="shared" si="45"/>
        <v>328500.85097826086</v>
      </c>
      <c r="O73" s="1">
        <f t="shared" si="45"/>
        <v>324888.11121951218</v>
      </c>
      <c r="P73" s="1">
        <f t="shared" si="45"/>
        <v>315890.71437499998</v>
      </c>
      <c r="Q73" s="1">
        <f t="shared" si="45"/>
        <v>322816.51172413793</v>
      </c>
      <c r="R73" s="1">
        <f t="shared" si="45"/>
        <v>321722.6595121951</v>
      </c>
      <c r="S73" s="1">
        <f t="shared" si="45"/>
        <v>378165.75571428571</v>
      </c>
      <c r="T73" s="1">
        <f t="shared" si="45"/>
        <v>323207.59749999997</v>
      </c>
      <c r="U73" s="1">
        <f t="shared" si="45"/>
        <v>375936.23773109243</v>
      </c>
      <c r="V73" s="1">
        <f t="shared" si="45"/>
        <v>314973.32368421048</v>
      </c>
      <c r="W73" s="1">
        <f t="shared" si="45"/>
        <v>330747.20150684932</v>
      </c>
      <c r="X73" s="1">
        <f t="shared" si="45"/>
        <v>293083.7035714286</v>
      </c>
      <c r="Y73" s="1">
        <f t="shared" si="45"/>
        <v>361388.60114364635</v>
      </c>
    </row>
    <row r="74" spans="1:25">
      <c r="E74" s="1">
        <f t="shared" ref="E74:Y74" si="46">E34/E70</f>
        <v>18227.400000000001</v>
      </c>
      <c r="F74" s="1">
        <f t="shared" si="46"/>
        <v>18931.153846153848</v>
      </c>
      <c r="G74" s="1">
        <f t="shared" si="46"/>
        <v>18204.761904761905</v>
      </c>
      <c r="H74" s="1">
        <f t="shared" si="46"/>
        <v>13560</v>
      </c>
      <c r="I74" s="1">
        <f t="shared" si="46"/>
        <v>18072.045454545456</v>
      </c>
      <c r="J74" s="1">
        <f t="shared" si="46"/>
        <v>16263.243243243243</v>
      </c>
      <c r="K74" s="1">
        <f t="shared" si="46"/>
        <v>17230</v>
      </c>
      <c r="L74" s="1">
        <f t="shared" si="46"/>
        <v>16156.153846153846</v>
      </c>
      <c r="M74" s="1">
        <f t="shared" si="46"/>
        <v>15720</v>
      </c>
      <c r="N74" s="1">
        <f t="shared" si="46"/>
        <v>17347.82608695652</v>
      </c>
      <c r="O74" s="1">
        <f t="shared" si="46"/>
        <v>17220</v>
      </c>
      <c r="P74" s="1">
        <f t="shared" si="46"/>
        <v>25860</v>
      </c>
      <c r="Q74" s="1" t="e">
        <f t="shared" si="46"/>
        <v>#DIV/0!</v>
      </c>
      <c r="R74" s="1">
        <f t="shared" si="46"/>
        <v>16034.48275862069</v>
      </c>
      <c r="S74" s="1">
        <f t="shared" si="46"/>
        <v>19545</v>
      </c>
      <c r="T74" s="1" t="e">
        <f t="shared" si="46"/>
        <v>#DIV/0!</v>
      </c>
      <c r="U74" s="1">
        <f t="shared" si="46"/>
        <v>14340</v>
      </c>
      <c r="V74" s="1" t="e">
        <f t="shared" si="46"/>
        <v>#DIV/0!</v>
      </c>
      <c r="W74" s="1">
        <f t="shared" si="46"/>
        <v>12720</v>
      </c>
      <c r="X74" s="1" t="e">
        <f t="shared" si="46"/>
        <v>#DIV/0!</v>
      </c>
      <c r="Y74" s="1">
        <f t="shared" si="46"/>
        <v>17575.701307189542</v>
      </c>
    </row>
  </sheetData>
  <protectedRanges>
    <protectedRange password="E9C1" sqref="D30 C31 A5:D6 B7:D29 Y5:Y72 A4:Y4 B32:D72 A7:A72 Y3 A3:D3 A2:Y2" name="区域1_1"/>
    <protectedRange password="E9C1" sqref="B30:C30 B31" name="区域1_1_1"/>
    <protectedRange password="E9C1" sqref="D31" name="区域1_2"/>
  </protectedRanges>
  <mergeCells count="6">
    <mergeCell ref="A1:Y1"/>
    <mergeCell ref="A2:A3"/>
    <mergeCell ref="B2:B3"/>
    <mergeCell ref="C2:C3"/>
    <mergeCell ref="D2:D3"/>
    <mergeCell ref="Y2:Y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Q74"/>
  <sheetViews>
    <sheetView topLeftCell="A25" workbookViewId="0">
      <selection activeCell="F52" sqref="F52"/>
    </sheetView>
  </sheetViews>
  <sheetFormatPr defaultRowHeight="11.25"/>
  <cols>
    <col min="1" max="1" width="3.25" style="13" customWidth="1"/>
    <col min="2" max="2" width="12.375" style="1" customWidth="1"/>
    <col min="3" max="3" width="0" style="1" hidden="1" customWidth="1"/>
    <col min="4" max="4" width="0" style="14" hidden="1" customWidth="1"/>
    <col min="5" max="17" width="11.625" style="1" customWidth="1"/>
    <col min="18" max="16384" width="9" style="1"/>
  </cols>
  <sheetData>
    <row r="1" spans="1:17" ht="25.5">
      <c r="A1" s="354" t="s">
        <v>830</v>
      </c>
      <c r="B1" s="355"/>
      <c r="C1" s="355"/>
      <c r="D1" s="355"/>
      <c r="E1" s="355"/>
      <c r="F1" s="355"/>
      <c r="G1" s="355"/>
      <c r="H1" s="355"/>
      <c r="I1" s="355"/>
      <c r="J1" s="355"/>
      <c r="K1" s="355"/>
      <c r="L1" s="355"/>
      <c r="M1" s="355"/>
      <c r="N1" s="355"/>
      <c r="O1" s="355"/>
      <c r="P1" s="355"/>
      <c r="Q1" s="355"/>
    </row>
    <row r="2" spans="1:17" ht="45" customHeight="1">
      <c r="A2" s="358" t="s">
        <v>12</v>
      </c>
      <c r="B2" s="358" t="s">
        <v>13</v>
      </c>
      <c r="C2" s="358" t="s">
        <v>14</v>
      </c>
      <c r="D2" s="358" t="s">
        <v>15</v>
      </c>
      <c r="E2" s="33" t="s">
        <v>266</v>
      </c>
      <c r="F2" s="33" t="s">
        <v>383</v>
      </c>
      <c r="G2" s="33" t="s">
        <v>384</v>
      </c>
      <c r="H2" s="33" t="s">
        <v>385</v>
      </c>
      <c r="I2" s="33" t="s">
        <v>386</v>
      </c>
      <c r="J2" s="33" t="s">
        <v>175</v>
      </c>
      <c r="K2" s="33" t="s">
        <v>387</v>
      </c>
      <c r="L2" s="33" t="s">
        <v>388</v>
      </c>
      <c r="M2" s="33" t="s">
        <v>389</v>
      </c>
      <c r="N2" s="33" t="s">
        <v>390</v>
      </c>
      <c r="O2" s="33" t="s">
        <v>391</v>
      </c>
      <c r="P2" s="33" t="s">
        <v>392</v>
      </c>
      <c r="Q2" s="358" t="s">
        <v>17</v>
      </c>
    </row>
    <row r="3" spans="1:17">
      <c r="A3" s="359"/>
      <c r="B3" s="359"/>
      <c r="C3" s="359"/>
      <c r="D3" s="359"/>
      <c r="E3" s="33" t="s">
        <v>462</v>
      </c>
      <c r="F3" s="33" t="s">
        <v>464</v>
      </c>
      <c r="G3" s="33" t="s">
        <v>462</v>
      </c>
      <c r="H3" s="33" t="s">
        <v>463</v>
      </c>
      <c r="I3" s="33" t="s">
        <v>460</v>
      </c>
      <c r="J3" s="33" t="s">
        <v>460</v>
      </c>
      <c r="K3" s="33" t="s">
        <v>460</v>
      </c>
      <c r="L3" s="33" t="s">
        <v>460</v>
      </c>
      <c r="M3" s="33" t="s">
        <v>460</v>
      </c>
      <c r="N3" s="33" t="s">
        <v>460</v>
      </c>
      <c r="O3" s="33" t="s">
        <v>460</v>
      </c>
      <c r="P3" s="33" t="s">
        <v>461</v>
      </c>
      <c r="Q3" s="359"/>
    </row>
    <row r="4" spans="1:17" ht="15" customHeight="1">
      <c r="A4" s="35" t="s">
        <v>19</v>
      </c>
      <c r="B4" s="36" t="s">
        <v>20</v>
      </c>
      <c r="C4" s="36"/>
      <c r="D4" s="37" t="s">
        <v>21</v>
      </c>
      <c r="E4" s="38">
        <f t="shared" ref="E4:P4" si="0">E5+E32+E37</f>
        <v>48550817.530000001</v>
      </c>
      <c r="F4" s="38">
        <f t="shared" si="0"/>
        <v>35271623.170000002</v>
      </c>
      <c r="G4" s="38">
        <f t="shared" si="0"/>
        <v>70345171.270000011</v>
      </c>
      <c r="H4" s="38">
        <f t="shared" si="0"/>
        <v>72478576.270000011</v>
      </c>
      <c r="I4" s="38">
        <f t="shared" si="0"/>
        <v>9566481.5800000001</v>
      </c>
      <c r="J4" s="38">
        <f t="shared" si="0"/>
        <v>10318127.73</v>
      </c>
      <c r="K4" s="38">
        <f t="shared" si="0"/>
        <v>8444687.120000001</v>
      </c>
      <c r="L4" s="38">
        <f t="shared" si="0"/>
        <v>9190539.5999999996</v>
      </c>
      <c r="M4" s="38">
        <f t="shared" si="0"/>
        <v>17307018.419999998</v>
      </c>
      <c r="N4" s="38">
        <f t="shared" si="0"/>
        <v>8171558.7000000002</v>
      </c>
      <c r="O4" s="38">
        <f t="shared" si="0"/>
        <v>11187665</v>
      </c>
      <c r="P4" s="38">
        <f t="shared" si="0"/>
        <v>4400197</v>
      </c>
      <c r="Q4" s="38">
        <f t="shared" ref="Q4:Q67" si="1">SUM(E4:P4)</f>
        <v>305232463.39000005</v>
      </c>
    </row>
    <row r="5" spans="1:17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40366995.440000005</v>
      </c>
      <c r="F5" s="38">
        <f t="shared" ref="F5:P5" si="2">F6+F9+F13+F16+F21+F26+F28+F30+F31</f>
        <v>29035800.850000001</v>
      </c>
      <c r="G5" s="38">
        <f t="shared" si="2"/>
        <v>58213946.560000002</v>
      </c>
      <c r="H5" s="38">
        <f t="shared" si="2"/>
        <v>61273934.560000002</v>
      </c>
      <c r="I5" s="38">
        <f t="shared" si="2"/>
        <v>8328901.1499999994</v>
      </c>
      <c r="J5" s="38">
        <f t="shared" si="2"/>
        <v>8583763.4399999995</v>
      </c>
      <c r="K5" s="38">
        <f t="shared" si="2"/>
        <v>7206866.8500000006</v>
      </c>
      <c r="L5" s="38">
        <f t="shared" si="2"/>
        <v>7627162.29</v>
      </c>
      <c r="M5" s="38">
        <f t="shared" si="2"/>
        <v>14760922.849999998</v>
      </c>
      <c r="N5" s="38">
        <f t="shared" si="2"/>
        <v>6948880</v>
      </c>
      <c r="O5" s="38">
        <f t="shared" si="2"/>
        <v>9634028</v>
      </c>
      <c r="P5" s="38">
        <f t="shared" si="2"/>
        <v>3757960</v>
      </c>
      <c r="Q5" s="38">
        <f t="shared" si="1"/>
        <v>255739161.99000001</v>
      </c>
    </row>
    <row r="6" spans="1:17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4329648</v>
      </c>
      <c r="F6" s="38">
        <f t="shared" ref="F6:P6" si="3">F7+F8</f>
        <v>2959416</v>
      </c>
      <c r="G6" s="38">
        <f t="shared" si="3"/>
        <v>8593692</v>
      </c>
      <c r="H6" s="38">
        <f t="shared" si="3"/>
        <v>7308840</v>
      </c>
      <c r="I6" s="38">
        <f t="shared" si="3"/>
        <v>1081392</v>
      </c>
      <c r="J6" s="38">
        <f t="shared" si="3"/>
        <v>1020168</v>
      </c>
      <c r="K6" s="38">
        <f t="shared" si="3"/>
        <v>879420</v>
      </c>
      <c r="L6" s="38">
        <f t="shared" si="3"/>
        <v>965040</v>
      </c>
      <c r="M6" s="38">
        <f t="shared" si="3"/>
        <v>1924188</v>
      </c>
      <c r="N6" s="38">
        <f t="shared" si="3"/>
        <v>942984</v>
      </c>
      <c r="O6" s="38">
        <f t="shared" si="3"/>
        <v>1524432</v>
      </c>
      <c r="P6" s="38">
        <f t="shared" si="3"/>
        <v>520824</v>
      </c>
      <c r="Q6" s="38">
        <f t="shared" si="1"/>
        <v>32050044</v>
      </c>
    </row>
    <row r="7" spans="1:17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2790972</v>
      </c>
      <c r="F7" s="40">
        <v>1818204</v>
      </c>
      <c r="G7" s="40">
        <v>4099572</v>
      </c>
      <c r="H7" s="40">
        <v>4347192</v>
      </c>
      <c r="I7" s="40">
        <v>677556</v>
      </c>
      <c r="J7" s="40">
        <v>689640</v>
      </c>
      <c r="K7" s="40">
        <v>563772</v>
      </c>
      <c r="L7" s="40">
        <f>48972*12</f>
        <v>587664</v>
      </c>
      <c r="M7" s="40">
        <v>1212852</v>
      </c>
      <c r="N7" s="40">
        <f>46501*12</f>
        <v>558012</v>
      </c>
      <c r="O7" s="40">
        <f>63404*12</f>
        <v>760848</v>
      </c>
      <c r="P7" s="40">
        <f>22037*12</f>
        <v>264444</v>
      </c>
      <c r="Q7" s="38">
        <f t="shared" si="1"/>
        <v>18370728</v>
      </c>
    </row>
    <row r="8" spans="1:17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1538676</v>
      </c>
      <c r="F8" s="40">
        <v>1141212</v>
      </c>
      <c r="G8" s="40">
        <v>4494120</v>
      </c>
      <c r="H8" s="40">
        <v>2961648</v>
      </c>
      <c r="I8" s="40">
        <v>403836</v>
      </c>
      <c r="J8" s="40">
        <v>330528</v>
      </c>
      <c r="K8" s="40">
        <v>315648</v>
      </c>
      <c r="L8" s="40">
        <f>31448*12</f>
        <v>377376</v>
      </c>
      <c r="M8" s="40">
        <v>711336</v>
      </c>
      <c r="N8" s="40">
        <f>32081*12</f>
        <v>384972</v>
      </c>
      <c r="O8" s="40">
        <f>63632*12</f>
        <v>763584</v>
      </c>
      <c r="P8" s="40">
        <f>21365*12</f>
        <v>256380</v>
      </c>
      <c r="Q8" s="38">
        <f t="shared" si="1"/>
        <v>13679316</v>
      </c>
    </row>
    <row r="9" spans="1:17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574344</v>
      </c>
      <c r="F9" s="38">
        <f t="shared" ref="F9:P9" si="4">F10+F11</f>
        <v>409944</v>
      </c>
      <c r="G9" s="38">
        <f t="shared" si="4"/>
        <v>790968</v>
      </c>
      <c r="H9" s="38">
        <f t="shared" si="4"/>
        <v>912468</v>
      </c>
      <c r="I9" s="38">
        <f t="shared" si="4"/>
        <v>138648</v>
      </c>
      <c r="J9" s="38">
        <f t="shared" si="4"/>
        <v>148632</v>
      </c>
      <c r="K9" s="38">
        <f t="shared" si="4"/>
        <v>128292</v>
      </c>
      <c r="L9" s="38">
        <f t="shared" si="4"/>
        <v>128052</v>
      </c>
      <c r="M9" s="38">
        <f t="shared" si="4"/>
        <v>261576</v>
      </c>
      <c r="N9" s="38">
        <f t="shared" si="4"/>
        <v>117588</v>
      </c>
      <c r="O9" s="38">
        <f t="shared" si="4"/>
        <v>156060</v>
      </c>
      <c r="P9" s="38">
        <f t="shared" si="4"/>
        <v>53556</v>
      </c>
      <c r="Q9" s="38">
        <f t="shared" si="1"/>
        <v>3820128</v>
      </c>
    </row>
    <row r="10" spans="1:17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4104</v>
      </c>
      <c r="F10" s="40">
        <v>3384</v>
      </c>
      <c r="G10" s="40">
        <v>14808</v>
      </c>
      <c r="H10" s="40">
        <v>9588</v>
      </c>
      <c r="I10" s="40">
        <v>1368</v>
      </c>
      <c r="J10" s="40">
        <v>792</v>
      </c>
      <c r="K10" s="40">
        <v>6852</v>
      </c>
      <c r="L10" s="40">
        <v>1332</v>
      </c>
      <c r="M10" s="40">
        <v>2856</v>
      </c>
      <c r="N10" s="40">
        <v>1428</v>
      </c>
      <c r="O10" s="40">
        <v>2940</v>
      </c>
      <c r="P10" s="40">
        <v>756</v>
      </c>
      <c r="Q10" s="38">
        <f t="shared" si="1"/>
        <v>50208</v>
      </c>
    </row>
    <row r="11" spans="1:17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570240</v>
      </c>
      <c r="F11" s="38">
        <f t="shared" ref="F11:P11" si="5">F12</f>
        <v>406560</v>
      </c>
      <c r="G11" s="38">
        <f t="shared" si="5"/>
        <v>776160</v>
      </c>
      <c r="H11" s="38">
        <f t="shared" si="5"/>
        <v>902880</v>
      </c>
      <c r="I11" s="38">
        <f t="shared" si="5"/>
        <v>137280</v>
      </c>
      <c r="J11" s="38">
        <f t="shared" si="5"/>
        <v>147840</v>
      </c>
      <c r="K11" s="38">
        <f t="shared" si="5"/>
        <v>121440</v>
      </c>
      <c r="L11" s="38">
        <f t="shared" si="5"/>
        <v>126720</v>
      </c>
      <c r="M11" s="38">
        <f t="shared" si="5"/>
        <v>258720</v>
      </c>
      <c r="N11" s="38">
        <f t="shared" si="5"/>
        <v>116160</v>
      </c>
      <c r="O11" s="38">
        <f t="shared" si="5"/>
        <v>153120</v>
      </c>
      <c r="P11" s="38">
        <f t="shared" si="5"/>
        <v>52800</v>
      </c>
      <c r="Q11" s="38">
        <f t="shared" si="1"/>
        <v>3769920</v>
      </c>
    </row>
    <row r="12" spans="1:17" s="2" customFormat="1" ht="15" customHeight="1">
      <c r="A12" s="35" t="s">
        <v>37</v>
      </c>
      <c r="B12" s="42" t="s">
        <v>38</v>
      </c>
      <c r="C12" s="42" t="s">
        <v>27</v>
      </c>
      <c r="D12" s="39" t="s">
        <v>21</v>
      </c>
      <c r="E12" s="38">
        <f>440*12*E60</f>
        <v>570240</v>
      </c>
      <c r="F12" s="38">
        <f t="shared" ref="F12:P12" si="6">440*12*F60</f>
        <v>406560</v>
      </c>
      <c r="G12" s="38">
        <f t="shared" si="6"/>
        <v>776160</v>
      </c>
      <c r="H12" s="38">
        <f t="shared" si="6"/>
        <v>902880</v>
      </c>
      <c r="I12" s="38">
        <f t="shared" si="6"/>
        <v>137280</v>
      </c>
      <c r="J12" s="38">
        <f t="shared" si="6"/>
        <v>147840</v>
      </c>
      <c r="K12" s="38">
        <f t="shared" si="6"/>
        <v>121440</v>
      </c>
      <c r="L12" s="38">
        <f t="shared" si="6"/>
        <v>126720</v>
      </c>
      <c r="M12" s="38">
        <f t="shared" si="6"/>
        <v>258720</v>
      </c>
      <c r="N12" s="38">
        <f t="shared" si="6"/>
        <v>116160</v>
      </c>
      <c r="O12" s="38">
        <f t="shared" si="6"/>
        <v>153120</v>
      </c>
      <c r="P12" s="38">
        <f t="shared" si="6"/>
        <v>52800</v>
      </c>
      <c r="Q12" s="38">
        <f t="shared" si="1"/>
        <v>3769920</v>
      </c>
    </row>
    <row r="13" spans="1:17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276305.14</v>
      </c>
      <c r="F13" s="38">
        <f t="shared" ref="F13:P13" si="7">F14+F15</f>
        <v>205498.28</v>
      </c>
      <c r="G13" s="38">
        <f t="shared" si="7"/>
        <v>388530.86</v>
      </c>
      <c r="H13" s="38">
        <f t="shared" si="7"/>
        <v>409074.86</v>
      </c>
      <c r="I13" s="38">
        <f t="shared" si="7"/>
        <v>57265.72</v>
      </c>
      <c r="J13" s="38">
        <f t="shared" si="7"/>
        <v>56321.14</v>
      </c>
      <c r="K13" s="38">
        <f t="shared" si="7"/>
        <v>48670.28</v>
      </c>
      <c r="L13" s="38">
        <f t="shared" si="7"/>
        <v>52239.42</v>
      </c>
      <c r="M13" s="38">
        <f t="shared" si="7"/>
        <v>89650.28</v>
      </c>
      <c r="N13" s="38">
        <f t="shared" si="7"/>
        <v>45636</v>
      </c>
      <c r="O13" s="38">
        <f t="shared" si="7"/>
        <v>64416</v>
      </c>
      <c r="P13" s="38">
        <f t="shared" si="7"/>
        <v>25296</v>
      </c>
      <c r="Q13" s="38">
        <f t="shared" si="1"/>
        <v>1718903.98</v>
      </c>
    </row>
    <row r="14" spans="1:17" s="2" customFormat="1" ht="15" customHeight="1">
      <c r="A14" s="35" t="s">
        <v>42</v>
      </c>
      <c r="B14" s="42" t="s">
        <v>393</v>
      </c>
      <c r="C14" s="42" t="s">
        <v>27</v>
      </c>
      <c r="D14" s="39" t="s">
        <v>43</v>
      </c>
      <c r="E14" s="38">
        <f>ROUND(E30/0.07*0.005,2)</f>
        <v>138152.57</v>
      </c>
      <c r="F14" s="38">
        <f t="shared" ref="F14:P14" si="8">ROUND(F30/0.07*0.005,2)</f>
        <v>102749.14</v>
      </c>
      <c r="G14" s="38">
        <f t="shared" si="8"/>
        <v>194265.43</v>
      </c>
      <c r="H14" s="38">
        <f t="shared" si="8"/>
        <v>204537.43</v>
      </c>
      <c r="I14" s="38">
        <f t="shared" si="8"/>
        <v>28632.86</v>
      </c>
      <c r="J14" s="38">
        <f t="shared" si="8"/>
        <v>28160.57</v>
      </c>
      <c r="K14" s="38">
        <f t="shared" si="8"/>
        <v>24335.14</v>
      </c>
      <c r="L14" s="38">
        <f t="shared" si="8"/>
        <v>26119.71</v>
      </c>
      <c r="M14" s="38">
        <f t="shared" si="8"/>
        <v>44825.14</v>
      </c>
      <c r="N14" s="38">
        <f t="shared" si="8"/>
        <v>22818</v>
      </c>
      <c r="O14" s="38">
        <f t="shared" si="8"/>
        <v>32208</v>
      </c>
      <c r="P14" s="38">
        <f t="shared" si="8"/>
        <v>12648</v>
      </c>
      <c r="Q14" s="38">
        <f t="shared" si="1"/>
        <v>859451.99</v>
      </c>
    </row>
    <row r="15" spans="1:17" s="2" customFormat="1" ht="15" customHeight="1">
      <c r="A15" s="35" t="s">
        <v>44</v>
      </c>
      <c r="B15" s="42" t="s">
        <v>45</v>
      </c>
      <c r="C15" s="42" t="s">
        <v>27</v>
      </c>
      <c r="D15" s="39" t="s">
        <v>43</v>
      </c>
      <c r="E15" s="38">
        <f>ROUND(E30/0.07*0.005,2)</f>
        <v>138152.57</v>
      </c>
      <c r="F15" s="38">
        <f t="shared" ref="F15:P15" si="9">ROUND(F30/0.07*0.005,2)</f>
        <v>102749.14</v>
      </c>
      <c r="G15" s="38">
        <f t="shared" si="9"/>
        <v>194265.43</v>
      </c>
      <c r="H15" s="38">
        <f t="shared" si="9"/>
        <v>204537.43</v>
      </c>
      <c r="I15" s="38">
        <f t="shared" si="9"/>
        <v>28632.86</v>
      </c>
      <c r="J15" s="38">
        <f t="shared" si="9"/>
        <v>28160.57</v>
      </c>
      <c r="K15" s="38">
        <f t="shared" si="9"/>
        <v>24335.14</v>
      </c>
      <c r="L15" s="38">
        <f t="shared" si="9"/>
        <v>26119.71</v>
      </c>
      <c r="M15" s="38">
        <f t="shared" si="9"/>
        <v>44825.14</v>
      </c>
      <c r="N15" s="38">
        <f t="shared" si="9"/>
        <v>22818</v>
      </c>
      <c r="O15" s="38">
        <f t="shared" si="9"/>
        <v>32208</v>
      </c>
      <c r="P15" s="38">
        <f t="shared" si="9"/>
        <v>12648</v>
      </c>
      <c r="Q15" s="38">
        <f t="shared" si="1"/>
        <v>859451.99</v>
      </c>
    </row>
    <row r="16" spans="1:17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23029272</v>
      </c>
      <c r="F16" s="38">
        <f t="shared" ref="F16:L16" si="10">F17+F18+F19+F20</f>
        <v>16419018</v>
      </c>
      <c r="G16" s="38">
        <f t="shared" si="10"/>
        <v>31345398</v>
      </c>
      <c r="H16" s="38">
        <f t="shared" si="10"/>
        <v>34644258</v>
      </c>
      <c r="I16" s="38">
        <f t="shared" si="10"/>
        <v>4531904</v>
      </c>
      <c r="J16" s="38">
        <f t="shared" si="10"/>
        <v>4880512</v>
      </c>
      <c r="K16" s="38">
        <f t="shared" si="10"/>
        <v>4008992</v>
      </c>
      <c r="L16" s="38">
        <f t="shared" si="10"/>
        <v>4183296</v>
      </c>
      <c r="M16" s="38">
        <f>M17+M18+M19+M20</f>
        <v>8540896</v>
      </c>
      <c r="N16" s="38">
        <f>N17+N18+N19+N20</f>
        <v>3834688</v>
      </c>
      <c r="O16" s="38">
        <f>O17+O18+O19+O20</f>
        <v>5054816</v>
      </c>
      <c r="P16" s="38">
        <f>P17+P18+P19+P20</f>
        <v>2045260</v>
      </c>
      <c r="Q16" s="38">
        <f t="shared" si="1"/>
        <v>142518310</v>
      </c>
    </row>
    <row r="17" spans="1:17" ht="15" customHeight="1">
      <c r="A17" s="35" t="s">
        <v>48</v>
      </c>
      <c r="B17" s="43" t="s">
        <v>49</v>
      </c>
      <c r="C17" s="43" t="s">
        <v>27</v>
      </c>
      <c r="D17" s="44" t="s">
        <v>50</v>
      </c>
      <c r="E17" s="45">
        <v>21035392</v>
      </c>
      <c r="F17" s="45">
        <v>14926826</v>
      </c>
      <c r="G17" s="45">
        <v>28440438</v>
      </c>
      <c r="H17" s="45">
        <v>31239714</v>
      </c>
      <c r="I17" s="45">
        <v>4154838</v>
      </c>
      <c r="J17" s="45">
        <v>4486796</v>
      </c>
      <c r="K17" s="45">
        <v>3658886</v>
      </c>
      <c r="L17" s="45">
        <v>3810620</v>
      </c>
      <c r="M17" s="45">
        <v>8013872</v>
      </c>
      <c r="N17" s="45">
        <v>3492332</v>
      </c>
      <c r="O17" s="45">
        <v>4668900</v>
      </c>
      <c r="P17" s="45">
        <v>1985260</v>
      </c>
      <c r="Q17" s="38">
        <f t="shared" si="1"/>
        <v>129913874</v>
      </c>
    </row>
    <row r="18" spans="1:17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265880</v>
      </c>
      <c r="F18" s="45">
        <v>260192</v>
      </c>
      <c r="G18" s="45">
        <v>552960</v>
      </c>
      <c r="H18" s="45">
        <v>668544</v>
      </c>
      <c r="I18" s="45">
        <v>221066</v>
      </c>
      <c r="J18" s="45">
        <v>225716</v>
      </c>
      <c r="K18" s="45">
        <v>212106</v>
      </c>
      <c r="L18" s="45">
        <v>228676</v>
      </c>
      <c r="M18" s="45">
        <v>233024</v>
      </c>
      <c r="N18" s="45">
        <v>210356</v>
      </c>
      <c r="O18" s="45">
        <v>211916</v>
      </c>
      <c r="P18" s="45"/>
      <c r="Q18" s="38">
        <f t="shared" si="1"/>
        <v>3290436</v>
      </c>
    </row>
    <row r="19" spans="1:17" ht="15" customHeight="1">
      <c r="A19" s="35" t="s">
        <v>54</v>
      </c>
      <c r="B19" s="43" t="s">
        <v>55</v>
      </c>
      <c r="C19" s="43" t="s">
        <v>27</v>
      </c>
      <c r="D19" s="37" t="s">
        <v>21</v>
      </c>
      <c r="E19" s="46">
        <f>E60*500*12</f>
        <v>648000</v>
      </c>
      <c r="F19" s="46">
        <f t="shared" ref="F19:P19" si="11">F60*500*12</f>
        <v>462000</v>
      </c>
      <c r="G19" s="46">
        <f t="shared" si="11"/>
        <v>882000</v>
      </c>
      <c r="H19" s="46">
        <f t="shared" si="11"/>
        <v>1026000</v>
      </c>
      <c r="I19" s="46">
        <f t="shared" si="11"/>
        <v>156000</v>
      </c>
      <c r="J19" s="46">
        <f t="shared" si="11"/>
        <v>168000</v>
      </c>
      <c r="K19" s="46">
        <f t="shared" si="11"/>
        <v>138000</v>
      </c>
      <c r="L19" s="46">
        <f t="shared" si="11"/>
        <v>144000</v>
      </c>
      <c r="M19" s="46">
        <f t="shared" si="11"/>
        <v>294000</v>
      </c>
      <c r="N19" s="46">
        <f t="shared" si="11"/>
        <v>132000</v>
      </c>
      <c r="O19" s="46">
        <f t="shared" si="11"/>
        <v>174000</v>
      </c>
      <c r="P19" s="46">
        <f t="shared" si="11"/>
        <v>60000</v>
      </c>
      <c r="Q19" s="38">
        <f t="shared" si="1"/>
        <v>4284000</v>
      </c>
    </row>
    <row r="20" spans="1:17" ht="15" customHeight="1">
      <c r="A20" s="35" t="s">
        <v>56</v>
      </c>
      <c r="B20" s="43" t="s">
        <v>57</v>
      </c>
      <c r="C20" s="43" t="s">
        <v>27</v>
      </c>
      <c r="D20" s="37" t="s">
        <v>28</v>
      </c>
      <c r="E20" s="45">
        <f>E60*10000</f>
        <v>1080000</v>
      </c>
      <c r="F20" s="45">
        <f>F60*10000</f>
        <v>770000</v>
      </c>
      <c r="G20" s="45">
        <f>G60*10000</f>
        <v>1470000</v>
      </c>
      <c r="H20" s="45">
        <f>H60*10000</f>
        <v>1710000</v>
      </c>
      <c r="I20" s="45"/>
      <c r="J20" s="45"/>
      <c r="K20" s="45"/>
      <c r="L20" s="45"/>
      <c r="M20" s="45"/>
      <c r="N20" s="45"/>
      <c r="O20" s="45"/>
      <c r="P20" s="45"/>
      <c r="Q20" s="38">
        <f t="shared" si="1"/>
        <v>5030000</v>
      </c>
    </row>
    <row r="21" spans="1:17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3591966.87</v>
      </c>
      <c r="F21" s="46">
        <f t="shared" ref="F21:P21" si="12">F22+F23</f>
        <v>2671477.71</v>
      </c>
      <c r="G21" s="46">
        <f t="shared" si="12"/>
        <v>5050901.13</v>
      </c>
      <c r="H21" s="46">
        <f t="shared" si="12"/>
        <v>5317973.13</v>
      </c>
      <c r="I21" s="46">
        <f t="shared" si="12"/>
        <v>744454.29</v>
      </c>
      <c r="J21" s="46">
        <f t="shared" si="12"/>
        <v>732174.87</v>
      </c>
      <c r="K21" s="46">
        <f t="shared" si="12"/>
        <v>632713.71</v>
      </c>
      <c r="L21" s="46">
        <f t="shared" si="12"/>
        <v>679112.58</v>
      </c>
      <c r="M21" s="46">
        <f t="shared" si="12"/>
        <v>1165453.71</v>
      </c>
      <c r="N21" s="46">
        <f t="shared" si="12"/>
        <v>593268</v>
      </c>
      <c r="O21" s="46">
        <f t="shared" si="12"/>
        <v>837408</v>
      </c>
      <c r="P21" s="46">
        <f t="shared" si="12"/>
        <v>328848</v>
      </c>
      <c r="Q21" s="38">
        <f t="shared" si="1"/>
        <v>22345752</v>
      </c>
    </row>
    <row r="22" spans="1:17" ht="15" customHeight="1">
      <c r="A22" s="35" t="s">
        <v>60</v>
      </c>
      <c r="B22" s="36" t="s">
        <v>394</v>
      </c>
      <c r="C22" s="36" t="s">
        <v>61</v>
      </c>
      <c r="D22" s="44" t="s">
        <v>21</v>
      </c>
      <c r="E22" s="46">
        <f>ROUND(E30/0.07*0.09,2)</f>
        <v>2486746.29</v>
      </c>
      <c r="F22" s="46">
        <f t="shared" ref="F22:P22" si="13">ROUND(F30/0.07*0.09,2)</f>
        <v>1849484.57</v>
      </c>
      <c r="G22" s="46">
        <f t="shared" si="13"/>
        <v>3496777.71</v>
      </c>
      <c r="H22" s="46">
        <f t="shared" si="13"/>
        <v>3681673.71</v>
      </c>
      <c r="I22" s="46">
        <f t="shared" si="13"/>
        <v>515391.43</v>
      </c>
      <c r="J22" s="46">
        <f t="shared" si="13"/>
        <v>506890.29</v>
      </c>
      <c r="K22" s="46">
        <f t="shared" si="13"/>
        <v>438032.57</v>
      </c>
      <c r="L22" s="46">
        <f t="shared" si="13"/>
        <v>470154.86</v>
      </c>
      <c r="M22" s="46">
        <f t="shared" si="13"/>
        <v>806852.57</v>
      </c>
      <c r="N22" s="46">
        <f t="shared" si="13"/>
        <v>410724</v>
      </c>
      <c r="O22" s="46">
        <f t="shared" si="13"/>
        <v>579744</v>
      </c>
      <c r="P22" s="46">
        <f t="shared" si="13"/>
        <v>227664</v>
      </c>
      <c r="Q22" s="38">
        <f t="shared" si="1"/>
        <v>15470136</v>
      </c>
    </row>
    <row r="23" spans="1:17" ht="15" customHeight="1">
      <c r="A23" s="35" t="s">
        <v>62</v>
      </c>
      <c r="B23" s="36" t="s">
        <v>63</v>
      </c>
      <c r="C23" s="36" t="s">
        <v>61</v>
      </c>
      <c r="D23" s="44" t="s">
        <v>43</v>
      </c>
      <c r="E23" s="46">
        <f>E24+E25</f>
        <v>1105220.58</v>
      </c>
      <c r="F23" s="46">
        <f t="shared" ref="F23:P23" si="14">F24+F25</f>
        <v>821993.14</v>
      </c>
      <c r="G23" s="46">
        <f t="shared" si="14"/>
        <v>1554123.42</v>
      </c>
      <c r="H23" s="46">
        <f t="shared" si="14"/>
        <v>1636299.42</v>
      </c>
      <c r="I23" s="46">
        <f t="shared" si="14"/>
        <v>229062.86</v>
      </c>
      <c r="J23" s="46">
        <f t="shared" si="14"/>
        <v>225284.58</v>
      </c>
      <c r="K23" s="46">
        <f t="shared" si="14"/>
        <v>194681.14</v>
      </c>
      <c r="L23" s="46">
        <f t="shared" si="14"/>
        <v>208957.72</v>
      </c>
      <c r="M23" s="46">
        <f t="shared" si="14"/>
        <v>358601.14</v>
      </c>
      <c r="N23" s="46">
        <f t="shared" si="14"/>
        <v>182544</v>
      </c>
      <c r="O23" s="46">
        <f t="shared" si="14"/>
        <v>257664</v>
      </c>
      <c r="P23" s="46">
        <f t="shared" si="14"/>
        <v>101184</v>
      </c>
      <c r="Q23" s="38">
        <f t="shared" si="1"/>
        <v>6875616</v>
      </c>
    </row>
    <row r="24" spans="1:17" ht="15" customHeight="1">
      <c r="A24" s="35" t="s">
        <v>64</v>
      </c>
      <c r="B24" s="36" t="s">
        <v>395</v>
      </c>
      <c r="C24" s="36" t="s">
        <v>61</v>
      </c>
      <c r="D24" s="44" t="s">
        <v>43</v>
      </c>
      <c r="E24" s="46">
        <f>ROUND(E30/0.07*0.02,2)</f>
        <v>552610.29</v>
      </c>
      <c r="F24" s="46">
        <f t="shared" ref="F24:P24" si="15">ROUND(F30/0.07*0.02,2)</f>
        <v>410996.57</v>
      </c>
      <c r="G24" s="46">
        <f t="shared" si="15"/>
        <v>777061.71</v>
      </c>
      <c r="H24" s="46">
        <f t="shared" si="15"/>
        <v>818149.71</v>
      </c>
      <c r="I24" s="46">
        <f t="shared" si="15"/>
        <v>114531.43</v>
      </c>
      <c r="J24" s="46">
        <f t="shared" si="15"/>
        <v>112642.29</v>
      </c>
      <c r="K24" s="46">
        <f t="shared" si="15"/>
        <v>97340.57</v>
      </c>
      <c r="L24" s="46">
        <f t="shared" si="15"/>
        <v>104478.86</v>
      </c>
      <c r="M24" s="46">
        <f t="shared" si="15"/>
        <v>179300.57</v>
      </c>
      <c r="N24" s="46">
        <f t="shared" si="15"/>
        <v>91272</v>
      </c>
      <c r="O24" s="46">
        <f t="shared" si="15"/>
        <v>128832</v>
      </c>
      <c r="P24" s="46">
        <f t="shared" si="15"/>
        <v>50592</v>
      </c>
      <c r="Q24" s="38">
        <f t="shared" si="1"/>
        <v>3437808</v>
      </c>
    </row>
    <row r="25" spans="1:17" ht="15" customHeight="1">
      <c r="A25" s="35" t="s">
        <v>65</v>
      </c>
      <c r="B25" s="36" t="s">
        <v>396</v>
      </c>
      <c r="C25" s="36" t="s">
        <v>61</v>
      </c>
      <c r="D25" s="44" t="s">
        <v>43</v>
      </c>
      <c r="E25" s="46">
        <f>ROUND(E30/0.07*0.02,2)</f>
        <v>552610.29</v>
      </c>
      <c r="F25" s="46">
        <f t="shared" ref="F25:P25" si="16">ROUND(F30/0.07*0.02,2)</f>
        <v>410996.57</v>
      </c>
      <c r="G25" s="46">
        <f t="shared" si="16"/>
        <v>777061.71</v>
      </c>
      <c r="H25" s="46">
        <f t="shared" si="16"/>
        <v>818149.71</v>
      </c>
      <c r="I25" s="46">
        <f t="shared" si="16"/>
        <v>114531.43</v>
      </c>
      <c r="J25" s="46">
        <f t="shared" si="16"/>
        <v>112642.29</v>
      </c>
      <c r="K25" s="46">
        <f t="shared" si="16"/>
        <v>97340.57</v>
      </c>
      <c r="L25" s="46">
        <f t="shared" si="16"/>
        <v>104478.86</v>
      </c>
      <c r="M25" s="46">
        <f t="shared" si="16"/>
        <v>179300.57</v>
      </c>
      <c r="N25" s="46">
        <f t="shared" si="16"/>
        <v>91272</v>
      </c>
      <c r="O25" s="46">
        <f t="shared" si="16"/>
        <v>128832</v>
      </c>
      <c r="P25" s="46">
        <f t="shared" si="16"/>
        <v>50592</v>
      </c>
      <c r="Q25" s="38">
        <f t="shared" si="1"/>
        <v>3437808</v>
      </c>
    </row>
    <row r="26" spans="1:17" ht="1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P26" si="17">E27</f>
        <v>4420882.29</v>
      </c>
      <c r="F26" s="38">
        <f t="shared" si="17"/>
        <v>3287972.57</v>
      </c>
      <c r="G26" s="38">
        <f t="shared" si="17"/>
        <v>6216493.71</v>
      </c>
      <c r="H26" s="38">
        <f t="shared" si="17"/>
        <v>6545197.71</v>
      </c>
      <c r="I26" s="38">
        <f t="shared" si="17"/>
        <v>916251.43</v>
      </c>
      <c r="J26" s="38">
        <f t="shared" si="17"/>
        <v>901138.29</v>
      </c>
      <c r="K26" s="38">
        <f t="shared" si="17"/>
        <v>778724.57</v>
      </c>
      <c r="L26" s="38">
        <f t="shared" si="17"/>
        <v>835830.86</v>
      </c>
      <c r="M26" s="38">
        <f t="shared" si="17"/>
        <v>1434404.57</v>
      </c>
      <c r="N26" s="38">
        <f t="shared" si="17"/>
        <v>730176</v>
      </c>
      <c r="O26" s="38">
        <f t="shared" si="17"/>
        <v>1030656</v>
      </c>
      <c r="P26" s="38">
        <f t="shared" si="17"/>
        <v>404736</v>
      </c>
      <c r="Q26" s="38">
        <f t="shared" si="1"/>
        <v>27502464</v>
      </c>
    </row>
    <row r="27" spans="1:17" s="2" customFormat="1" ht="15" customHeight="1">
      <c r="A27" s="35" t="s">
        <v>68</v>
      </c>
      <c r="B27" s="42" t="s">
        <v>69</v>
      </c>
      <c r="C27" s="42" t="s">
        <v>70</v>
      </c>
      <c r="D27" s="39" t="s">
        <v>43</v>
      </c>
      <c r="E27" s="38">
        <f>ROUND(E30/0.07*0.16,2)</f>
        <v>4420882.29</v>
      </c>
      <c r="F27" s="38">
        <f t="shared" ref="F27:P27" si="18">ROUND(F30/0.07*0.16,2)</f>
        <v>3287972.57</v>
      </c>
      <c r="G27" s="38">
        <f t="shared" si="18"/>
        <v>6216493.71</v>
      </c>
      <c r="H27" s="38">
        <f t="shared" si="18"/>
        <v>6545197.71</v>
      </c>
      <c r="I27" s="38">
        <f t="shared" si="18"/>
        <v>916251.43</v>
      </c>
      <c r="J27" s="38">
        <f t="shared" si="18"/>
        <v>901138.29</v>
      </c>
      <c r="K27" s="38">
        <f t="shared" si="18"/>
        <v>778724.57</v>
      </c>
      <c r="L27" s="38">
        <f t="shared" si="18"/>
        <v>835830.86</v>
      </c>
      <c r="M27" s="38">
        <f t="shared" si="18"/>
        <v>1434404.57</v>
      </c>
      <c r="N27" s="38">
        <f t="shared" si="18"/>
        <v>730176</v>
      </c>
      <c r="O27" s="38">
        <f t="shared" si="18"/>
        <v>1030656</v>
      </c>
      <c r="P27" s="38">
        <f t="shared" si="18"/>
        <v>404736</v>
      </c>
      <c r="Q27" s="38">
        <f t="shared" si="1"/>
        <v>27502464</v>
      </c>
    </row>
    <row r="28" spans="1:17" ht="1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P28" si="19">E29</f>
        <v>2210441.14</v>
      </c>
      <c r="F28" s="38">
        <f t="shared" si="19"/>
        <v>1643986.29</v>
      </c>
      <c r="G28" s="38">
        <f t="shared" si="19"/>
        <v>3108246.86</v>
      </c>
      <c r="H28" s="38">
        <f t="shared" si="19"/>
        <v>3272598.86</v>
      </c>
      <c r="I28" s="38">
        <f t="shared" si="19"/>
        <v>458125.71</v>
      </c>
      <c r="J28" s="38">
        <f t="shared" si="19"/>
        <v>450569.14</v>
      </c>
      <c r="K28" s="38">
        <f t="shared" si="19"/>
        <v>389362.29</v>
      </c>
      <c r="L28" s="38">
        <f t="shared" si="19"/>
        <v>417915.43</v>
      </c>
      <c r="M28" s="38">
        <f t="shared" si="19"/>
        <v>717202.29</v>
      </c>
      <c r="N28" s="38">
        <f t="shared" si="19"/>
        <v>365088</v>
      </c>
      <c r="O28" s="38">
        <f t="shared" si="19"/>
        <v>515328</v>
      </c>
      <c r="P28" s="38">
        <f t="shared" si="19"/>
        <v>202368</v>
      </c>
      <c r="Q28" s="38">
        <f t="shared" si="1"/>
        <v>13751232.010000002</v>
      </c>
    </row>
    <row r="29" spans="1:17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2210441.14</v>
      </c>
      <c r="F29" s="38">
        <f t="shared" ref="F29:P29" si="20">ROUND(F30/0.07*0.08,2)</f>
        <v>1643986.29</v>
      </c>
      <c r="G29" s="38">
        <f t="shared" si="20"/>
        <v>3108246.86</v>
      </c>
      <c r="H29" s="38">
        <f t="shared" si="20"/>
        <v>3272598.86</v>
      </c>
      <c r="I29" s="38">
        <f t="shared" si="20"/>
        <v>458125.71</v>
      </c>
      <c r="J29" s="38">
        <f t="shared" si="20"/>
        <v>450569.14</v>
      </c>
      <c r="K29" s="38">
        <f t="shared" si="20"/>
        <v>389362.29</v>
      </c>
      <c r="L29" s="38">
        <f t="shared" si="20"/>
        <v>417915.43</v>
      </c>
      <c r="M29" s="38">
        <f t="shared" si="20"/>
        <v>717202.29</v>
      </c>
      <c r="N29" s="38">
        <f t="shared" si="20"/>
        <v>365088</v>
      </c>
      <c r="O29" s="38">
        <f t="shared" si="20"/>
        <v>515328</v>
      </c>
      <c r="P29" s="38">
        <f t="shared" si="20"/>
        <v>202368</v>
      </c>
      <c r="Q29" s="38">
        <f t="shared" si="1"/>
        <v>13751232.010000002</v>
      </c>
    </row>
    <row r="30" spans="1:17" ht="15" customHeight="1">
      <c r="A30" s="35" t="s">
        <v>76</v>
      </c>
      <c r="B30" s="36" t="s">
        <v>77</v>
      </c>
      <c r="C30" s="36" t="s">
        <v>78</v>
      </c>
      <c r="D30" s="37" t="s">
        <v>79</v>
      </c>
      <c r="E30" s="45">
        <v>1934136</v>
      </c>
      <c r="F30" s="45">
        <v>1438488</v>
      </c>
      <c r="G30" s="45">
        <v>2719716</v>
      </c>
      <c r="H30" s="45">
        <v>2863524</v>
      </c>
      <c r="I30" s="45">
        <v>400860</v>
      </c>
      <c r="J30" s="45">
        <v>394248</v>
      </c>
      <c r="K30" s="45">
        <v>340692</v>
      </c>
      <c r="L30" s="45">
        <v>365676</v>
      </c>
      <c r="M30" s="45">
        <v>627552</v>
      </c>
      <c r="N30" s="45">
        <f>26621*12</f>
        <v>319452</v>
      </c>
      <c r="O30" s="45">
        <f>37576*12</f>
        <v>450912</v>
      </c>
      <c r="P30" s="45">
        <f>14756*12</f>
        <v>177072</v>
      </c>
      <c r="Q30" s="38">
        <f t="shared" si="1"/>
        <v>12032328</v>
      </c>
    </row>
    <row r="31" spans="1:17" ht="15" customHeight="1">
      <c r="A31" s="35" t="s">
        <v>80</v>
      </c>
      <c r="B31" s="36" t="s">
        <v>81</v>
      </c>
      <c r="C31" s="43" t="s">
        <v>27</v>
      </c>
      <c r="D31" s="39" t="s">
        <v>82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38">
        <f t="shared" si="1"/>
        <v>0</v>
      </c>
    </row>
    <row r="32" spans="1:17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33000</v>
      </c>
      <c r="F32" s="38">
        <f>F33+F35</f>
        <v>36720</v>
      </c>
      <c r="G32" s="38">
        <f>G33+G35</f>
        <v>3194125</v>
      </c>
      <c r="H32" s="38">
        <f>H33+H35</f>
        <v>525180</v>
      </c>
      <c r="I32" s="38">
        <f>I33+I35</f>
        <v>240</v>
      </c>
      <c r="J32" s="38">
        <f t="shared" ref="J32:P32" si="21">J33+J35</f>
        <v>360</v>
      </c>
      <c r="K32" s="38">
        <f t="shared" si="21"/>
        <v>2520</v>
      </c>
      <c r="L32" s="38">
        <f t="shared" si="21"/>
        <v>1440</v>
      </c>
      <c r="M32" s="38">
        <f t="shared" si="21"/>
        <v>1440</v>
      </c>
      <c r="N32" s="38">
        <f t="shared" si="21"/>
        <v>36540</v>
      </c>
      <c r="O32" s="38">
        <f t="shared" si="21"/>
        <v>241980</v>
      </c>
      <c r="P32" s="38">
        <f t="shared" si="21"/>
        <v>201800</v>
      </c>
      <c r="Q32" s="38">
        <f t="shared" si="1"/>
        <v>4275345</v>
      </c>
    </row>
    <row r="33" spans="1:17" ht="15" customHeight="1">
      <c r="A33" s="35" t="s">
        <v>85</v>
      </c>
      <c r="B33" s="36" t="s">
        <v>86</v>
      </c>
      <c r="C33" s="36" t="s">
        <v>87</v>
      </c>
      <c r="D33" s="44" t="s">
        <v>88</v>
      </c>
      <c r="E33" s="46">
        <f>E34</f>
        <v>32280</v>
      </c>
      <c r="F33" s="46">
        <f t="shared" ref="F33:P33" si="22">F34</f>
        <v>35280</v>
      </c>
      <c r="G33" s="46">
        <f t="shared" si="22"/>
        <v>3189805</v>
      </c>
      <c r="H33" s="46">
        <f t="shared" si="22"/>
        <v>519420</v>
      </c>
      <c r="I33" s="46">
        <f t="shared" si="22"/>
        <v>0</v>
      </c>
      <c r="J33" s="46">
        <f t="shared" si="22"/>
        <v>0</v>
      </c>
      <c r="K33" s="46">
        <f t="shared" si="22"/>
        <v>0</v>
      </c>
      <c r="L33" s="46">
        <f t="shared" si="22"/>
        <v>0</v>
      </c>
      <c r="M33" s="46">
        <f t="shared" si="22"/>
        <v>0</v>
      </c>
      <c r="N33" s="46">
        <f t="shared" si="22"/>
        <v>34740</v>
      </c>
      <c r="O33" s="46">
        <f t="shared" si="22"/>
        <v>240900</v>
      </c>
      <c r="P33" s="46">
        <f t="shared" si="22"/>
        <v>201080</v>
      </c>
      <c r="Q33" s="38">
        <f t="shared" si="1"/>
        <v>4253505</v>
      </c>
    </row>
    <row r="34" spans="1:17" ht="15" customHeight="1">
      <c r="A34" s="35" t="s">
        <v>89</v>
      </c>
      <c r="B34" s="36" t="s">
        <v>90</v>
      </c>
      <c r="C34" s="36" t="s">
        <v>87</v>
      </c>
      <c r="D34" s="44" t="s">
        <v>88</v>
      </c>
      <c r="E34" s="40">
        <v>32280</v>
      </c>
      <c r="F34" s="40">
        <v>35280</v>
      </c>
      <c r="G34" s="40">
        <v>3189805</v>
      </c>
      <c r="H34" s="40">
        <v>519420</v>
      </c>
      <c r="I34" s="40"/>
      <c r="J34" s="40"/>
      <c r="K34" s="40"/>
      <c r="L34" s="40"/>
      <c r="M34" s="40"/>
      <c r="N34" s="40">
        <v>34740</v>
      </c>
      <c r="O34" s="40">
        <v>240900</v>
      </c>
      <c r="P34" s="40">
        <v>201080</v>
      </c>
      <c r="Q34" s="38">
        <f t="shared" si="1"/>
        <v>4253505</v>
      </c>
    </row>
    <row r="35" spans="1:17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720</v>
      </c>
      <c r="F35" s="38">
        <f t="shared" ref="F35:P35" si="23">F36</f>
        <v>1440</v>
      </c>
      <c r="G35" s="38">
        <f t="shared" si="23"/>
        <v>4320</v>
      </c>
      <c r="H35" s="38">
        <f t="shared" si="23"/>
        <v>5760</v>
      </c>
      <c r="I35" s="38">
        <f t="shared" si="23"/>
        <v>240</v>
      </c>
      <c r="J35" s="38">
        <f t="shared" si="23"/>
        <v>360</v>
      </c>
      <c r="K35" s="38">
        <f t="shared" si="23"/>
        <v>2520</v>
      </c>
      <c r="L35" s="38">
        <f t="shared" si="23"/>
        <v>1440</v>
      </c>
      <c r="M35" s="38">
        <f t="shared" si="23"/>
        <v>1440</v>
      </c>
      <c r="N35" s="38">
        <f t="shared" si="23"/>
        <v>1800</v>
      </c>
      <c r="O35" s="38">
        <f t="shared" si="23"/>
        <v>1080</v>
      </c>
      <c r="P35" s="38">
        <f t="shared" si="23"/>
        <v>720</v>
      </c>
      <c r="Q35" s="38">
        <f t="shared" si="1"/>
        <v>21840</v>
      </c>
    </row>
    <row r="36" spans="1:17" ht="1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720</v>
      </c>
      <c r="F36" s="40">
        <v>1440</v>
      </c>
      <c r="G36" s="40">
        <v>4320</v>
      </c>
      <c r="H36" s="40">
        <v>5760</v>
      </c>
      <c r="I36" s="40">
        <v>240</v>
      </c>
      <c r="J36" s="40">
        <v>360</v>
      </c>
      <c r="K36" s="40">
        <v>2520</v>
      </c>
      <c r="L36" s="40">
        <v>1440</v>
      </c>
      <c r="M36" s="40">
        <v>1440</v>
      </c>
      <c r="N36" s="40">
        <v>1800</v>
      </c>
      <c r="O36" s="40">
        <v>1080</v>
      </c>
      <c r="P36" s="40">
        <v>720</v>
      </c>
      <c r="Q36" s="38">
        <f t="shared" si="1"/>
        <v>21840</v>
      </c>
    </row>
    <row r="37" spans="1:17" ht="1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8150822.0899999999</v>
      </c>
      <c r="F37" s="38">
        <f t="shared" ref="F37:P37" si="24">F38+F40+F42+F44+F46+F49+F51+F53+F55+F57</f>
        <v>6199102.3200000003</v>
      </c>
      <c r="G37" s="38">
        <f t="shared" si="24"/>
        <v>8937099.7100000009</v>
      </c>
      <c r="H37" s="38">
        <f t="shared" si="24"/>
        <v>10679461.710000001</v>
      </c>
      <c r="I37" s="38">
        <f t="shared" si="24"/>
        <v>1237340.43</v>
      </c>
      <c r="J37" s="38">
        <f t="shared" si="24"/>
        <v>1734004.29</v>
      </c>
      <c r="K37" s="38">
        <f t="shared" si="24"/>
        <v>1235300.2700000003</v>
      </c>
      <c r="L37" s="38">
        <f t="shared" si="24"/>
        <v>1561937.31</v>
      </c>
      <c r="M37" s="38">
        <f t="shared" si="24"/>
        <v>2544655.5699999998</v>
      </c>
      <c r="N37" s="38">
        <f t="shared" si="24"/>
        <v>1186138.7</v>
      </c>
      <c r="O37" s="38">
        <f t="shared" si="24"/>
        <v>1311657</v>
      </c>
      <c r="P37" s="38">
        <f t="shared" si="24"/>
        <v>440437</v>
      </c>
      <c r="Q37" s="38">
        <f t="shared" si="1"/>
        <v>45217956.400000006</v>
      </c>
    </row>
    <row r="38" spans="1:17" ht="15" customHeight="1">
      <c r="A38" s="35" t="s">
        <v>96</v>
      </c>
      <c r="B38" s="36" t="s">
        <v>100</v>
      </c>
      <c r="C38" s="36"/>
      <c r="D38" s="37" t="s">
        <v>101</v>
      </c>
      <c r="E38" s="40">
        <v>6622060</v>
      </c>
      <c r="F38" s="40">
        <v>5031950</v>
      </c>
      <c r="G38" s="40">
        <f>3210*891+3850*859</f>
        <v>6167260</v>
      </c>
      <c r="H38" s="40">
        <f>3210*2532</f>
        <v>8127720</v>
      </c>
      <c r="I38" s="40">
        <f>300*2860</f>
        <v>858000</v>
      </c>
      <c r="J38" s="40">
        <f>461*2860</f>
        <v>1318460</v>
      </c>
      <c r="K38" s="40">
        <f>300*2860</f>
        <v>858000</v>
      </c>
      <c r="L38" s="40">
        <f>418*2860</f>
        <v>1195480</v>
      </c>
      <c r="M38" s="40">
        <v>1884740</v>
      </c>
      <c r="N38" s="40">
        <v>858000</v>
      </c>
      <c r="O38" s="40">
        <v>858000</v>
      </c>
      <c r="P38" s="40">
        <v>224000</v>
      </c>
      <c r="Q38" s="38">
        <f t="shared" si="1"/>
        <v>34003670</v>
      </c>
    </row>
    <row r="39" spans="1:17" ht="15" customHeight="1">
      <c r="A39" s="35" t="s">
        <v>97</v>
      </c>
      <c r="B39" s="36" t="s">
        <v>103</v>
      </c>
      <c r="C39" s="36" t="s">
        <v>104</v>
      </c>
      <c r="D39" s="47" t="s">
        <v>105</v>
      </c>
      <c r="E39" s="40">
        <v>331103</v>
      </c>
      <c r="F39" s="40">
        <v>251597.5</v>
      </c>
      <c r="G39" s="40">
        <f>G38*0.05</f>
        <v>308363</v>
      </c>
      <c r="H39" s="40">
        <f>H38*0.05</f>
        <v>406386</v>
      </c>
      <c r="I39" s="40">
        <v>39897</v>
      </c>
      <c r="J39" s="40">
        <v>65923</v>
      </c>
      <c r="K39" s="40">
        <v>35464</v>
      </c>
      <c r="L39" s="40">
        <v>59774</v>
      </c>
      <c r="M39" s="40">
        <v>80366</v>
      </c>
      <c r="N39" s="40">
        <v>32175</v>
      </c>
      <c r="O39" s="40">
        <v>36465</v>
      </c>
      <c r="P39" s="40">
        <v>11200</v>
      </c>
      <c r="Q39" s="38">
        <f t="shared" si="1"/>
        <v>1658713.5</v>
      </c>
    </row>
    <row r="40" spans="1:17" ht="15" customHeight="1">
      <c r="A40" s="35" t="s">
        <v>99</v>
      </c>
      <c r="B40" s="36" t="s">
        <v>107</v>
      </c>
      <c r="C40" s="36"/>
      <c r="D40" s="37"/>
      <c r="E40" s="38">
        <f>E41</f>
        <v>43200</v>
      </c>
      <c r="F40" s="38">
        <f t="shared" ref="F40:N40" si="25">F41</f>
        <v>30800</v>
      </c>
      <c r="G40" s="38">
        <f t="shared" si="25"/>
        <v>58800</v>
      </c>
      <c r="H40" s="38">
        <f t="shared" si="25"/>
        <v>68400</v>
      </c>
      <c r="I40" s="38">
        <f t="shared" si="25"/>
        <v>10400</v>
      </c>
      <c r="J40" s="38">
        <f t="shared" si="25"/>
        <v>11200</v>
      </c>
      <c r="K40" s="38">
        <f t="shared" si="25"/>
        <v>9200</v>
      </c>
      <c r="L40" s="38">
        <f t="shared" si="25"/>
        <v>9600</v>
      </c>
      <c r="M40" s="38">
        <f t="shared" si="25"/>
        <v>19600</v>
      </c>
      <c r="N40" s="38">
        <f t="shared" si="25"/>
        <v>8800</v>
      </c>
      <c r="O40" s="38">
        <f>O41</f>
        <v>11600</v>
      </c>
      <c r="P40" s="38">
        <f>P41</f>
        <v>4000</v>
      </c>
      <c r="Q40" s="38">
        <f t="shared" si="1"/>
        <v>285600</v>
      </c>
    </row>
    <row r="41" spans="1:17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43200</v>
      </c>
      <c r="F41" s="38">
        <f t="shared" ref="F41:P41" si="26">F60*400</f>
        <v>30800</v>
      </c>
      <c r="G41" s="38">
        <f t="shared" si="26"/>
        <v>58800</v>
      </c>
      <c r="H41" s="38">
        <f t="shared" si="26"/>
        <v>68400</v>
      </c>
      <c r="I41" s="38">
        <f t="shared" si="26"/>
        <v>10400</v>
      </c>
      <c r="J41" s="38">
        <f t="shared" si="26"/>
        <v>11200</v>
      </c>
      <c r="K41" s="38">
        <f t="shared" si="26"/>
        <v>9200</v>
      </c>
      <c r="L41" s="38">
        <f t="shared" si="26"/>
        <v>9600</v>
      </c>
      <c r="M41" s="38">
        <f t="shared" si="26"/>
        <v>19600</v>
      </c>
      <c r="N41" s="38">
        <f t="shared" si="26"/>
        <v>8800</v>
      </c>
      <c r="O41" s="38">
        <f t="shared" si="26"/>
        <v>11600</v>
      </c>
      <c r="P41" s="38">
        <f t="shared" si="26"/>
        <v>4000</v>
      </c>
      <c r="Q41" s="38">
        <f t="shared" si="1"/>
        <v>285600</v>
      </c>
    </row>
    <row r="42" spans="1:17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300871.8</v>
      </c>
      <c r="F42" s="38">
        <f t="shared" ref="F42:P42" si="27">F43</f>
        <v>278907.75</v>
      </c>
      <c r="G42" s="38">
        <f t="shared" si="27"/>
        <v>297282</v>
      </c>
      <c r="H42" s="38">
        <f t="shared" si="27"/>
        <v>571320</v>
      </c>
      <c r="I42" s="38">
        <f t="shared" si="27"/>
        <v>85185</v>
      </c>
      <c r="J42" s="38">
        <f t="shared" si="27"/>
        <v>110250</v>
      </c>
      <c r="K42" s="38">
        <f t="shared" si="27"/>
        <v>110181.3</v>
      </c>
      <c r="L42" s="38">
        <f t="shared" si="27"/>
        <v>92082.45</v>
      </c>
      <c r="M42" s="38">
        <f t="shared" si="27"/>
        <v>173535</v>
      </c>
      <c r="N42" s="38">
        <f t="shared" si="27"/>
        <v>74342.700000000012</v>
      </c>
      <c r="O42" s="38">
        <f t="shared" si="27"/>
        <v>71205</v>
      </c>
      <c r="P42" s="38">
        <f t="shared" si="27"/>
        <v>20325</v>
      </c>
      <c r="Q42" s="38">
        <f t="shared" si="1"/>
        <v>2185488</v>
      </c>
    </row>
    <row r="43" spans="1:17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300871.8</v>
      </c>
      <c r="F43" s="38">
        <f t="shared" ref="F43:P43" si="28">F71*15</f>
        <v>278907.75</v>
      </c>
      <c r="G43" s="38">
        <f t="shared" si="28"/>
        <v>297282</v>
      </c>
      <c r="H43" s="38">
        <f t="shared" si="28"/>
        <v>571320</v>
      </c>
      <c r="I43" s="38">
        <f t="shared" si="28"/>
        <v>85185</v>
      </c>
      <c r="J43" s="38">
        <f t="shared" si="28"/>
        <v>110250</v>
      </c>
      <c r="K43" s="38">
        <f t="shared" si="28"/>
        <v>110181.3</v>
      </c>
      <c r="L43" s="38">
        <f t="shared" si="28"/>
        <v>92082.45</v>
      </c>
      <c r="M43" s="38">
        <f t="shared" si="28"/>
        <v>173535</v>
      </c>
      <c r="N43" s="38">
        <f t="shared" si="28"/>
        <v>74342.700000000012</v>
      </c>
      <c r="O43" s="38">
        <f t="shared" si="28"/>
        <v>71205</v>
      </c>
      <c r="P43" s="38">
        <f t="shared" si="28"/>
        <v>20325</v>
      </c>
      <c r="Q43" s="38">
        <f t="shared" si="1"/>
        <v>2185488</v>
      </c>
    </row>
    <row r="44" spans="1:17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112080</v>
      </c>
      <c r="F44" s="38">
        <f t="shared" ref="F44:P44" si="29">F45</f>
        <v>78568</v>
      </c>
      <c r="G44" s="38">
        <f t="shared" si="29"/>
        <v>97216</v>
      </c>
      <c r="H44" s="38">
        <f t="shared" si="29"/>
        <v>163552</v>
      </c>
      <c r="I44" s="38">
        <f t="shared" si="29"/>
        <v>20904</v>
      </c>
      <c r="J44" s="38">
        <f t="shared" si="29"/>
        <v>25792</v>
      </c>
      <c r="K44" s="38">
        <f t="shared" si="29"/>
        <v>27218.400000000001</v>
      </c>
      <c r="L44" s="38">
        <f t="shared" si="29"/>
        <v>20616</v>
      </c>
      <c r="M44" s="38">
        <f t="shared" si="29"/>
        <v>37800</v>
      </c>
      <c r="N44" s="38">
        <f t="shared" si="29"/>
        <v>15744</v>
      </c>
      <c r="O44" s="38">
        <f t="shared" si="29"/>
        <v>20480</v>
      </c>
      <c r="P44" s="38">
        <f t="shared" si="29"/>
        <v>14400</v>
      </c>
      <c r="Q44" s="38">
        <f t="shared" si="1"/>
        <v>634370.4</v>
      </c>
    </row>
    <row r="45" spans="1:17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112080</v>
      </c>
      <c r="F45" s="38">
        <f t="shared" ref="F45:P45" si="30">F72*8</f>
        <v>78568</v>
      </c>
      <c r="G45" s="38">
        <f t="shared" si="30"/>
        <v>97216</v>
      </c>
      <c r="H45" s="38">
        <f t="shared" si="30"/>
        <v>163552</v>
      </c>
      <c r="I45" s="38">
        <f t="shared" si="30"/>
        <v>20904</v>
      </c>
      <c r="J45" s="38">
        <f t="shared" si="30"/>
        <v>25792</v>
      </c>
      <c r="K45" s="38">
        <f t="shared" si="30"/>
        <v>27218.400000000001</v>
      </c>
      <c r="L45" s="38">
        <f t="shared" si="30"/>
        <v>20616</v>
      </c>
      <c r="M45" s="38">
        <f t="shared" si="30"/>
        <v>37800</v>
      </c>
      <c r="N45" s="38">
        <f t="shared" si="30"/>
        <v>15744</v>
      </c>
      <c r="O45" s="38">
        <f t="shared" si="30"/>
        <v>20480</v>
      </c>
      <c r="P45" s="38">
        <f t="shared" si="30"/>
        <v>14400</v>
      </c>
      <c r="Q45" s="38">
        <f t="shared" si="1"/>
        <v>634370.4</v>
      </c>
    </row>
    <row r="46" spans="1:17" ht="15" customHeight="1">
      <c r="A46" s="35" t="s">
        <v>116</v>
      </c>
      <c r="B46" s="36" t="s">
        <v>122</v>
      </c>
      <c r="C46" s="36"/>
      <c r="D46" s="37" t="s">
        <v>21</v>
      </c>
      <c r="E46" s="38">
        <f>E47+E48</f>
        <v>475200</v>
      </c>
      <c r="F46" s="38">
        <f t="shared" ref="F46:P46" si="31">F47+F48</f>
        <v>341280</v>
      </c>
      <c r="G46" s="38">
        <f t="shared" si="31"/>
        <v>1399680</v>
      </c>
      <c r="H46" s="38">
        <f t="shared" si="31"/>
        <v>868320</v>
      </c>
      <c r="I46" s="38">
        <f t="shared" si="31"/>
        <v>112320</v>
      </c>
      <c r="J46" s="38">
        <f t="shared" si="31"/>
        <v>120960</v>
      </c>
      <c r="K46" s="38">
        <f t="shared" si="31"/>
        <v>99360</v>
      </c>
      <c r="L46" s="38">
        <f t="shared" si="31"/>
        <v>103680</v>
      </c>
      <c r="M46" s="38">
        <f t="shared" si="31"/>
        <v>211680</v>
      </c>
      <c r="N46" s="38">
        <f t="shared" si="31"/>
        <v>103680</v>
      </c>
      <c r="O46" s="38">
        <f t="shared" si="31"/>
        <v>181440</v>
      </c>
      <c r="P46" s="38">
        <f t="shared" si="31"/>
        <v>90720</v>
      </c>
      <c r="Q46" s="38">
        <f t="shared" si="1"/>
        <v>4108320</v>
      </c>
    </row>
    <row r="47" spans="1:17" s="2" customFormat="1" ht="15" customHeight="1">
      <c r="A47" s="35" t="s">
        <v>118</v>
      </c>
      <c r="B47" s="42" t="s">
        <v>170</v>
      </c>
      <c r="C47" s="42" t="s">
        <v>27</v>
      </c>
      <c r="D47" s="48" t="s">
        <v>124</v>
      </c>
      <c r="E47" s="38">
        <f>E60*4320</f>
        <v>466560</v>
      </c>
      <c r="F47" s="38">
        <f t="shared" ref="F47:P47" si="32">F60*4320</f>
        <v>332640</v>
      </c>
      <c r="G47" s="38">
        <f t="shared" si="32"/>
        <v>635040</v>
      </c>
      <c r="H47" s="38">
        <f t="shared" si="32"/>
        <v>738720</v>
      </c>
      <c r="I47" s="38">
        <f t="shared" si="32"/>
        <v>112320</v>
      </c>
      <c r="J47" s="38">
        <f t="shared" si="32"/>
        <v>120960</v>
      </c>
      <c r="K47" s="38">
        <f t="shared" si="32"/>
        <v>99360</v>
      </c>
      <c r="L47" s="38">
        <f t="shared" si="32"/>
        <v>103680</v>
      </c>
      <c r="M47" s="38">
        <f t="shared" si="32"/>
        <v>211680</v>
      </c>
      <c r="N47" s="38">
        <f t="shared" si="32"/>
        <v>95040</v>
      </c>
      <c r="O47" s="38">
        <f t="shared" si="32"/>
        <v>125280</v>
      </c>
      <c r="P47" s="38">
        <f t="shared" si="32"/>
        <v>43200</v>
      </c>
      <c r="Q47" s="38">
        <f t="shared" si="1"/>
        <v>3084480</v>
      </c>
    </row>
    <row r="48" spans="1:17" s="2" customFormat="1" ht="15" customHeight="1">
      <c r="A48" s="35" t="s">
        <v>121</v>
      </c>
      <c r="B48" s="42" t="s">
        <v>397</v>
      </c>
      <c r="C48" s="42" t="s">
        <v>27</v>
      </c>
      <c r="D48" s="48" t="s">
        <v>171</v>
      </c>
      <c r="E48" s="38">
        <f>E70*4320</f>
        <v>8640</v>
      </c>
      <c r="F48" s="38">
        <f t="shared" ref="F48:P48" si="33">F70*4320</f>
        <v>8640</v>
      </c>
      <c r="G48" s="38">
        <f t="shared" si="33"/>
        <v>764640</v>
      </c>
      <c r="H48" s="38">
        <f t="shared" si="33"/>
        <v>129600</v>
      </c>
      <c r="I48" s="38">
        <f t="shared" si="33"/>
        <v>0</v>
      </c>
      <c r="J48" s="38">
        <f t="shared" si="33"/>
        <v>0</v>
      </c>
      <c r="K48" s="38">
        <f t="shared" si="33"/>
        <v>0</v>
      </c>
      <c r="L48" s="38">
        <f t="shared" si="33"/>
        <v>0</v>
      </c>
      <c r="M48" s="38">
        <f t="shared" si="33"/>
        <v>0</v>
      </c>
      <c r="N48" s="38">
        <f t="shared" si="33"/>
        <v>8640</v>
      </c>
      <c r="O48" s="38">
        <f t="shared" si="33"/>
        <v>56160</v>
      </c>
      <c r="P48" s="38">
        <f t="shared" si="33"/>
        <v>47520</v>
      </c>
      <c r="Q48" s="38">
        <f t="shared" si="1"/>
        <v>1023840</v>
      </c>
    </row>
    <row r="49" spans="1:17" ht="15" customHeight="1">
      <c r="A49" s="35" t="s">
        <v>123</v>
      </c>
      <c r="B49" s="36" t="s">
        <v>127</v>
      </c>
      <c r="C49" s="36"/>
      <c r="D49" s="37" t="s">
        <v>21</v>
      </c>
      <c r="E49" s="38">
        <f>E50</f>
        <v>552610.29</v>
      </c>
      <c r="F49" s="38">
        <f t="shared" ref="F49:P49" si="34">F50</f>
        <v>410996.57</v>
      </c>
      <c r="G49" s="38">
        <f t="shared" si="34"/>
        <v>777061.71</v>
      </c>
      <c r="H49" s="38">
        <f t="shared" si="34"/>
        <v>818149.71</v>
      </c>
      <c r="I49" s="38">
        <f t="shared" si="34"/>
        <v>114531.43</v>
      </c>
      <c r="J49" s="38">
        <f t="shared" si="34"/>
        <v>112642.29</v>
      </c>
      <c r="K49" s="38">
        <f t="shared" si="34"/>
        <v>97340.57</v>
      </c>
      <c r="L49" s="38">
        <f t="shared" si="34"/>
        <v>104478.86</v>
      </c>
      <c r="M49" s="38">
        <f t="shared" si="34"/>
        <v>179300.57</v>
      </c>
      <c r="N49" s="38">
        <f t="shared" si="34"/>
        <v>91272</v>
      </c>
      <c r="O49" s="38">
        <f t="shared" si="34"/>
        <v>128832</v>
      </c>
      <c r="P49" s="38">
        <f t="shared" si="34"/>
        <v>50592</v>
      </c>
      <c r="Q49" s="38">
        <f t="shared" si="1"/>
        <v>3437808</v>
      </c>
    </row>
    <row r="50" spans="1:17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552610.29</v>
      </c>
      <c r="F50" s="38">
        <f t="shared" ref="F50:P50" si="35">ROUND(F30/0.07*0.02,2)</f>
        <v>410996.57</v>
      </c>
      <c r="G50" s="38">
        <f t="shared" si="35"/>
        <v>777061.71</v>
      </c>
      <c r="H50" s="38">
        <f t="shared" si="35"/>
        <v>818149.71</v>
      </c>
      <c r="I50" s="38">
        <f t="shared" si="35"/>
        <v>114531.43</v>
      </c>
      <c r="J50" s="38">
        <f t="shared" si="35"/>
        <v>112642.29</v>
      </c>
      <c r="K50" s="38">
        <f t="shared" si="35"/>
        <v>97340.57</v>
      </c>
      <c r="L50" s="38">
        <f t="shared" si="35"/>
        <v>104478.86</v>
      </c>
      <c r="M50" s="38">
        <f t="shared" si="35"/>
        <v>179300.57</v>
      </c>
      <c r="N50" s="38">
        <f t="shared" si="35"/>
        <v>91272</v>
      </c>
      <c r="O50" s="38">
        <f t="shared" si="35"/>
        <v>128832</v>
      </c>
      <c r="P50" s="38">
        <f t="shared" si="35"/>
        <v>50592</v>
      </c>
      <c r="Q50" s="38">
        <f t="shared" si="1"/>
        <v>3437808</v>
      </c>
    </row>
    <row r="51" spans="1:17" ht="15" customHeight="1">
      <c r="A51" s="35" t="s">
        <v>126</v>
      </c>
      <c r="B51" s="36" t="s">
        <v>172</v>
      </c>
      <c r="C51" s="36"/>
      <c r="D51" s="37" t="s">
        <v>21</v>
      </c>
      <c r="E51" s="38">
        <f>E52</f>
        <v>0</v>
      </c>
      <c r="F51" s="38">
        <f t="shared" ref="F51:P51" si="36">F52</f>
        <v>25000</v>
      </c>
      <c r="G51" s="38">
        <f t="shared" si="36"/>
        <v>64000</v>
      </c>
      <c r="H51" s="38">
        <f t="shared" si="36"/>
        <v>0</v>
      </c>
      <c r="I51" s="38">
        <f t="shared" si="36"/>
        <v>0</v>
      </c>
      <c r="J51" s="38">
        <f t="shared" si="36"/>
        <v>0</v>
      </c>
      <c r="K51" s="38">
        <f t="shared" si="36"/>
        <v>0</v>
      </c>
      <c r="L51" s="38">
        <f t="shared" si="36"/>
        <v>0</v>
      </c>
      <c r="M51" s="38">
        <f t="shared" si="36"/>
        <v>0</v>
      </c>
      <c r="N51" s="38">
        <f t="shared" si="36"/>
        <v>0</v>
      </c>
      <c r="O51" s="38">
        <f t="shared" si="36"/>
        <v>0</v>
      </c>
      <c r="P51" s="38">
        <f t="shared" si="36"/>
        <v>0</v>
      </c>
      <c r="Q51" s="38">
        <f t="shared" si="1"/>
        <v>89000</v>
      </c>
    </row>
    <row r="52" spans="1:17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168">
        <f>32000-7000</f>
        <v>25000</v>
      </c>
      <c r="G52" s="40">
        <v>64000</v>
      </c>
      <c r="H52" s="40"/>
      <c r="I52" s="40"/>
      <c r="J52" s="40"/>
      <c r="K52" s="40"/>
      <c r="L52" s="40"/>
      <c r="M52" s="40"/>
      <c r="N52" s="40"/>
      <c r="O52" s="40"/>
      <c r="P52" s="40"/>
      <c r="Q52" s="38">
        <f t="shared" si="1"/>
        <v>89000</v>
      </c>
    </row>
    <row r="53" spans="1:17" ht="15" customHeight="1">
      <c r="A53" s="35" t="s">
        <v>130</v>
      </c>
      <c r="B53" s="36" t="s">
        <v>398</v>
      </c>
      <c r="C53" s="36"/>
      <c r="D53" s="37" t="s">
        <v>21</v>
      </c>
      <c r="E53" s="38">
        <f>E54</f>
        <v>800</v>
      </c>
      <c r="F53" s="38">
        <f t="shared" ref="F53:P53" si="37">F54</f>
        <v>800</v>
      </c>
      <c r="G53" s="38">
        <f t="shared" si="37"/>
        <v>70800</v>
      </c>
      <c r="H53" s="38">
        <f t="shared" si="37"/>
        <v>12000</v>
      </c>
      <c r="I53" s="38">
        <f t="shared" si="37"/>
        <v>0</v>
      </c>
      <c r="J53" s="38">
        <f t="shared" si="37"/>
        <v>0</v>
      </c>
      <c r="K53" s="38">
        <f t="shared" si="37"/>
        <v>0</v>
      </c>
      <c r="L53" s="38">
        <f t="shared" si="37"/>
        <v>0</v>
      </c>
      <c r="M53" s="38">
        <f t="shared" si="37"/>
        <v>0</v>
      </c>
      <c r="N53" s="38">
        <f t="shared" si="37"/>
        <v>800</v>
      </c>
      <c r="O53" s="38">
        <f t="shared" si="37"/>
        <v>5200</v>
      </c>
      <c r="P53" s="38">
        <f t="shared" si="37"/>
        <v>4400</v>
      </c>
      <c r="Q53" s="38">
        <f t="shared" si="1"/>
        <v>94800</v>
      </c>
    </row>
    <row r="54" spans="1:17" s="2" customFormat="1" ht="15" customHeight="1">
      <c r="A54" s="35" t="s">
        <v>131</v>
      </c>
      <c r="B54" s="42" t="s">
        <v>137</v>
      </c>
      <c r="C54" s="42" t="s">
        <v>27</v>
      </c>
      <c r="D54" s="48" t="s">
        <v>138</v>
      </c>
      <c r="E54" s="38">
        <f>E70*400</f>
        <v>800</v>
      </c>
      <c r="F54" s="38">
        <f t="shared" ref="F54:P54" si="38">F70*400</f>
        <v>800</v>
      </c>
      <c r="G54" s="38">
        <f t="shared" si="38"/>
        <v>70800</v>
      </c>
      <c r="H54" s="38">
        <f t="shared" si="38"/>
        <v>12000</v>
      </c>
      <c r="I54" s="38">
        <f t="shared" si="38"/>
        <v>0</v>
      </c>
      <c r="J54" s="38">
        <f t="shared" si="38"/>
        <v>0</v>
      </c>
      <c r="K54" s="38">
        <f t="shared" si="38"/>
        <v>0</v>
      </c>
      <c r="L54" s="38">
        <f t="shared" si="38"/>
        <v>0</v>
      </c>
      <c r="M54" s="38">
        <f t="shared" si="38"/>
        <v>0</v>
      </c>
      <c r="N54" s="38">
        <f t="shared" si="38"/>
        <v>800</v>
      </c>
      <c r="O54" s="38">
        <f t="shared" si="38"/>
        <v>5200</v>
      </c>
      <c r="P54" s="38">
        <f t="shared" si="38"/>
        <v>4400</v>
      </c>
      <c r="Q54" s="38">
        <f t="shared" si="1"/>
        <v>94800</v>
      </c>
    </row>
    <row r="55" spans="1:17" s="2" customFormat="1" ht="15" customHeight="1">
      <c r="A55" s="35" t="s">
        <v>134</v>
      </c>
      <c r="B55" s="36" t="s">
        <v>399</v>
      </c>
      <c r="C55" s="42"/>
      <c r="D55" s="48"/>
      <c r="E55" s="38">
        <f>E56</f>
        <v>12000</v>
      </c>
      <c r="F55" s="38">
        <f t="shared" ref="F55:P55" si="39">F56</f>
        <v>800</v>
      </c>
      <c r="G55" s="38">
        <f t="shared" si="39"/>
        <v>5000</v>
      </c>
      <c r="H55" s="38">
        <f t="shared" si="39"/>
        <v>18000</v>
      </c>
      <c r="I55" s="38">
        <f t="shared" si="39"/>
        <v>4000</v>
      </c>
      <c r="J55" s="38">
        <f t="shared" si="39"/>
        <v>2700</v>
      </c>
      <c r="K55" s="38">
        <f t="shared" si="39"/>
        <v>2000</v>
      </c>
      <c r="L55" s="38">
        <f t="shared" si="39"/>
        <v>4000</v>
      </c>
      <c r="M55" s="38">
        <f t="shared" si="39"/>
        <v>6000</v>
      </c>
      <c r="N55" s="38">
        <f t="shared" si="39"/>
        <v>1500</v>
      </c>
      <c r="O55" s="38">
        <f t="shared" si="39"/>
        <v>2900</v>
      </c>
      <c r="P55" s="38">
        <f t="shared" si="39"/>
        <v>0</v>
      </c>
      <c r="Q55" s="38">
        <f t="shared" si="1"/>
        <v>58900</v>
      </c>
    </row>
    <row r="56" spans="1:17" ht="15" customHeight="1">
      <c r="A56" s="35" t="s">
        <v>135</v>
      </c>
      <c r="B56" s="36" t="s">
        <v>400</v>
      </c>
      <c r="C56" s="36" t="s">
        <v>27</v>
      </c>
      <c r="D56" s="47" t="s">
        <v>140</v>
      </c>
      <c r="E56" s="49">
        <v>12000</v>
      </c>
      <c r="F56" s="49">
        <v>800</v>
      </c>
      <c r="G56" s="49">
        <v>5000</v>
      </c>
      <c r="H56" s="49">
        <v>18000</v>
      </c>
      <c r="I56" s="49">
        <v>4000</v>
      </c>
      <c r="J56" s="49">
        <v>2700</v>
      </c>
      <c r="K56" s="49">
        <v>2000</v>
      </c>
      <c r="L56" s="49">
        <v>4000</v>
      </c>
      <c r="M56" s="49">
        <v>6000</v>
      </c>
      <c r="N56" s="49">
        <v>1500</v>
      </c>
      <c r="O56" s="49">
        <v>2900</v>
      </c>
      <c r="P56" s="49"/>
      <c r="Q56" s="38">
        <f t="shared" si="1"/>
        <v>58900</v>
      </c>
    </row>
    <row r="57" spans="1:17" ht="15" customHeight="1">
      <c r="A57" s="35" t="s">
        <v>136</v>
      </c>
      <c r="B57" s="36" t="s">
        <v>401</v>
      </c>
      <c r="C57" s="36"/>
      <c r="D57" s="37" t="s">
        <v>21</v>
      </c>
      <c r="E57" s="38">
        <f>E58</f>
        <v>32000</v>
      </c>
      <c r="F57" s="38">
        <f t="shared" ref="F57:P57" si="40">F58</f>
        <v>0</v>
      </c>
      <c r="G57" s="38">
        <f t="shared" si="40"/>
        <v>0</v>
      </c>
      <c r="H57" s="38">
        <f t="shared" si="40"/>
        <v>32000</v>
      </c>
      <c r="I57" s="38">
        <f t="shared" si="40"/>
        <v>32000</v>
      </c>
      <c r="J57" s="38">
        <f t="shared" si="40"/>
        <v>32000</v>
      </c>
      <c r="K57" s="38">
        <f t="shared" si="40"/>
        <v>32000</v>
      </c>
      <c r="L57" s="38">
        <f t="shared" si="40"/>
        <v>32000</v>
      </c>
      <c r="M57" s="38">
        <f t="shared" si="40"/>
        <v>32000</v>
      </c>
      <c r="N57" s="38">
        <f t="shared" si="40"/>
        <v>32000</v>
      </c>
      <c r="O57" s="38">
        <f t="shared" si="40"/>
        <v>32000</v>
      </c>
      <c r="P57" s="38">
        <f t="shared" si="40"/>
        <v>32000</v>
      </c>
      <c r="Q57" s="38">
        <f t="shared" si="1"/>
        <v>320000</v>
      </c>
    </row>
    <row r="58" spans="1:17" ht="15" customHeight="1" thickBot="1">
      <c r="A58" s="35" t="s">
        <v>139</v>
      </c>
      <c r="B58" s="4" t="s">
        <v>402</v>
      </c>
      <c r="C58" s="36" t="s">
        <v>27</v>
      </c>
      <c r="D58" s="5" t="s">
        <v>173</v>
      </c>
      <c r="E58" s="6">
        <v>32000</v>
      </c>
      <c r="F58" s="6"/>
      <c r="G58" s="6"/>
      <c r="H58" s="6">
        <v>32000</v>
      </c>
      <c r="I58" s="6">
        <v>32000</v>
      </c>
      <c r="J58" s="6">
        <v>32000</v>
      </c>
      <c r="K58" s="6">
        <v>32000</v>
      </c>
      <c r="L58" s="6">
        <v>32000</v>
      </c>
      <c r="M58" s="6">
        <v>32000</v>
      </c>
      <c r="N58" s="6">
        <v>32000</v>
      </c>
      <c r="O58" s="6">
        <v>32000</v>
      </c>
      <c r="P58" s="6">
        <v>32000</v>
      </c>
      <c r="Q58" s="38">
        <f t="shared" si="1"/>
        <v>320000</v>
      </c>
    </row>
    <row r="59" spans="1:17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38">
        <f t="shared" si="1"/>
        <v>0</v>
      </c>
    </row>
    <row r="60" spans="1:17" ht="15" customHeight="1">
      <c r="A60" s="35" t="s">
        <v>142</v>
      </c>
      <c r="B60" s="36" t="s">
        <v>147</v>
      </c>
      <c r="C60" s="36"/>
      <c r="D60" s="37" t="s">
        <v>403</v>
      </c>
      <c r="E60" s="38">
        <f>E61+E62+E63+E64</f>
        <v>108</v>
      </c>
      <c r="F60" s="38">
        <f t="shared" ref="F60:P60" si="41">F61+F62+F63+F64</f>
        <v>77</v>
      </c>
      <c r="G60" s="38">
        <f t="shared" si="41"/>
        <v>147</v>
      </c>
      <c r="H60" s="38">
        <f t="shared" si="41"/>
        <v>171</v>
      </c>
      <c r="I60" s="38">
        <f t="shared" si="41"/>
        <v>26</v>
      </c>
      <c r="J60" s="38">
        <f t="shared" si="41"/>
        <v>28</v>
      </c>
      <c r="K60" s="38">
        <f t="shared" si="41"/>
        <v>23</v>
      </c>
      <c r="L60" s="38">
        <f t="shared" si="41"/>
        <v>24</v>
      </c>
      <c r="M60" s="38">
        <f t="shared" si="41"/>
        <v>49</v>
      </c>
      <c r="N60" s="38">
        <f t="shared" si="41"/>
        <v>22</v>
      </c>
      <c r="O60" s="38">
        <f t="shared" si="41"/>
        <v>29</v>
      </c>
      <c r="P60" s="38">
        <f t="shared" si="41"/>
        <v>10</v>
      </c>
      <c r="Q60" s="38">
        <f t="shared" si="1"/>
        <v>714</v>
      </c>
    </row>
    <row r="61" spans="1:17" ht="15" customHeight="1">
      <c r="A61" s="35" t="s">
        <v>144</v>
      </c>
      <c r="B61" s="50" t="s">
        <v>149</v>
      </c>
      <c r="C61" s="50"/>
      <c r="D61" s="44"/>
      <c r="E61" s="45">
        <v>40</v>
      </c>
      <c r="F61" s="45">
        <v>77</v>
      </c>
      <c r="G61" s="45">
        <v>74</v>
      </c>
      <c r="H61" s="45"/>
      <c r="I61" s="45"/>
      <c r="J61" s="45"/>
      <c r="K61" s="45"/>
      <c r="L61" s="45"/>
      <c r="M61" s="45"/>
      <c r="N61" s="45"/>
      <c r="O61" s="45"/>
      <c r="P61" s="45"/>
      <c r="Q61" s="38">
        <f t="shared" si="1"/>
        <v>191</v>
      </c>
    </row>
    <row r="62" spans="1:17" ht="15" customHeight="1">
      <c r="A62" s="35" t="s">
        <v>146</v>
      </c>
      <c r="B62" s="50" t="s">
        <v>151</v>
      </c>
      <c r="C62" s="50"/>
      <c r="D62" s="37"/>
      <c r="E62" s="40">
        <v>68</v>
      </c>
      <c r="F62" s="40"/>
      <c r="G62" s="40">
        <v>73</v>
      </c>
      <c r="H62" s="40">
        <v>171</v>
      </c>
      <c r="I62" s="40"/>
      <c r="J62" s="40"/>
      <c r="K62" s="40"/>
      <c r="L62" s="40"/>
      <c r="M62" s="40"/>
      <c r="N62" s="40"/>
      <c r="O62" s="40"/>
      <c r="P62" s="40"/>
      <c r="Q62" s="38">
        <f t="shared" si="1"/>
        <v>312</v>
      </c>
    </row>
    <row r="63" spans="1:17" ht="1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>
        <v>26</v>
      </c>
      <c r="J63" s="45">
        <v>28</v>
      </c>
      <c r="K63" s="45">
        <v>23</v>
      </c>
      <c r="L63" s="45">
        <v>24</v>
      </c>
      <c r="M63" s="45">
        <v>49</v>
      </c>
      <c r="N63" s="45">
        <v>22</v>
      </c>
      <c r="O63" s="45">
        <v>29</v>
      </c>
      <c r="P63" s="45"/>
      <c r="Q63" s="38">
        <f t="shared" si="1"/>
        <v>201</v>
      </c>
    </row>
    <row r="64" spans="1:17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>
        <v>10</v>
      </c>
      <c r="Q64" s="38">
        <f t="shared" si="1"/>
        <v>10</v>
      </c>
    </row>
    <row r="65" spans="1:17" ht="15" customHeight="1">
      <c r="A65" s="35" t="s">
        <v>152</v>
      </c>
      <c r="B65" s="36" t="s">
        <v>157</v>
      </c>
      <c r="C65" s="36"/>
      <c r="D65" s="37" t="s">
        <v>404</v>
      </c>
      <c r="E65" s="38">
        <f>E66+E67+E68+E69</f>
        <v>1918</v>
      </c>
      <c r="F65" s="38">
        <f t="shared" ref="F65:P65" si="42">F66+F67+F68+F69</f>
        <v>1307</v>
      </c>
      <c r="G65" s="38">
        <f t="shared" si="42"/>
        <v>1750</v>
      </c>
      <c r="H65" s="38">
        <f t="shared" si="42"/>
        <v>2532</v>
      </c>
      <c r="I65" s="38">
        <f t="shared" si="42"/>
        <v>279</v>
      </c>
      <c r="J65" s="38">
        <f t="shared" si="42"/>
        <v>461</v>
      </c>
      <c r="K65" s="38">
        <f t="shared" si="42"/>
        <v>248</v>
      </c>
      <c r="L65" s="38">
        <f t="shared" si="42"/>
        <v>418</v>
      </c>
      <c r="M65" s="38">
        <f t="shared" si="42"/>
        <v>562</v>
      </c>
      <c r="N65" s="38">
        <f t="shared" si="42"/>
        <v>225</v>
      </c>
      <c r="O65" s="38">
        <f t="shared" si="42"/>
        <v>255</v>
      </c>
      <c r="P65" s="38">
        <f t="shared" si="42"/>
        <v>0</v>
      </c>
      <c r="Q65" s="38">
        <f t="shared" si="1"/>
        <v>9955</v>
      </c>
    </row>
    <row r="66" spans="1:17" ht="15" customHeight="1">
      <c r="A66" s="35" t="s">
        <v>154</v>
      </c>
      <c r="B66" s="50" t="s">
        <v>149</v>
      </c>
      <c r="C66" s="50"/>
      <c r="D66" s="44"/>
      <c r="E66" s="45">
        <v>727</v>
      </c>
      <c r="F66" s="45">
        <v>1307</v>
      </c>
      <c r="G66" s="45">
        <v>859</v>
      </c>
      <c r="H66" s="45"/>
      <c r="I66" s="45"/>
      <c r="J66" s="45"/>
      <c r="K66" s="45"/>
      <c r="L66" s="45"/>
      <c r="M66" s="45"/>
      <c r="N66" s="45"/>
      <c r="O66" s="45"/>
      <c r="P66" s="45"/>
      <c r="Q66" s="38">
        <f t="shared" si="1"/>
        <v>2893</v>
      </c>
    </row>
    <row r="67" spans="1:17" ht="15" customHeight="1">
      <c r="A67" s="35" t="s">
        <v>156</v>
      </c>
      <c r="B67" s="50" t="s">
        <v>151</v>
      </c>
      <c r="C67" s="50"/>
      <c r="D67" s="37"/>
      <c r="E67" s="40">
        <v>1191</v>
      </c>
      <c r="F67" s="40"/>
      <c r="G67" s="40">
        <v>891</v>
      </c>
      <c r="H67" s="40">
        <v>2532</v>
      </c>
      <c r="I67" s="40"/>
      <c r="J67" s="40"/>
      <c r="K67" s="40"/>
      <c r="L67" s="40"/>
      <c r="M67" s="40"/>
      <c r="N67" s="40"/>
      <c r="O67" s="40"/>
      <c r="P67" s="40"/>
      <c r="Q67" s="38">
        <f t="shared" si="1"/>
        <v>4614</v>
      </c>
    </row>
    <row r="68" spans="1:17" ht="1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>
        <v>279</v>
      </c>
      <c r="J68" s="45">
        <v>461</v>
      </c>
      <c r="K68" s="45">
        <v>248</v>
      </c>
      <c r="L68" s="45">
        <v>418</v>
      </c>
      <c r="M68" s="45">
        <v>562</v>
      </c>
      <c r="N68" s="45">
        <v>225</v>
      </c>
      <c r="O68" s="45">
        <v>255</v>
      </c>
      <c r="P68" s="45"/>
      <c r="Q68" s="38">
        <f t="shared" ref="Q68:Q72" si="43">SUM(E68:P68)</f>
        <v>2448</v>
      </c>
    </row>
    <row r="69" spans="1:17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38">
        <f t="shared" si="43"/>
        <v>0</v>
      </c>
    </row>
    <row r="70" spans="1:17" ht="15" customHeight="1">
      <c r="A70" s="35" t="s">
        <v>160</v>
      </c>
      <c r="B70" s="36" t="s">
        <v>174</v>
      </c>
      <c r="C70" s="36"/>
      <c r="D70" s="37"/>
      <c r="E70" s="40">
        <v>2</v>
      </c>
      <c r="F70" s="40">
        <v>2</v>
      </c>
      <c r="G70" s="40">
        <v>177</v>
      </c>
      <c r="H70" s="40">
        <v>30</v>
      </c>
      <c r="I70" s="40"/>
      <c r="J70" s="40"/>
      <c r="K70" s="40"/>
      <c r="L70" s="40"/>
      <c r="M70" s="40"/>
      <c r="N70" s="40">
        <v>2</v>
      </c>
      <c r="O70" s="40">
        <v>13</v>
      </c>
      <c r="P70" s="40">
        <v>11</v>
      </c>
      <c r="Q70" s="38">
        <f t="shared" si="43"/>
        <v>237</v>
      </c>
    </row>
    <row r="71" spans="1:17" ht="15" customHeight="1">
      <c r="A71" s="35" t="s">
        <v>161</v>
      </c>
      <c r="B71" s="50" t="s">
        <v>163</v>
      </c>
      <c r="C71" s="50"/>
      <c r="D71" s="47"/>
      <c r="E71" s="40">
        <v>20058.12</v>
      </c>
      <c r="F71" s="40">
        <v>18593.849999999999</v>
      </c>
      <c r="G71" s="40">
        <v>19818.8</v>
      </c>
      <c r="H71" s="40">
        <v>38088</v>
      </c>
      <c r="I71" s="40">
        <v>5679</v>
      </c>
      <c r="J71" s="40">
        <v>7350</v>
      </c>
      <c r="K71" s="40">
        <v>7345.42</v>
      </c>
      <c r="L71" s="40">
        <v>6138.83</v>
      </c>
      <c r="M71" s="40">
        <v>11569</v>
      </c>
      <c r="N71" s="40">
        <v>4956.18</v>
      </c>
      <c r="O71" s="40">
        <v>4747</v>
      </c>
      <c r="P71" s="40">
        <v>1355</v>
      </c>
      <c r="Q71" s="38">
        <f t="shared" si="43"/>
        <v>145699.20000000001</v>
      </c>
    </row>
    <row r="72" spans="1:17" ht="15" customHeight="1">
      <c r="A72" s="35" t="s">
        <v>162</v>
      </c>
      <c r="B72" s="50" t="s">
        <v>164</v>
      </c>
      <c r="C72" s="50"/>
      <c r="D72" s="47"/>
      <c r="E72" s="40">
        <v>14010</v>
      </c>
      <c r="F72" s="40">
        <v>9821</v>
      </c>
      <c r="G72" s="40">
        <v>12152</v>
      </c>
      <c r="H72" s="40">
        <v>20444</v>
      </c>
      <c r="I72" s="40">
        <v>2613</v>
      </c>
      <c r="J72" s="40">
        <v>3224</v>
      </c>
      <c r="K72" s="40">
        <v>3402.3</v>
      </c>
      <c r="L72" s="40">
        <v>2577</v>
      </c>
      <c r="M72" s="40">
        <v>4725</v>
      </c>
      <c r="N72" s="40">
        <v>1968</v>
      </c>
      <c r="O72" s="40">
        <v>2560</v>
      </c>
      <c r="P72" s="40">
        <v>1800</v>
      </c>
      <c r="Q72" s="38">
        <f t="shared" si="43"/>
        <v>79296.3</v>
      </c>
    </row>
    <row r="73" spans="1:17">
      <c r="E73" s="1">
        <f t="shared" ref="E73:Q73" si="44">E5/E60</f>
        <v>373768.47629629634</v>
      </c>
      <c r="F73" s="1">
        <f t="shared" si="44"/>
        <v>377088.32272727275</v>
      </c>
      <c r="G73" s="1">
        <f t="shared" si="44"/>
        <v>396013.24190476193</v>
      </c>
      <c r="H73" s="1">
        <f t="shared" si="44"/>
        <v>358327.10269005847</v>
      </c>
      <c r="I73" s="1">
        <f t="shared" si="44"/>
        <v>320342.3519230769</v>
      </c>
      <c r="J73" s="1">
        <f t="shared" si="44"/>
        <v>306562.98</v>
      </c>
      <c r="K73" s="1">
        <f t="shared" si="44"/>
        <v>313342.03695652174</v>
      </c>
      <c r="L73" s="1">
        <f t="shared" si="44"/>
        <v>317798.42875000002</v>
      </c>
      <c r="M73" s="1">
        <f t="shared" si="44"/>
        <v>301243.32346938772</v>
      </c>
      <c r="N73" s="1">
        <f t="shared" si="44"/>
        <v>315858.18181818182</v>
      </c>
      <c r="O73" s="1">
        <f t="shared" si="44"/>
        <v>332207.86206896551</v>
      </c>
      <c r="P73" s="1">
        <f t="shared" si="44"/>
        <v>375796</v>
      </c>
      <c r="Q73" s="1">
        <f t="shared" si="44"/>
        <v>358178.09802521009</v>
      </c>
    </row>
    <row r="74" spans="1:17">
      <c r="E74" s="1">
        <f t="shared" ref="E74:Q74" si="45">E34/E70</f>
        <v>16140</v>
      </c>
      <c r="F74" s="1">
        <f t="shared" si="45"/>
        <v>17640</v>
      </c>
      <c r="G74" s="1">
        <f t="shared" si="45"/>
        <v>18021.497175141241</v>
      </c>
      <c r="H74" s="1">
        <f t="shared" si="45"/>
        <v>17314</v>
      </c>
      <c r="I74" s="1" t="e">
        <f t="shared" si="45"/>
        <v>#DIV/0!</v>
      </c>
      <c r="J74" s="1" t="e">
        <f t="shared" si="45"/>
        <v>#DIV/0!</v>
      </c>
      <c r="K74" s="1" t="e">
        <f t="shared" si="45"/>
        <v>#DIV/0!</v>
      </c>
      <c r="L74" s="1" t="e">
        <f t="shared" si="45"/>
        <v>#DIV/0!</v>
      </c>
      <c r="M74" s="1" t="e">
        <f t="shared" si="45"/>
        <v>#DIV/0!</v>
      </c>
      <c r="N74" s="1">
        <f t="shared" si="45"/>
        <v>17370</v>
      </c>
      <c r="O74" s="1">
        <f t="shared" si="45"/>
        <v>18530.76923076923</v>
      </c>
      <c r="P74" s="1">
        <f t="shared" si="45"/>
        <v>18280</v>
      </c>
      <c r="Q74" s="1">
        <f t="shared" si="45"/>
        <v>17947.278481012658</v>
      </c>
    </row>
  </sheetData>
  <protectedRanges>
    <protectedRange password="E9C1" sqref="D30 C31 B5:D29 Q5:Q72 A4:Q4 B32:D72 A5:A72 Q3 A3:D3 A2:Q2" name="区域1_1"/>
    <protectedRange password="E9C1" sqref="B30:C30 B31" name="区域1_1_1"/>
    <protectedRange password="E9C1" sqref="D31" name="区域1_2"/>
  </protectedRanges>
  <mergeCells count="6">
    <mergeCell ref="A1:Q1"/>
    <mergeCell ref="A2:A3"/>
    <mergeCell ref="B2:B3"/>
    <mergeCell ref="C2:C3"/>
    <mergeCell ref="D2:D3"/>
    <mergeCell ref="Q2:Q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O72"/>
  <sheetViews>
    <sheetView topLeftCell="A16" workbookViewId="0">
      <selection activeCell="L52" sqref="L52"/>
    </sheetView>
  </sheetViews>
  <sheetFormatPr defaultRowHeight="11.25"/>
  <cols>
    <col min="1" max="1" width="3.375" style="13" customWidth="1"/>
    <col min="2" max="2" width="22.375" style="1" customWidth="1"/>
    <col min="3" max="3" width="6" style="1" hidden="1" customWidth="1"/>
    <col min="4" max="4" width="6.5" style="14" hidden="1" customWidth="1"/>
    <col min="5" max="13" width="11.625" style="1" customWidth="1"/>
    <col min="14" max="14" width="11.625" style="3" customWidth="1"/>
    <col min="15" max="16384" width="9" style="1"/>
  </cols>
  <sheetData>
    <row r="1" spans="1:15" ht="25.5">
      <c r="A1" s="354" t="s">
        <v>831</v>
      </c>
      <c r="B1" s="355"/>
      <c r="C1" s="355"/>
      <c r="D1" s="355"/>
      <c r="E1" s="355"/>
      <c r="F1" s="355"/>
      <c r="G1" s="355"/>
      <c r="H1" s="355"/>
      <c r="I1" s="355"/>
      <c r="J1" s="355"/>
      <c r="K1" s="355"/>
      <c r="L1" s="355"/>
      <c r="M1" s="355"/>
      <c r="N1" s="355"/>
      <c r="O1" s="355"/>
    </row>
    <row r="2" spans="1:15" ht="15" customHeight="1">
      <c r="A2" s="358" t="s">
        <v>12</v>
      </c>
      <c r="B2" s="358" t="s">
        <v>13</v>
      </c>
      <c r="C2" s="358" t="s">
        <v>14</v>
      </c>
      <c r="D2" s="358" t="s">
        <v>15</v>
      </c>
      <c r="E2" s="33" t="s">
        <v>405</v>
      </c>
      <c r="F2" s="33" t="s">
        <v>406</v>
      </c>
      <c r="G2" s="33" t="s">
        <v>407</v>
      </c>
      <c r="H2" s="33" t="s">
        <v>408</v>
      </c>
      <c r="I2" s="33" t="s">
        <v>409</v>
      </c>
      <c r="J2" s="33" t="s">
        <v>16</v>
      </c>
      <c r="K2" s="33" t="s">
        <v>410</v>
      </c>
      <c r="L2" s="33" t="s">
        <v>411</v>
      </c>
      <c r="M2" s="33" t="s">
        <v>412</v>
      </c>
      <c r="N2" s="358" t="s">
        <v>17</v>
      </c>
      <c r="O2" s="358" t="s">
        <v>18</v>
      </c>
    </row>
    <row r="3" spans="1:15" ht="15" customHeight="1">
      <c r="A3" s="359"/>
      <c r="B3" s="359"/>
      <c r="C3" s="359"/>
      <c r="D3" s="359"/>
      <c r="E3" s="33" t="s">
        <v>460</v>
      </c>
      <c r="F3" s="33" t="s">
        <v>460</v>
      </c>
      <c r="G3" s="33" t="s">
        <v>462</v>
      </c>
      <c r="H3" s="33" t="s">
        <v>460</v>
      </c>
      <c r="I3" s="33" t="s">
        <v>460</v>
      </c>
      <c r="J3" s="33" t="s">
        <v>461</v>
      </c>
      <c r="K3" s="33" t="s">
        <v>462</v>
      </c>
      <c r="L3" s="33" t="s">
        <v>462</v>
      </c>
      <c r="M3" s="33" t="s">
        <v>460</v>
      </c>
      <c r="N3" s="359"/>
      <c r="O3" s="359"/>
    </row>
    <row r="4" spans="1:15" ht="14.1" customHeight="1">
      <c r="A4" s="35" t="s">
        <v>19</v>
      </c>
      <c r="B4" s="36" t="s">
        <v>20</v>
      </c>
      <c r="C4" s="36"/>
      <c r="D4" s="37" t="s">
        <v>21</v>
      </c>
      <c r="E4" s="38">
        <f t="shared" ref="E4:M4" si="0">E5+E32+E37</f>
        <v>10357595.58</v>
      </c>
      <c r="F4" s="38">
        <f t="shared" si="0"/>
        <v>2978379.7300000004</v>
      </c>
      <c r="G4" s="38">
        <f t="shared" si="0"/>
        <v>68686998.299999997</v>
      </c>
      <c r="H4" s="38">
        <f t="shared" si="0"/>
        <v>16166708.850000001</v>
      </c>
      <c r="I4" s="38">
        <f t="shared" si="0"/>
        <v>13803380.600000001</v>
      </c>
      <c r="J4" s="38">
        <f t="shared" si="0"/>
        <v>3171179.7300000004</v>
      </c>
      <c r="K4" s="38">
        <f t="shared" si="0"/>
        <v>70410509.200000003</v>
      </c>
      <c r="L4" s="38">
        <f t="shared" si="0"/>
        <v>53391610.729999997</v>
      </c>
      <c r="M4" s="38">
        <f t="shared" si="0"/>
        <v>22177599.300000001</v>
      </c>
      <c r="N4" s="51">
        <f t="shared" ref="N4:N67" si="1">SUM(E4:M4)</f>
        <v>261143962.02000001</v>
      </c>
      <c r="O4" s="39"/>
    </row>
    <row r="5" spans="1:15" ht="14.1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8852717.1500000004</v>
      </c>
      <c r="F5" s="38">
        <f t="shared" ref="F5:M5" si="2">F6+F9+F13+F16+F21+F26+F28+F30+F31</f>
        <v>1887495.4400000002</v>
      </c>
      <c r="G5" s="38">
        <f t="shared" si="2"/>
        <v>55842666</v>
      </c>
      <c r="H5" s="38">
        <f t="shared" si="2"/>
        <v>13772855.710000001</v>
      </c>
      <c r="I5" s="38">
        <f t="shared" si="2"/>
        <v>11477245.710000001</v>
      </c>
      <c r="J5" s="38">
        <f t="shared" si="2"/>
        <v>2739481.4400000004</v>
      </c>
      <c r="K5" s="38">
        <f t="shared" si="2"/>
        <v>56147380.289999999</v>
      </c>
      <c r="L5" s="38">
        <f t="shared" si="2"/>
        <v>45139851.439999998</v>
      </c>
      <c r="M5" s="38">
        <f t="shared" si="2"/>
        <v>19316532</v>
      </c>
      <c r="N5" s="51">
        <f t="shared" si="1"/>
        <v>215176225.18000001</v>
      </c>
      <c r="O5" s="39"/>
    </row>
    <row r="6" spans="1:15" ht="14.1" customHeight="1">
      <c r="A6" s="35" t="s">
        <v>23</v>
      </c>
      <c r="B6" s="36" t="s">
        <v>24</v>
      </c>
      <c r="C6" s="36"/>
      <c r="D6" s="37" t="s">
        <v>21</v>
      </c>
      <c r="E6" s="38">
        <f>E7+E8</f>
        <v>1375920</v>
      </c>
      <c r="F6" s="38">
        <f t="shared" ref="F6:M6" si="3">F7+F8</f>
        <v>248892</v>
      </c>
      <c r="G6" s="38">
        <f t="shared" si="3"/>
        <v>7370892</v>
      </c>
      <c r="H6" s="38">
        <f t="shared" si="3"/>
        <v>1827600</v>
      </c>
      <c r="I6" s="38">
        <f t="shared" si="3"/>
        <v>1544160</v>
      </c>
      <c r="J6" s="38">
        <f t="shared" si="3"/>
        <v>420504</v>
      </c>
      <c r="K6" s="38">
        <f t="shared" si="3"/>
        <v>7719816</v>
      </c>
      <c r="L6" s="38">
        <f t="shared" si="3"/>
        <v>6377052</v>
      </c>
      <c r="M6" s="38">
        <f t="shared" si="3"/>
        <v>2743296</v>
      </c>
      <c r="N6" s="51">
        <f t="shared" si="1"/>
        <v>29628132</v>
      </c>
      <c r="O6" s="39"/>
    </row>
    <row r="7" spans="1:15" ht="14.1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f>60513*12</f>
        <v>726156</v>
      </c>
      <c r="F7" s="40">
        <v>154512</v>
      </c>
      <c r="G7" s="40">
        <v>4012476</v>
      </c>
      <c r="H7" s="40">
        <v>1101204</v>
      </c>
      <c r="I7" s="40">
        <v>926160</v>
      </c>
      <c r="J7" s="40">
        <v>188148</v>
      </c>
      <c r="K7" s="40">
        <v>4104588</v>
      </c>
      <c r="L7" s="40">
        <v>3227196</v>
      </c>
      <c r="M7" s="40">
        <v>1605432</v>
      </c>
      <c r="N7" s="51">
        <f t="shared" si="1"/>
        <v>16045872</v>
      </c>
      <c r="O7" s="41"/>
    </row>
    <row r="8" spans="1:15" ht="14.1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f>54147*12</f>
        <v>649764</v>
      </c>
      <c r="F8" s="40">
        <v>94380</v>
      </c>
      <c r="G8" s="40">
        <v>3358416</v>
      </c>
      <c r="H8" s="40">
        <v>726396</v>
      </c>
      <c r="I8" s="40">
        <v>618000</v>
      </c>
      <c r="J8" s="40">
        <v>232356</v>
      </c>
      <c r="K8" s="40">
        <v>3615228</v>
      </c>
      <c r="L8" s="40">
        <v>3149856</v>
      </c>
      <c r="M8" s="40">
        <v>1137864</v>
      </c>
      <c r="N8" s="51">
        <f t="shared" si="1"/>
        <v>13582260</v>
      </c>
      <c r="O8" s="39"/>
    </row>
    <row r="9" spans="1:15" ht="14.1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145032</v>
      </c>
      <c r="F9" s="38">
        <f t="shared" ref="F9:M9" si="4">F10+F11</f>
        <v>32028</v>
      </c>
      <c r="G9" s="38">
        <f t="shared" si="4"/>
        <v>788136</v>
      </c>
      <c r="H9" s="38">
        <f t="shared" si="4"/>
        <v>239958</v>
      </c>
      <c r="I9" s="38">
        <f t="shared" si="4"/>
        <v>192576</v>
      </c>
      <c r="J9" s="38">
        <f t="shared" si="4"/>
        <v>37644</v>
      </c>
      <c r="K9" s="38">
        <f t="shared" si="4"/>
        <v>778200</v>
      </c>
      <c r="L9" s="38">
        <f t="shared" si="4"/>
        <v>624084</v>
      </c>
      <c r="M9" s="38">
        <f t="shared" si="4"/>
        <v>321336</v>
      </c>
      <c r="N9" s="51">
        <f t="shared" si="1"/>
        <v>3158994</v>
      </c>
      <c r="O9" s="39"/>
    </row>
    <row r="10" spans="1:15" ht="14.1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f>206*12</f>
        <v>2472</v>
      </c>
      <c r="F10" s="40">
        <v>348</v>
      </c>
      <c r="G10" s="40">
        <v>11976</v>
      </c>
      <c r="H10" s="40">
        <v>12918</v>
      </c>
      <c r="I10" s="40">
        <v>2496</v>
      </c>
      <c r="J10" s="40">
        <v>684</v>
      </c>
      <c r="K10" s="40">
        <v>12600</v>
      </c>
      <c r="L10" s="40">
        <v>11604</v>
      </c>
      <c r="M10" s="40">
        <v>4536</v>
      </c>
      <c r="N10" s="51">
        <f t="shared" si="1"/>
        <v>59634</v>
      </c>
      <c r="O10" s="39"/>
    </row>
    <row r="11" spans="1:15" ht="14.1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142560</v>
      </c>
      <c r="F11" s="38">
        <f t="shared" ref="F11:M11" si="5">F12</f>
        <v>31680</v>
      </c>
      <c r="G11" s="38">
        <f t="shared" si="5"/>
        <v>776160</v>
      </c>
      <c r="H11" s="38">
        <f t="shared" si="5"/>
        <v>227040</v>
      </c>
      <c r="I11" s="38">
        <f t="shared" si="5"/>
        <v>190080</v>
      </c>
      <c r="J11" s="38">
        <f t="shared" si="5"/>
        <v>36960</v>
      </c>
      <c r="K11" s="38">
        <f t="shared" si="5"/>
        <v>765600</v>
      </c>
      <c r="L11" s="38">
        <f t="shared" si="5"/>
        <v>612480</v>
      </c>
      <c r="M11" s="38">
        <f t="shared" si="5"/>
        <v>316800</v>
      </c>
      <c r="N11" s="51">
        <f t="shared" si="1"/>
        <v>3099360</v>
      </c>
      <c r="O11" s="39"/>
    </row>
    <row r="12" spans="1:15" s="2" customFormat="1" ht="14.1" customHeight="1">
      <c r="A12" s="35" t="s">
        <v>37</v>
      </c>
      <c r="B12" s="42" t="s">
        <v>343</v>
      </c>
      <c r="C12" s="42" t="s">
        <v>27</v>
      </c>
      <c r="D12" s="39" t="s">
        <v>21</v>
      </c>
      <c r="E12" s="38">
        <f t="shared" ref="E12:M12" si="6">440*12*E60</f>
        <v>142560</v>
      </c>
      <c r="F12" s="38">
        <f t="shared" si="6"/>
        <v>31680</v>
      </c>
      <c r="G12" s="38">
        <f t="shared" si="6"/>
        <v>776160</v>
      </c>
      <c r="H12" s="38">
        <f t="shared" si="6"/>
        <v>227040</v>
      </c>
      <c r="I12" s="38">
        <f t="shared" si="6"/>
        <v>190080</v>
      </c>
      <c r="J12" s="38">
        <f t="shared" si="6"/>
        <v>36960</v>
      </c>
      <c r="K12" s="38">
        <f t="shared" si="6"/>
        <v>765600</v>
      </c>
      <c r="L12" s="38">
        <f t="shared" si="6"/>
        <v>612480</v>
      </c>
      <c r="M12" s="38">
        <f t="shared" si="6"/>
        <v>316800</v>
      </c>
      <c r="N12" s="51">
        <f t="shared" si="1"/>
        <v>3099360</v>
      </c>
      <c r="O12" s="39"/>
    </row>
    <row r="13" spans="1:15" ht="14.1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58345.72</v>
      </c>
      <c r="F13" s="38">
        <f t="shared" ref="F13:M13" si="7">F14+F15</f>
        <v>12461.14</v>
      </c>
      <c r="G13" s="38">
        <f t="shared" si="7"/>
        <v>363072</v>
      </c>
      <c r="H13" s="38">
        <f t="shared" si="7"/>
        <v>93560.58</v>
      </c>
      <c r="I13" s="38">
        <f t="shared" si="7"/>
        <v>77012.58</v>
      </c>
      <c r="J13" s="38">
        <f t="shared" si="7"/>
        <v>18881.14</v>
      </c>
      <c r="K13" s="38">
        <f t="shared" si="7"/>
        <v>371787.42</v>
      </c>
      <c r="L13" s="38">
        <f t="shared" si="7"/>
        <v>297857.14</v>
      </c>
      <c r="M13" s="38">
        <f t="shared" si="7"/>
        <v>128748</v>
      </c>
      <c r="N13" s="51">
        <f t="shared" si="1"/>
        <v>1421725.7199999997</v>
      </c>
      <c r="O13" s="39"/>
    </row>
    <row r="14" spans="1:15" s="2" customFormat="1" ht="14.1" customHeight="1">
      <c r="A14" s="35" t="s">
        <v>42</v>
      </c>
      <c r="B14" s="42" t="s">
        <v>344</v>
      </c>
      <c r="C14" s="42" t="s">
        <v>27</v>
      </c>
      <c r="D14" s="39" t="s">
        <v>43</v>
      </c>
      <c r="E14" s="38">
        <f>ROUND(E30/0.07*0.005,2)</f>
        <v>29172.86</v>
      </c>
      <c r="F14" s="38">
        <f t="shared" ref="F14:M14" si="8">ROUND(F30/0.07*0.005,2)</f>
        <v>6230.57</v>
      </c>
      <c r="G14" s="38">
        <f t="shared" si="8"/>
        <v>181536</v>
      </c>
      <c r="H14" s="38">
        <f t="shared" si="8"/>
        <v>46780.29</v>
      </c>
      <c r="I14" s="38">
        <f t="shared" si="8"/>
        <v>38506.29</v>
      </c>
      <c r="J14" s="38">
        <f t="shared" si="8"/>
        <v>9440.57</v>
      </c>
      <c r="K14" s="38">
        <f t="shared" si="8"/>
        <v>185893.71</v>
      </c>
      <c r="L14" s="38">
        <f t="shared" si="8"/>
        <v>148928.57</v>
      </c>
      <c r="M14" s="38">
        <f t="shared" si="8"/>
        <v>64374</v>
      </c>
      <c r="N14" s="51">
        <f t="shared" si="1"/>
        <v>710862.85999999987</v>
      </c>
      <c r="O14" s="39"/>
    </row>
    <row r="15" spans="1:15" s="2" customFormat="1" ht="14.1" customHeight="1">
      <c r="A15" s="35" t="s">
        <v>44</v>
      </c>
      <c r="B15" s="42" t="s">
        <v>345</v>
      </c>
      <c r="C15" s="42" t="s">
        <v>27</v>
      </c>
      <c r="D15" s="39" t="s">
        <v>43</v>
      </c>
      <c r="E15" s="38">
        <f>ROUND(E30/0.07*0.005,2)</f>
        <v>29172.86</v>
      </c>
      <c r="F15" s="38">
        <f t="shared" ref="F15:M15" si="9">ROUND(F30/0.07*0.005,2)</f>
        <v>6230.57</v>
      </c>
      <c r="G15" s="38">
        <f t="shared" si="9"/>
        <v>181536</v>
      </c>
      <c r="H15" s="38">
        <f t="shared" si="9"/>
        <v>46780.29</v>
      </c>
      <c r="I15" s="38">
        <f t="shared" si="9"/>
        <v>38506.29</v>
      </c>
      <c r="J15" s="38">
        <f t="shared" si="9"/>
        <v>9440.57</v>
      </c>
      <c r="K15" s="38">
        <f t="shared" si="9"/>
        <v>185893.71</v>
      </c>
      <c r="L15" s="38">
        <f t="shared" si="9"/>
        <v>148928.57</v>
      </c>
      <c r="M15" s="38">
        <f t="shared" si="9"/>
        <v>64374</v>
      </c>
      <c r="N15" s="51">
        <f t="shared" si="1"/>
        <v>710862.85999999987</v>
      </c>
      <c r="O15" s="39"/>
    </row>
    <row r="16" spans="1:15" ht="14.1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4706208</v>
      </c>
      <c r="F16" s="38">
        <f t="shared" ref="F16:L16" si="10">F17+F18+F19+F20</f>
        <v>1045824</v>
      </c>
      <c r="G16" s="38">
        <f t="shared" si="10"/>
        <v>31345398</v>
      </c>
      <c r="H16" s="38">
        <f t="shared" si="10"/>
        <v>7495072</v>
      </c>
      <c r="I16" s="38">
        <f t="shared" si="10"/>
        <v>6274944</v>
      </c>
      <c r="J16" s="38">
        <f t="shared" si="10"/>
        <v>1431682</v>
      </c>
      <c r="K16" s="38">
        <f t="shared" si="10"/>
        <v>30918930</v>
      </c>
      <c r="L16" s="38">
        <f t="shared" si="10"/>
        <v>24735144</v>
      </c>
      <c r="M16" s="38">
        <f>M17+M18+M19+M20</f>
        <v>10458240</v>
      </c>
      <c r="N16" s="51">
        <f t="shared" si="1"/>
        <v>118411442</v>
      </c>
      <c r="O16" s="39"/>
    </row>
    <row r="17" spans="1:15" ht="14.1" customHeight="1">
      <c r="A17" s="35" t="s">
        <v>48</v>
      </c>
      <c r="B17" s="43" t="s">
        <v>49</v>
      </c>
      <c r="C17" s="43" t="s">
        <v>27</v>
      </c>
      <c r="D17" s="44" t="s">
        <v>346</v>
      </c>
      <c r="E17" s="45">
        <v>4328572</v>
      </c>
      <c r="F17" s="45">
        <v>792868</v>
      </c>
      <c r="G17" s="45">
        <v>28409350</v>
      </c>
      <c r="H17" s="45">
        <v>7014068</v>
      </c>
      <c r="I17" s="45">
        <v>5855900</v>
      </c>
      <c r="J17" s="45">
        <v>1389682</v>
      </c>
      <c r="K17" s="45">
        <v>28233386</v>
      </c>
      <c r="L17" s="45">
        <v>22361032</v>
      </c>
      <c r="M17" s="45">
        <v>9823084</v>
      </c>
      <c r="N17" s="51">
        <f t="shared" si="1"/>
        <v>108207942</v>
      </c>
      <c r="O17" s="44"/>
    </row>
    <row r="18" spans="1:15" ht="14.1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215636</v>
      </c>
      <c r="F18" s="45">
        <v>216956</v>
      </c>
      <c r="G18" s="45">
        <v>584048</v>
      </c>
      <c r="H18" s="45">
        <v>223004</v>
      </c>
      <c r="I18" s="45">
        <v>203044</v>
      </c>
      <c r="J18" s="45"/>
      <c r="K18" s="45">
        <v>365544</v>
      </c>
      <c r="L18" s="45">
        <v>518112</v>
      </c>
      <c r="M18" s="45">
        <v>275156</v>
      </c>
      <c r="N18" s="51">
        <f t="shared" si="1"/>
        <v>2601500</v>
      </c>
      <c r="O18" s="44"/>
    </row>
    <row r="19" spans="1:15" ht="14.1" customHeight="1">
      <c r="A19" s="35" t="s">
        <v>54</v>
      </c>
      <c r="B19" s="43" t="s">
        <v>347</v>
      </c>
      <c r="C19" s="43" t="s">
        <v>27</v>
      </c>
      <c r="D19" s="37" t="s">
        <v>21</v>
      </c>
      <c r="E19" s="46">
        <f t="shared" ref="E19:M19" si="11">E60*500*12</f>
        <v>162000</v>
      </c>
      <c r="F19" s="46">
        <f t="shared" si="11"/>
        <v>36000</v>
      </c>
      <c r="G19" s="46">
        <f t="shared" si="11"/>
        <v>882000</v>
      </c>
      <c r="H19" s="46">
        <f t="shared" si="11"/>
        <v>258000</v>
      </c>
      <c r="I19" s="46">
        <f t="shared" si="11"/>
        <v>216000</v>
      </c>
      <c r="J19" s="46">
        <f t="shared" si="11"/>
        <v>42000</v>
      </c>
      <c r="K19" s="46">
        <f t="shared" si="11"/>
        <v>870000</v>
      </c>
      <c r="L19" s="46">
        <f t="shared" si="11"/>
        <v>696000</v>
      </c>
      <c r="M19" s="46">
        <f t="shared" si="11"/>
        <v>360000</v>
      </c>
      <c r="N19" s="51">
        <f t="shared" si="1"/>
        <v>3522000</v>
      </c>
      <c r="O19" s="44"/>
    </row>
    <row r="20" spans="1:15" ht="14.1" customHeight="1">
      <c r="A20" s="35" t="s">
        <v>56</v>
      </c>
      <c r="B20" s="43" t="s">
        <v>348</v>
      </c>
      <c r="C20" s="43" t="s">
        <v>27</v>
      </c>
      <c r="D20" s="37" t="s">
        <v>28</v>
      </c>
      <c r="E20" s="45"/>
      <c r="F20" s="45"/>
      <c r="G20" s="45">
        <f>G60*10000</f>
        <v>1470000</v>
      </c>
      <c r="H20" s="45"/>
      <c r="I20" s="45"/>
      <c r="J20" s="45"/>
      <c r="K20" s="45">
        <f>K60*10000</f>
        <v>1450000</v>
      </c>
      <c r="L20" s="45">
        <f>L60*10000</f>
        <v>1160000</v>
      </c>
      <c r="M20" s="45"/>
      <c r="N20" s="51">
        <f t="shared" si="1"/>
        <v>4080000</v>
      </c>
      <c r="O20" s="44"/>
    </row>
    <row r="21" spans="1:15" ht="14.1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758494.29</v>
      </c>
      <c r="F21" s="46">
        <f t="shared" ref="F21:M21" si="12">F22+F23</f>
        <v>161994.87</v>
      </c>
      <c r="G21" s="46">
        <f t="shared" si="12"/>
        <v>4719936</v>
      </c>
      <c r="H21" s="46">
        <f t="shared" si="12"/>
        <v>1216287.42</v>
      </c>
      <c r="I21" s="46">
        <f t="shared" si="12"/>
        <v>1001163.42</v>
      </c>
      <c r="J21" s="46">
        <f t="shared" si="12"/>
        <v>245454.87</v>
      </c>
      <c r="K21" s="46">
        <f t="shared" si="12"/>
        <v>4833236.58</v>
      </c>
      <c r="L21" s="46">
        <f t="shared" si="12"/>
        <v>3872142.87</v>
      </c>
      <c r="M21" s="46">
        <f t="shared" si="12"/>
        <v>1673724</v>
      </c>
      <c r="N21" s="51">
        <f t="shared" si="1"/>
        <v>18482434.32</v>
      </c>
      <c r="O21" s="44"/>
    </row>
    <row r="22" spans="1:15" ht="14.1" customHeight="1">
      <c r="A22" s="35" t="s">
        <v>60</v>
      </c>
      <c r="B22" s="36" t="s">
        <v>349</v>
      </c>
      <c r="C22" s="36" t="s">
        <v>61</v>
      </c>
      <c r="D22" s="44" t="s">
        <v>21</v>
      </c>
      <c r="E22" s="46">
        <f>ROUND(E30/0.07*0.09,2)</f>
        <v>525111.43000000005</v>
      </c>
      <c r="F22" s="46">
        <f t="shared" ref="F22:M22" si="13">ROUND(F30/0.07*0.09,2)</f>
        <v>112150.29</v>
      </c>
      <c r="G22" s="46">
        <f t="shared" si="13"/>
        <v>3267648</v>
      </c>
      <c r="H22" s="46">
        <f t="shared" si="13"/>
        <v>842045.14</v>
      </c>
      <c r="I22" s="46">
        <f t="shared" si="13"/>
        <v>693113.14</v>
      </c>
      <c r="J22" s="46">
        <f t="shared" si="13"/>
        <v>169930.29</v>
      </c>
      <c r="K22" s="46">
        <f t="shared" si="13"/>
        <v>3346086.86</v>
      </c>
      <c r="L22" s="46">
        <f t="shared" si="13"/>
        <v>2680714.29</v>
      </c>
      <c r="M22" s="46">
        <f t="shared" si="13"/>
        <v>1158732</v>
      </c>
      <c r="N22" s="51">
        <f t="shared" si="1"/>
        <v>12795531.440000001</v>
      </c>
      <c r="O22" s="44"/>
    </row>
    <row r="23" spans="1:15" ht="14.1" customHeight="1">
      <c r="A23" s="35" t="s">
        <v>62</v>
      </c>
      <c r="B23" s="36" t="s">
        <v>350</v>
      </c>
      <c r="C23" s="36" t="s">
        <v>61</v>
      </c>
      <c r="D23" s="44" t="s">
        <v>43</v>
      </c>
      <c r="E23" s="46">
        <f>E24+E25</f>
        <v>233382.86</v>
      </c>
      <c r="F23" s="46">
        <f t="shared" ref="F23:M23" si="14">F24+F25</f>
        <v>49844.58</v>
      </c>
      <c r="G23" s="46">
        <f t="shared" si="14"/>
        <v>1452288</v>
      </c>
      <c r="H23" s="46">
        <f t="shared" si="14"/>
        <v>374242.28</v>
      </c>
      <c r="I23" s="46">
        <f t="shared" si="14"/>
        <v>308050.28000000003</v>
      </c>
      <c r="J23" s="46">
        <f t="shared" si="14"/>
        <v>75524.58</v>
      </c>
      <c r="K23" s="46">
        <f t="shared" si="14"/>
        <v>1487149.72</v>
      </c>
      <c r="L23" s="46">
        <f t="shared" si="14"/>
        <v>1191428.58</v>
      </c>
      <c r="M23" s="46">
        <f t="shared" si="14"/>
        <v>514992</v>
      </c>
      <c r="N23" s="51">
        <f t="shared" si="1"/>
        <v>5686902.8799999999</v>
      </c>
      <c r="O23" s="44"/>
    </row>
    <row r="24" spans="1:15" ht="14.1" customHeight="1">
      <c r="A24" s="35" t="s">
        <v>64</v>
      </c>
      <c r="B24" s="36" t="s">
        <v>351</v>
      </c>
      <c r="C24" s="36" t="s">
        <v>61</v>
      </c>
      <c r="D24" s="44" t="s">
        <v>43</v>
      </c>
      <c r="E24" s="46">
        <f>ROUND(E30/0.07*0.02,2)</f>
        <v>116691.43</v>
      </c>
      <c r="F24" s="46">
        <f t="shared" ref="F24:M24" si="15">ROUND(F30/0.07*0.02,2)</f>
        <v>24922.29</v>
      </c>
      <c r="G24" s="46">
        <f t="shared" si="15"/>
        <v>726144</v>
      </c>
      <c r="H24" s="46">
        <f t="shared" si="15"/>
        <v>187121.14</v>
      </c>
      <c r="I24" s="46">
        <f t="shared" si="15"/>
        <v>154025.14000000001</v>
      </c>
      <c r="J24" s="46">
        <f t="shared" si="15"/>
        <v>37762.29</v>
      </c>
      <c r="K24" s="46">
        <f t="shared" si="15"/>
        <v>743574.86</v>
      </c>
      <c r="L24" s="46">
        <f t="shared" si="15"/>
        <v>595714.29</v>
      </c>
      <c r="M24" s="46">
        <f t="shared" si="15"/>
        <v>257496</v>
      </c>
      <c r="N24" s="51">
        <f t="shared" si="1"/>
        <v>2843451.44</v>
      </c>
      <c r="O24" s="44"/>
    </row>
    <row r="25" spans="1:15" ht="14.1" customHeight="1">
      <c r="A25" s="35" t="s">
        <v>65</v>
      </c>
      <c r="B25" s="36" t="s">
        <v>352</v>
      </c>
      <c r="C25" s="36" t="s">
        <v>61</v>
      </c>
      <c r="D25" s="44" t="s">
        <v>43</v>
      </c>
      <c r="E25" s="46">
        <f>ROUND(E30/0.07*0.02,2)</f>
        <v>116691.43</v>
      </c>
      <c r="F25" s="46">
        <f t="shared" ref="F25:M25" si="16">ROUND(F30/0.07*0.02,2)</f>
        <v>24922.29</v>
      </c>
      <c r="G25" s="46">
        <f t="shared" si="16"/>
        <v>726144</v>
      </c>
      <c r="H25" s="46">
        <f t="shared" si="16"/>
        <v>187121.14</v>
      </c>
      <c r="I25" s="46">
        <f t="shared" si="16"/>
        <v>154025.14000000001</v>
      </c>
      <c r="J25" s="46">
        <f t="shared" si="16"/>
        <v>37762.29</v>
      </c>
      <c r="K25" s="46">
        <f t="shared" si="16"/>
        <v>743574.86</v>
      </c>
      <c r="L25" s="46">
        <f t="shared" si="16"/>
        <v>595714.29</v>
      </c>
      <c r="M25" s="46">
        <f t="shared" si="16"/>
        <v>257496</v>
      </c>
      <c r="N25" s="51">
        <f t="shared" si="1"/>
        <v>2843451.44</v>
      </c>
      <c r="O25" s="44"/>
    </row>
    <row r="26" spans="1:15" ht="14.1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M26" si="17">E27</f>
        <v>933531.43</v>
      </c>
      <c r="F26" s="38">
        <f t="shared" si="17"/>
        <v>199378.29</v>
      </c>
      <c r="G26" s="38">
        <f t="shared" si="17"/>
        <v>5809152</v>
      </c>
      <c r="H26" s="38">
        <f t="shared" si="17"/>
        <v>1496969.14</v>
      </c>
      <c r="I26" s="38">
        <f t="shared" si="17"/>
        <v>1232201.1399999999</v>
      </c>
      <c r="J26" s="38">
        <f t="shared" si="17"/>
        <v>302098.28999999998</v>
      </c>
      <c r="K26" s="38">
        <f t="shared" si="17"/>
        <v>5948598.8600000003</v>
      </c>
      <c r="L26" s="38">
        <f t="shared" si="17"/>
        <v>4765714.29</v>
      </c>
      <c r="M26" s="38">
        <f t="shared" si="17"/>
        <v>2059968</v>
      </c>
      <c r="N26" s="51">
        <f t="shared" si="1"/>
        <v>22747611.439999998</v>
      </c>
      <c r="O26" s="39"/>
    </row>
    <row r="27" spans="1:15" s="2" customFormat="1" ht="14.1" customHeight="1">
      <c r="A27" s="35" t="s">
        <v>68</v>
      </c>
      <c r="B27" s="42" t="s">
        <v>353</v>
      </c>
      <c r="C27" s="42" t="s">
        <v>70</v>
      </c>
      <c r="D27" s="39" t="s">
        <v>43</v>
      </c>
      <c r="E27" s="38">
        <f>ROUND(E30/0.07*0.16,2)</f>
        <v>933531.43</v>
      </c>
      <c r="F27" s="38">
        <f t="shared" ref="F27:M27" si="18">ROUND(F30/0.07*0.16,2)</f>
        <v>199378.29</v>
      </c>
      <c r="G27" s="38">
        <f t="shared" si="18"/>
        <v>5809152</v>
      </c>
      <c r="H27" s="38">
        <f t="shared" si="18"/>
        <v>1496969.14</v>
      </c>
      <c r="I27" s="38">
        <f t="shared" si="18"/>
        <v>1232201.1399999999</v>
      </c>
      <c r="J27" s="38">
        <f t="shared" si="18"/>
        <v>302098.28999999998</v>
      </c>
      <c r="K27" s="38">
        <f t="shared" si="18"/>
        <v>5948598.8600000003</v>
      </c>
      <c r="L27" s="38">
        <f t="shared" si="18"/>
        <v>4765714.29</v>
      </c>
      <c r="M27" s="38">
        <f t="shared" si="18"/>
        <v>2059968</v>
      </c>
      <c r="N27" s="51">
        <f t="shared" si="1"/>
        <v>22747611.439999998</v>
      </c>
      <c r="O27" s="39"/>
    </row>
    <row r="28" spans="1:15" ht="14.1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M28" si="19">E29</f>
        <v>466765.71</v>
      </c>
      <c r="F28" s="38">
        <f t="shared" si="19"/>
        <v>99689.14</v>
      </c>
      <c r="G28" s="38">
        <f t="shared" si="19"/>
        <v>2904576</v>
      </c>
      <c r="H28" s="38">
        <f t="shared" si="19"/>
        <v>748484.57</v>
      </c>
      <c r="I28" s="38">
        <f t="shared" si="19"/>
        <v>616100.56999999995</v>
      </c>
      <c r="J28" s="38">
        <f t="shared" si="19"/>
        <v>151049.14000000001</v>
      </c>
      <c r="K28" s="38">
        <f t="shared" si="19"/>
        <v>2974299.43</v>
      </c>
      <c r="L28" s="38">
        <f t="shared" si="19"/>
        <v>2382857.14</v>
      </c>
      <c r="M28" s="38">
        <f t="shared" si="19"/>
        <v>1029984</v>
      </c>
      <c r="N28" s="51">
        <f t="shared" si="1"/>
        <v>11373805.700000001</v>
      </c>
      <c r="O28" s="39"/>
    </row>
    <row r="29" spans="1:15" s="2" customFormat="1" ht="14.1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466765.71</v>
      </c>
      <c r="F29" s="38">
        <f t="shared" ref="F29:M29" si="20">ROUND(F30/0.07*0.08,2)</f>
        <v>99689.14</v>
      </c>
      <c r="G29" s="38">
        <f t="shared" si="20"/>
        <v>2904576</v>
      </c>
      <c r="H29" s="38">
        <f t="shared" si="20"/>
        <v>748484.57</v>
      </c>
      <c r="I29" s="38">
        <f t="shared" si="20"/>
        <v>616100.56999999995</v>
      </c>
      <c r="J29" s="38">
        <f t="shared" si="20"/>
        <v>151049.14000000001</v>
      </c>
      <c r="K29" s="38">
        <f t="shared" si="20"/>
        <v>2974299.43</v>
      </c>
      <c r="L29" s="38">
        <f t="shared" si="20"/>
        <v>2382857.14</v>
      </c>
      <c r="M29" s="38">
        <f t="shared" si="20"/>
        <v>1029984</v>
      </c>
      <c r="N29" s="51">
        <f t="shared" si="1"/>
        <v>11373805.700000001</v>
      </c>
      <c r="O29" s="39"/>
    </row>
    <row r="30" spans="1:15" ht="14.1" customHeight="1">
      <c r="A30" s="35" t="s">
        <v>76</v>
      </c>
      <c r="B30" s="36" t="s">
        <v>354</v>
      </c>
      <c r="C30" s="36" t="s">
        <v>78</v>
      </c>
      <c r="D30" s="37" t="s">
        <v>355</v>
      </c>
      <c r="E30" s="45">
        <f>34035*12</f>
        <v>408420</v>
      </c>
      <c r="F30" s="45">
        <v>87228</v>
      </c>
      <c r="G30" s="45">
        <v>2541504</v>
      </c>
      <c r="H30" s="45">
        <v>654924</v>
      </c>
      <c r="I30" s="45">
        <v>539088</v>
      </c>
      <c r="J30" s="45">
        <v>132168</v>
      </c>
      <c r="K30" s="45">
        <v>2602512</v>
      </c>
      <c r="L30" s="45">
        <v>2085000</v>
      </c>
      <c r="M30" s="45">
        <v>901236</v>
      </c>
      <c r="N30" s="51">
        <f t="shared" si="1"/>
        <v>9952080</v>
      </c>
      <c r="O30" s="44"/>
    </row>
    <row r="31" spans="1:15" ht="14.1" customHeight="1">
      <c r="A31" s="35" t="s">
        <v>80</v>
      </c>
      <c r="B31" s="36" t="s">
        <v>356</v>
      </c>
      <c r="C31" s="43" t="s">
        <v>27</v>
      </c>
      <c r="D31" s="39" t="s">
        <v>357</v>
      </c>
      <c r="E31" s="45"/>
      <c r="F31" s="45"/>
      <c r="G31" s="45"/>
      <c r="H31" s="45"/>
      <c r="I31" s="45"/>
      <c r="J31" s="45"/>
      <c r="K31" s="45"/>
      <c r="L31" s="45"/>
      <c r="M31" s="45"/>
      <c r="N31" s="51">
        <f t="shared" si="1"/>
        <v>0</v>
      </c>
      <c r="O31" s="44"/>
    </row>
    <row r="32" spans="1:15" ht="14.1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184800</v>
      </c>
      <c r="F32" s="38">
        <f t="shared" ref="F32:M32" si="21">F33+F35</f>
        <v>0</v>
      </c>
      <c r="G32" s="38">
        <f t="shared" si="21"/>
        <v>2285040</v>
      </c>
      <c r="H32" s="38">
        <f t="shared" si="21"/>
        <v>31620</v>
      </c>
      <c r="I32" s="38">
        <f t="shared" si="21"/>
        <v>258540</v>
      </c>
      <c r="J32" s="38">
        <f t="shared" si="21"/>
        <v>69960</v>
      </c>
      <c r="K32" s="38">
        <f t="shared" si="21"/>
        <v>3110040</v>
      </c>
      <c r="L32" s="38">
        <f t="shared" si="21"/>
        <v>1550160</v>
      </c>
      <c r="M32" s="38">
        <f t="shared" si="21"/>
        <v>22355</v>
      </c>
      <c r="N32" s="51">
        <f t="shared" si="1"/>
        <v>7512515</v>
      </c>
      <c r="O32" s="39"/>
    </row>
    <row r="33" spans="1:15" ht="14.1" customHeight="1">
      <c r="A33" s="35" t="s">
        <v>85</v>
      </c>
      <c r="B33" s="36" t="s">
        <v>358</v>
      </c>
      <c r="C33" s="36" t="s">
        <v>87</v>
      </c>
      <c r="D33" s="44" t="s">
        <v>359</v>
      </c>
      <c r="E33" s="46">
        <f>E34</f>
        <v>184440</v>
      </c>
      <c r="F33" s="46">
        <f t="shared" ref="F33:M33" si="22">F34</f>
        <v>0</v>
      </c>
      <c r="G33" s="46">
        <f t="shared" si="22"/>
        <v>2280000</v>
      </c>
      <c r="H33" s="46">
        <f t="shared" si="22"/>
        <v>30180</v>
      </c>
      <c r="I33" s="46">
        <f t="shared" si="22"/>
        <v>256380</v>
      </c>
      <c r="J33" s="46">
        <f t="shared" si="22"/>
        <v>69960</v>
      </c>
      <c r="K33" s="46">
        <f t="shared" si="22"/>
        <v>3106080</v>
      </c>
      <c r="L33" s="46">
        <f t="shared" si="22"/>
        <v>1544760</v>
      </c>
      <c r="M33" s="46">
        <f t="shared" si="22"/>
        <v>19115</v>
      </c>
      <c r="N33" s="51">
        <f t="shared" si="1"/>
        <v>7490915</v>
      </c>
      <c r="O33" s="44"/>
    </row>
    <row r="34" spans="1:15" ht="14.1" customHeight="1">
      <c r="A34" s="35" t="s">
        <v>89</v>
      </c>
      <c r="B34" s="36" t="s">
        <v>360</v>
      </c>
      <c r="C34" s="36" t="s">
        <v>87</v>
      </c>
      <c r="D34" s="44" t="s">
        <v>359</v>
      </c>
      <c r="E34" s="40">
        <f>15370*12</f>
        <v>184440</v>
      </c>
      <c r="F34" s="40"/>
      <c r="G34" s="40">
        <v>2280000</v>
      </c>
      <c r="H34" s="40">
        <v>30180</v>
      </c>
      <c r="I34" s="40">
        <v>256380</v>
      </c>
      <c r="J34" s="40">
        <v>69960</v>
      </c>
      <c r="K34" s="40">
        <v>3106080</v>
      </c>
      <c r="L34" s="40">
        <v>1544760</v>
      </c>
      <c r="M34" s="40">
        <v>19115</v>
      </c>
      <c r="N34" s="51">
        <f t="shared" si="1"/>
        <v>7490915</v>
      </c>
      <c r="O34" s="39"/>
    </row>
    <row r="35" spans="1:15" ht="14.1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360</v>
      </c>
      <c r="F35" s="38">
        <f t="shared" ref="F35:M35" si="23">F36</f>
        <v>0</v>
      </c>
      <c r="G35" s="38">
        <f t="shared" si="23"/>
        <v>5040</v>
      </c>
      <c r="H35" s="38">
        <f t="shared" si="23"/>
        <v>1440</v>
      </c>
      <c r="I35" s="38">
        <f t="shared" si="23"/>
        <v>2160</v>
      </c>
      <c r="J35" s="38">
        <f t="shared" si="23"/>
        <v>0</v>
      </c>
      <c r="K35" s="38">
        <f t="shared" si="23"/>
        <v>3960</v>
      </c>
      <c r="L35" s="38">
        <f t="shared" si="23"/>
        <v>5400</v>
      </c>
      <c r="M35" s="38">
        <f t="shared" si="23"/>
        <v>3240</v>
      </c>
      <c r="N35" s="51">
        <f t="shared" si="1"/>
        <v>21600</v>
      </c>
      <c r="O35" s="39"/>
    </row>
    <row r="36" spans="1:15" ht="14.1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f>30*12</f>
        <v>360</v>
      </c>
      <c r="F36" s="40"/>
      <c r="G36" s="40">
        <v>5040</v>
      </c>
      <c r="H36" s="40">
        <v>1440</v>
      </c>
      <c r="I36" s="40">
        <v>2160</v>
      </c>
      <c r="J36" s="40"/>
      <c r="K36" s="40">
        <v>3960</v>
      </c>
      <c r="L36" s="40">
        <v>5400</v>
      </c>
      <c r="M36" s="40">
        <v>3240</v>
      </c>
      <c r="N36" s="51">
        <f t="shared" si="1"/>
        <v>21600</v>
      </c>
      <c r="O36" s="39"/>
    </row>
    <row r="37" spans="1:15" ht="14.1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1320078.43</v>
      </c>
      <c r="F37" s="38">
        <f t="shared" ref="F37:M37" si="24">F38+F40+F42+F44+F46+F49+F51+F53+F55+F57</f>
        <v>1090884.29</v>
      </c>
      <c r="G37" s="38">
        <f t="shared" si="24"/>
        <v>10559292.300000001</v>
      </c>
      <c r="H37" s="38">
        <f t="shared" si="24"/>
        <v>2362233.14</v>
      </c>
      <c r="I37" s="38">
        <f t="shared" si="24"/>
        <v>2067594.8900000001</v>
      </c>
      <c r="J37" s="38">
        <f t="shared" si="24"/>
        <v>361738.29</v>
      </c>
      <c r="K37" s="38">
        <f t="shared" si="24"/>
        <v>11153088.91</v>
      </c>
      <c r="L37" s="38">
        <f t="shared" si="24"/>
        <v>6701599.29</v>
      </c>
      <c r="M37" s="38">
        <f t="shared" si="24"/>
        <v>2838712.3</v>
      </c>
      <c r="N37" s="51">
        <f t="shared" si="1"/>
        <v>38455221.839999996</v>
      </c>
      <c r="O37" s="39"/>
    </row>
    <row r="38" spans="1:15" ht="14.1" customHeight="1">
      <c r="A38" s="35" t="s">
        <v>96</v>
      </c>
      <c r="B38" s="36" t="s">
        <v>100</v>
      </c>
      <c r="C38" s="36"/>
      <c r="D38" s="37" t="s">
        <v>101</v>
      </c>
      <c r="E38" s="40">
        <v>903760</v>
      </c>
      <c r="F38" s="40">
        <v>858000</v>
      </c>
      <c r="G38" s="40">
        <v>7968440</v>
      </c>
      <c r="H38" s="40">
        <v>1716000</v>
      </c>
      <c r="I38" s="40">
        <v>1507220</v>
      </c>
      <c r="J38" s="40">
        <v>156800</v>
      </c>
      <c r="K38" s="40">
        <v>8507670</v>
      </c>
      <c r="L38" s="40">
        <v>4877820</v>
      </c>
      <c r="M38" s="40">
        <v>2050620</v>
      </c>
      <c r="N38" s="51">
        <f t="shared" si="1"/>
        <v>28546330</v>
      </c>
      <c r="O38" s="39"/>
    </row>
    <row r="39" spans="1:15" ht="14.1" customHeight="1">
      <c r="A39" s="35" t="s">
        <v>97</v>
      </c>
      <c r="B39" s="36" t="s">
        <v>361</v>
      </c>
      <c r="C39" s="36" t="s">
        <v>362</v>
      </c>
      <c r="D39" s="47" t="s">
        <v>363</v>
      </c>
      <c r="E39" s="40">
        <v>45188</v>
      </c>
      <c r="F39" s="40">
        <v>12155</v>
      </c>
      <c r="G39" s="40">
        <v>398422</v>
      </c>
      <c r="H39" s="40">
        <v>75218</v>
      </c>
      <c r="I39" s="40">
        <v>60203</v>
      </c>
      <c r="J39" s="40">
        <v>7840</v>
      </c>
      <c r="K39" s="40">
        <v>425383.5</v>
      </c>
      <c r="L39" s="40">
        <v>243891</v>
      </c>
      <c r="M39" s="40">
        <v>102531</v>
      </c>
      <c r="N39" s="51">
        <f t="shared" si="1"/>
        <v>1370831.5</v>
      </c>
      <c r="O39" s="39"/>
    </row>
    <row r="40" spans="1:15" ht="14.1" customHeight="1">
      <c r="A40" s="35" t="s">
        <v>99</v>
      </c>
      <c r="B40" s="36" t="s">
        <v>107</v>
      </c>
      <c r="C40" s="36"/>
      <c r="D40" s="37"/>
      <c r="E40" s="38">
        <f>E41</f>
        <v>10800</v>
      </c>
      <c r="F40" s="38">
        <f t="shared" ref="F40:M40" si="25">F41</f>
        <v>2400</v>
      </c>
      <c r="G40" s="38">
        <f t="shared" si="25"/>
        <v>58800</v>
      </c>
      <c r="H40" s="38">
        <f t="shared" si="25"/>
        <v>17200</v>
      </c>
      <c r="I40" s="38">
        <f t="shared" si="25"/>
        <v>14400</v>
      </c>
      <c r="J40" s="38">
        <f t="shared" si="25"/>
        <v>2800</v>
      </c>
      <c r="K40" s="38">
        <f t="shared" si="25"/>
        <v>58000</v>
      </c>
      <c r="L40" s="38">
        <f t="shared" si="25"/>
        <v>46400</v>
      </c>
      <c r="M40" s="38">
        <f t="shared" si="25"/>
        <v>24000</v>
      </c>
      <c r="N40" s="51">
        <f t="shared" si="1"/>
        <v>234800</v>
      </c>
      <c r="O40" s="39"/>
    </row>
    <row r="41" spans="1:15" s="2" customFormat="1" ht="14.1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 t="shared" ref="E41:M41" si="26">E60*400</f>
        <v>10800</v>
      </c>
      <c r="F41" s="38">
        <f t="shared" si="26"/>
        <v>2400</v>
      </c>
      <c r="G41" s="38">
        <f t="shared" si="26"/>
        <v>58800</v>
      </c>
      <c r="H41" s="38">
        <f t="shared" si="26"/>
        <v>17200</v>
      </c>
      <c r="I41" s="38">
        <f t="shared" si="26"/>
        <v>14400</v>
      </c>
      <c r="J41" s="38">
        <f t="shared" si="26"/>
        <v>2800</v>
      </c>
      <c r="K41" s="38">
        <f t="shared" si="26"/>
        <v>58000</v>
      </c>
      <c r="L41" s="38">
        <f t="shared" si="26"/>
        <v>46400</v>
      </c>
      <c r="M41" s="38">
        <f t="shared" si="26"/>
        <v>24000</v>
      </c>
      <c r="N41" s="51">
        <f t="shared" si="1"/>
        <v>234800</v>
      </c>
      <c r="O41" s="39"/>
    </row>
    <row r="42" spans="1:15" ht="14.1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64068.6</v>
      </c>
      <c r="F42" s="38">
        <f t="shared" ref="F42:M42" si="27">F43</f>
        <v>119970</v>
      </c>
      <c r="G42" s="38">
        <f t="shared" si="27"/>
        <v>436567.5</v>
      </c>
      <c r="H42" s="38">
        <f t="shared" si="27"/>
        <v>162938.4</v>
      </c>
      <c r="I42" s="38">
        <f t="shared" si="27"/>
        <v>97749.75</v>
      </c>
      <c r="J42" s="38">
        <f t="shared" si="27"/>
        <v>33240</v>
      </c>
      <c r="K42" s="38">
        <f t="shared" si="27"/>
        <v>281524.05</v>
      </c>
      <c r="L42" s="38">
        <f t="shared" si="27"/>
        <v>174225</v>
      </c>
      <c r="M42" s="38">
        <f t="shared" si="27"/>
        <v>117936.3</v>
      </c>
      <c r="N42" s="51">
        <f t="shared" si="1"/>
        <v>1488219.6</v>
      </c>
      <c r="O42" s="39"/>
    </row>
    <row r="43" spans="1:15" s="2" customFormat="1" ht="14.1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 t="shared" ref="E43:M43" si="28">E71*15</f>
        <v>64068.6</v>
      </c>
      <c r="F43" s="38">
        <f t="shared" si="28"/>
        <v>119970</v>
      </c>
      <c r="G43" s="38">
        <f t="shared" si="28"/>
        <v>436567.5</v>
      </c>
      <c r="H43" s="38">
        <f t="shared" si="28"/>
        <v>162938.4</v>
      </c>
      <c r="I43" s="38">
        <f t="shared" si="28"/>
        <v>97749.75</v>
      </c>
      <c r="J43" s="38">
        <f t="shared" si="28"/>
        <v>33240</v>
      </c>
      <c r="K43" s="38">
        <f t="shared" si="28"/>
        <v>281524.05</v>
      </c>
      <c r="L43" s="38">
        <f t="shared" si="28"/>
        <v>174225</v>
      </c>
      <c r="M43" s="38">
        <f t="shared" si="28"/>
        <v>117936.3</v>
      </c>
      <c r="N43" s="51">
        <f t="shared" si="1"/>
        <v>1488219.6</v>
      </c>
      <c r="O43" s="39"/>
    </row>
    <row r="44" spans="1:15" ht="14.1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23898.400000000001</v>
      </c>
      <c r="F44" s="38">
        <f t="shared" ref="F44:M44" si="29">F45</f>
        <v>27672</v>
      </c>
      <c r="G44" s="38">
        <f t="shared" si="29"/>
        <v>100900.8</v>
      </c>
      <c r="H44" s="38">
        <f t="shared" si="29"/>
        <v>50073.599999999999</v>
      </c>
      <c r="I44" s="38">
        <f t="shared" si="29"/>
        <v>37600</v>
      </c>
      <c r="J44" s="38">
        <f t="shared" si="29"/>
        <v>50016</v>
      </c>
      <c r="K44" s="38">
        <f t="shared" si="29"/>
        <v>144000</v>
      </c>
      <c r="L44" s="38">
        <f t="shared" si="29"/>
        <v>96000</v>
      </c>
      <c r="M44" s="38">
        <f t="shared" si="29"/>
        <v>33100</v>
      </c>
      <c r="N44" s="51">
        <f t="shared" si="1"/>
        <v>563260.80000000005</v>
      </c>
      <c r="O44" s="39"/>
    </row>
    <row r="45" spans="1:15" s="2" customFormat="1" ht="14.1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 t="shared" ref="E45:M45" si="30">E72*8</f>
        <v>23898.400000000001</v>
      </c>
      <c r="F45" s="38">
        <f t="shared" si="30"/>
        <v>27672</v>
      </c>
      <c r="G45" s="38">
        <f t="shared" si="30"/>
        <v>100900.8</v>
      </c>
      <c r="H45" s="38">
        <f t="shared" si="30"/>
        <v>50073.599999999999</v>
      </c>
      <c r="I45" s="38">
        <f t="shared" si="30"/>
        <v>37600</v>
      </c>
      <c r="J45" s="38">
        <f t="shared" si="30"/>
        <v>50016</v>
      </c>
      <c r="K45" s="38">
        <f t="shared" si="30"/>
        <v>144000</v>
      </c>
      <c r="L45" s="38">
        <f t="shared" si="30"/>
        <v>96000</v>
      </c>
      <c r="M45" s="38">
        <f t="shared" si="30"/>
        <v>33100</v>
      </c>
      <c r="N45" s="51">
        <f t="shared" si="1"/>
        <v>563260.80000000005</v>
      </c>
      <c r="O45" s="39"/>
    </row>
    <row r="46" spans="1:15" ht="14.1" customHeight="1">
      <c r="A46" s="35" t="s">
        <v>116</v>
      </c>
      <c r="B46" s="36" t="s">
        <v>364</v>
      </c>
      <c r="C46" s="36"/>
      <c r="D46" s="37" t="s">
        <v>21</v>
      </c>
      <c r="E46" s="38">
        <f>E47+E48</f>
        <v>164160</v>
      </c>
      <c r="F46" s="38">
        <f t="shared" ref="F46:M46" si="31">F47+F48</f>
        <v>25920</v>
      </c>
      <c r="G46" s="38">
        <f t="shared" si="31"/>
        <v>1153440</v>
      </c>
      <c r="H46" s="38">
        <f t="shared" si="31"/>
        <v>194400</v>
      </c>
      <c r="I46" s="38">
        <f t="shared" si="31"/>
        <v>216000</v>
      </c>
      <c r="J46" s="38">
        <f t="shared" si="31"/>
        <v>47520</v>
      </c>
      <c r="K46" s="38">
        <f t="shared" si="31"/>
        <v>1321920</v>
      </c>
      <c r="L46" s="38">
        <f t="shared" si="31"/>
        <v>851040</v>
      </c>
      <c r="M46" s="38">
        <f t="shared" si="31"/>
        <v>315360</v>
      </c>
      <c r="N46" s="51">
        <f t="shared" si="1"/>
        <v>4289760</v>
      </c>
      <c r="O46" s="39"/>
    </row>
    <row r="47" spans="1:15" s="2" customFormat="1" ht="14.1" customHeight="1">
      <c r="A47" s="35" t="s">
        <v>118</v>
      </c>
      <c r="B47" s="42" t="s">
        <v>365</v>
      </c>
      <c r="C47" s="42" t="s">
        <v>27</v>
      </c>
      <c r="D47" s="48" t="s">
        <v>124</v>
      </c>
      <c r="E47" s="38">
        <f t="shared" ref="E47:M47" si="32">E60*4320</f>
        <v>116640</v>
      </c>
      <c r="F47" s="38">
        <f t="shared" si="32"/>
        <v>25920</v>
      </c>
      <c r="G47" s="38">
        <f t="shared" si="32"/>
        <v>635040</v>
      </c>
      <c r="H47" s="38">
        <f t="shared" si="32"/>
        <v>185760</v>
      </c>
      <c r="I47" s="38">
        <f t="shared" si="32"/>
        <v>155520</v>
      </c>
      <c r="J47" s="38">
        <f t="shared" si="32"/>
        <v>30240</v>
      </c>
      <c r="K47" s="38">
        <f t="shared" si="32"/>
        <v>626400</v>
      </c>
      <c r="L47" s="38">
        <f t="shared" si="32"/>
        <v>501120</v>
      </c>
      <c r="M47" s="38">
        <f t="shared" si="32"/>
        <v>259200</v>
      </c>
      <c r="N47" s="51">
        <f t="shared" si="1"/>
        <v>2535840</v>
      </c>
      <c r="O47" s="39"/>
    </row>
    <row r="48" spans="1:15" s="2" customFormat="1" ht="14.1" customHeight="1">
      <c r="A48" s="35" t="s">
        <v>121</v>
      </c>
      <c r="B48" s="42" t="s">
        <v>366</v>
      </c>
      <c r="C48" s="42" t="s">
        <v>27</v>
      </c>
      <c r="D48" s="48" t="s">
        <v>367</v>
      </c>
      <c r="E48" s="38">
        <f t="shared" ref="E48:M48" si="33">E70*4320</f>
        <v>47520</v>
      </c>
      <c r="F48" s="38">
        <f t="shared" si="33"/>
        <v>0</v>
      </c>
      <c r="G48" s="38">
        <f t="shared" si="33"/>
        <v>518400</v>
      </c>
      <c r="H48" s="38">
        <f t="shared" si="33"/>
        <v>8640</v>
      </c>
      <c r="I48" s="38">
        <f t="shared" si="33"/>
        <v>60480</v>
      </c>
      <c r="J48" s="38">
        <f t="shared" si="33"/>
        <v>17280</v>
      </c>
      <c r="K48" s="38">
        <f t="shared" si="33"/>
        <v>695520</v>
      </c>
      <c r="L48" s="38">
        <f t="shared" si="33"/>
        <v>349920</v>
      </c>
      <c r="M48" s="38">
        <f t="shared" si="33"/>
        <v>56160</v>
      </c>
      <c r="N48" s="51">
        <f t="shared" si="1"/>
        <v>1753920</v>
      </c>
      <c r="O48" s="39"/>
    </row>
    <row r="49" spans="1:15" ht="14.1" customHeight="1">
      <c r="A49" s="35" t="s">
        <v>123</v>
      </c>
      <c r="B49" s="36" t="s">
        <v>368</v>
      </c>
      <c r="C49" s="36"/>
      <c r="D49" s="37" t="s">
        <v>21</v>
      </c>
      <c r="E49" s="38">
        <f>E50</f>
        <v>116691.43</v>
      </c>
      <c r="F49" s="38">
        <f t="shared" ref="F49:M49" si="34">F50</f>
        <v>24922.29</v>
      </c>
      <c r="G49" s="38">
        <f t="shared" si="34"/>
        <v>726144</v>
      </c>
      <c r="H49" s="38">
        <f t="shared" si="34"/>
        <v>187121.14</v>
      </c>
      <c r="I49" s="38">
        <f t="shared" si="34"/>
        <v>154025.14000000001</v>
      </c>
      <c r="J49" s="38">
        <f t="shared" si="34"/>
        <v>37762.29</v>
      </c>
      <c r="K49" s="38">
        <f t="shared" si="34"/>
        <v>743574.86</v>
      </c>
      <c r="L49" s="38">
        <f t="shared" si="34"/>
        <v>595714.29</v>
      </c>
      <c r="M49" s="38">
        <f t="shared" si="34"/>
        <v>257496</v>
      </c>
      <c r="N49" s="51">
        <f t="shared" si="1"/>
        <v>2843451.44</v>
      </c>
      <c r="O49" s="39"/>
    </row>
    <row r="50" spans="1:15" s="2" customFormat="1" ht="14.1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116691.43</v>
      </c>
      <c r="F50" s="38">
        <f t="shared" ref="F50:M50" si="35">ROUND(F30/0.07*0.02,2)</f>
        <v>24922.29</v>
      </c>
      <c r="G50" s="38">
        <f t="shared" si="35"/>
        <v>726144</v>
      </c>
      <c r="H50" s="38">
        <f t="shared" si="35"/>
        <v>187121.14</v>
      </c>
      <c r="I50" s="38">
        <f t="shared" si="35"/>
        <v>154025.14000000001</v>
      </c>
      <c r="J50" s="38">
        <f t="shared" si="35"/>
        <v>37762.29</v>
      </c>
      <c r="K50" s="38">
        <f t="shared" si="35"/>
        <v>743574.86</v>
      </c>
      <c r="L50" s="38">
        <f t="shared" si="35"/>
        <v>595714.29</v>
      </c>
      <c r="M50" s="38">
        <f t="shared" si="35"/>
        <v>257496</v>
      </c>
      <c r="N50" s="51">
        <f t="shared" si="1"/>
        <v>2843451.44</v>
      </c>
      <c r="O50" s="39"/>
    </row>
    <row r="51" spans="1:15" ht="14.1" customHeight="1">
      <c r="A51" s="35" t="s">
        <v>126</v>
      </c>
      <c r="B51" s="36" t="s">
        <v>369</v>
      </c>
      <c r="C51" s="36"/>
      <c r="D51" s="37" t="s">
        <v>21</v>
      </c>
      <c r="E51" s="38">
        <f>E52</f>
        <v>0</v>
      </c>
      <c r="F51" s="38">
        <f t="shared" ref="F51:M51" si="36">F52</f>
        <v>0</v>
      </c>
      <c r="G51" s="38">
        <f t="shared" si="36"/>
        <v>64000</v>
      </c>
      <c r="H51" s="38">
        <f t="shared" si="36"/>
        <v>0</v>
      </c>
      <c r="I51" s="38">
        <f t="shared" si="36"/>
        <v>0</v>
      </c>
      <c r="J51" s="38">
        <f t="shared" si="36"/>
        <v>0</v>
      </c>
      <c r="K51" s="38">
        <f t="shared" si="36"/>
        <v>32000</v>
      </c>
      <c r="L51" s="38">
        <f t="shared" si="36"/>
        <v>25000</v>
      </c>
      <c r="M51" s="38">
        <f t="shared" si="36"/>
        <v>0</v>
      </c>
      <c r="N51" s="51">
        <f t="shared" si="1"/>
        <v>121000</v>
      </c>
      <c r="O51" s="39"/>
    </row>
    <row r="52" spans="1:15" ht="14.1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40"/>
      <c r="G52" s="40">
        <v>64000</v>
      </c>
      <c r="H52" s="40"/>
      <c r="I52" s="40"/>
      <c r="J52" s="40"/>
      <c r="K52" s="40">
        <v>32000</v>
      </c>
      <c r="L52" s="168">
        <f>32000-7000</f>
        <v>25000</v>
      </c>
      <c r="M52" s="40"/>
      <c r="N52" s="51">
        <f t="shared" si="1"/>
        <v>121000</v>
      </c>
      <c r="O52" s="39"/>
    </row>
    <row r="53" spans="1:15" ht="14.1" customHeight="1">
      <c r="A53" s="35" t="s">
        <v>130</v>
      </c>
      <c r="B53" s="36" t="s">
        <v>413</v>
      </c>
      <c r="C53" s="36"/>
      <c r="D53" s="37" t="s">
        <v>21</v>
      </c>
      <c r="E53" s="38">
        <f>E54</f>
        <v>4400</v>
      </c>
      <c r="F53" s="38">
        <f t="shared" ref="F53:M53" si="37">F54</f>
        <v>0</v>
      </c>
      <c r="G53" s="38">
        <f t="shared" si="37"/>
        <v>48000</v>
      </c>
      <c r="H53" s="38">
        <f t="shared" si="37"/>
        <v>800</v>
      </c>
      <c r="I53" s="38">
        <f t="shared" si="37"/>
        <v>5600</v>
      </c>
      <c r="J53" s="38">
        <f t="shared" si="37"/>
        <v>1600</v>
      </c>
      <c r="K53" s="38">
        <f t="shared" si="37"/>
        <v>64400</v>
      </c>
      <c r="L53" s="38">
        <f t="shared" si="37"/>
        <v>32400</v>
      </c>
      <c r="M53" s="38">
        <f t="shared" si="37"/>
        <v>5200</v>
      </c>
      <c r="N53" s="51">
        <f t="shared" si="1"/>
        <v>162400</v>
      </c>
      <c r="O53" s="39"/>
    </row>
    <row r="54" spans="1:15" s="2" customFormat="1" ht="14.1" customHeight="1">
      <c r="A54" s="35" t="s">
        <v>131</v>
      </c>
      <c r="B54" s="42" t="s">
        <v>414</v>
      </c>
      <c r="C54" s="42" t="s">
        <v>27</v>
      </c>
      <c r="D54" s="48" t="s">
        <v>370</v>
      </c>
      <c r="E54" s="38">
        <f t="shared" ref="E54:M54" si="38">E70*400</f>
        <v>4400</v>
      </c>
      <c r="F54" s="38">
        <f t="shared" si="38"/>
        <v>0</v>
      </c>
      <c r="G54" s="38">
        <f t="shared" si="38"/>
        <v>48000</v>
      </c>
      <c r="H54" s="38">
        <f t="shared" si="38"/>
        <v>800</v>
      </c>
      <c r="I54" s="38">
        <f t="shared" si="38"/>
        <v>5600</v>
      </c>
      <c r="J54" s="38">
        <f t="shared" si="38"/>
        <v>1600</v>
      </c>
      <c r="K54" s="38">
        <f t="shared" si="38"/>
        <v>64400</v>
      </c>
      <c r="L54" s="38">
        <f t="shared" si="38"/>
        <v>32400</v>
      </c>
      <c r="M54" s="38">
        <f t="shared" si="38"/>
        <v>5200</v>
      </c>
      <c r="N54" s="51">
        <f t="shared" si="1"/>
        <v>162400</v>
      </c>
      <c r="O54" s="39"/>
    </row>
    <row r="55" spans="1:15" s="2" customFormat="1" ht="14.1" customHeight="1">
      <c r="A55" s="35" t="s">
        <v>134</v>
      </c>
      <c r="B55" s="36" t="s">
        <v>371</v>
      </c>
      <c r="C55" s="42"/>
      <c r="D55" s="48"/>
      <c r="E55" s="38">
        <f>E56</f>
        <v>300</v>
      </c>
      <c r="F55" s="38">
        <f t="shared" ref="F55:M55" si="39">F56</f>
        <v>0</v>
      </c>
      <c r="G55" s="38">
        <f t="shared" si="39"/>
        <v>3000</v>
      </c>
      <c r="H55" s="38">
        <f t="shared" si="39"/>
        <v>1700</v>
      </c>
      <c r="I55" s="38">
        <f t="shared" si="39"/>
        <v>3000</v>
      </c>
      <c r="J55" s="38">
        <f t="shared" si="39"/>
        <v>0</v>
      </c>
      <c r="K55" s="38">
        <f t="shared" si="39"/>
        <v>0</v>
      </c>
      <c r="L55" s="38">
        <f t="shared" si="39"/>
        <v>3000</v>
      </c>
      <c r="M55" s="38">
        <f t="shared" si="39"/>
        <v>3000</v>
      </c>
      <c r="N55" s="51">
        <f t="shared" si="1"/>
        <v>14000</v>
      </c>
      <c r="O55" s="39"/>
    </row>
    <row r="56" spans="1:15" ht="14.1" customHeight="1">
      <c r="A56" s="35" t="s">
        <v>135</v>
      </c>
      <c r="B56" s="36" t="s">
        <v>372</v>
      </c>
      <c r="C56" s="36" t="s">
        <v>27</v>
      </c>
      <c r="D56" s="47" t="s">
        <v>140</v>
      </c>
      <c r="E56" s="49">
        <v>300</v>
      </c>
      <c r="F56" s="49"/>
      <c r="G56" s="49">
        <v>3000</v>
      </c>
      <c r="H56" s="49">
        <v>1700</v>
      </c>
      <c r="I56" s="49">
        <v>3000</v>
      </c>
      <c r="J56" s="49"/>
      <c r="K56" s="49"/>
      <c r="L56" s="49">
        <v>3000</v>
      </c>
      <c r="M56" s="49">
        <v>3000</v>
      </c>
      <c r="N56" s="51">
        <f t="shared" si="1"/>
        <v>14000</v>
      </c>
      <c r="O56" s="44"/>
    </row>
    <row r="57" spans="1:15" ht="14.1" customHeight="1">
      <c r="A57" s="35" t="s">
        <v>136</v>
      </c>
      <c r="B57" s="36" t="s">
        <v>373</v>
      </c>
      <c r="C57" s="36"/>
      <c r="D57" s="37" t="s">
        <v>21</v>
      </c>
      <c r="E57" s="38">
        <f>E58</f>
        <v>32000</v>
      </c>
      <c r="F57" s="38">
        <f t="shared" ref="F57:M57" si="40">F58</f>
        <v>32000</v>
      </c>
      <c r="G57" s="38">
        <f t="shared" si="40"/>
        <v>0</v>
      </c>
      <c r="H57" s="38">
        <f t="shared" si="40"/>
        <v>32000</v>
      </c>
      <c r="I57" s="38">
        <f t="shared" si="40"/>
        <v>32000</v>
      </c>
      <c r="J57" s="38">
        <f t="shared" si="40"/>
        <v>32000</v>
      </c>
      <c r="K57" s="38">
        <f t="shared" si="40"/>
        <v>0</v>
      </c>
      <c r="L57" s="38">
        <f t="shared" si="40"/>
        <v>0</v>
      </c>
      <c r="M57" s="38">
        <f t="shared" si="40"/>
        <v>32000</v>
      </c>
      <c r="N57" s="51">
        <f t="shared" si="1"/>
        <v>192000</v>
      </c>
      <c r="O57" s="39"/>
    </row>
    <row r="58" spans="1:15" ht="14.1" customHeight="1" thickBot="1">
      <c r="A58" s="35" t="s">
        <v>139</v>
      </c>
      <c r="B58" s="4" t="s">
        <v>143</v>
      </c>
      <c r="C58" s="36" t="s">
        <v>27</v>
      </c>
      <c r="D58" s="5" t="s">
        <v>374</v>
      </c>
      <c r="E58" s="6">
        <v>32000</v>
      </c>
      <c r="F58" s="6">
        <v>32000</v>
      </c>
      <c r="G58" s="6"/>
      <c r="H58" s="6">
        <v>32000</v>
      </c>
      <c r="I58" s="6">
        <v>32000</v>
      </c>
      <c r="J58" s="6">
        <v>32000</v>
      </c>
      <c r="K58" s="6"/>
      <c r="L58" s="6"/>
      <c r="M58" s="6">
        <v>32000</v>
      </c>
      <c r="N58" s="51">
        <f t="shared" si="1"/>
        <v>192000</v>
      </c>
      <c r="O58" s="8"/>
    </row>
    <row r="59" spans="1:15" ht="14.1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51">
        <f t="shared" si="1"/>
        <v>0</v>
      </c>
      <c r="O59" s="12"/>
    </row>
    <row r="60" spans="1:15" ht="14.1" customHeight="1">
      <c r="A60" s="35" t="s">
        <v>142</v>
      </c>
      <c r="B60" s="36" t="s">
        <v>147</v>
      </c>
      <c r="C60" s="36"/>
      <c r="D60" s="37" t="s">
        <v>375</v>
      </c>
      <c r="E60" s="38">
        <f>E61+E62+E63+E64</f>
        <v>27</v>
      </c>
      <c r="F60" s="38">
        <f t="shared" ref="F60:M60" si="41">F61+F62+F63+F64</f>
        <v>6</v>
      </c>
      <c r="G60" s="38">
        <f t="shared" si="41"/>
        <v>147</v>
      </c>
      <c r="H60" s="38">
        <f t="shared" si="41"/>
        <v>43</v>
      </c>
      <c r="I60" s="38">
        <f t="shared" si="41"/>
        <v>36</v>
      </c>
      <c r="J60" s="38">
        <f t="shared" si="41"/>
        <v>7</v>
      </c>
      <c r="K60" s="38">
        <f t="shared" si="41"/>
        <v>145</v>
      </c>
      <c r="L60" s="38">
        <f t="shared" si="41"/>
        <v>116</v>
      </c>
      <c r="M60" s="38">
        <f t="shared" si="41"/>
        <v>60</v>
      </c>
      <c r="N60" s="51">
        <f t="shared" si="1"/>
        <v>587</v>
      </c>
      <c r="O60" s="39"/>
    </row>
    <row r="61" spans="1:15" ht="14.1" customHeight="1">
      <c r="A61" s="35" t="s">
        <v>144</v>
      </c>
      <c r="B61" s="50" t="s">
        <v>149</v>
      </c>
      <c r="C61" s="50"/>
      <c r="D61" s="44"/>
      <c r="E61" s="45"/>
      <c r="F61" s="45"/>
      <c r="G61" s="45">
        <v>66</v>
      </c>
      <c r="H61" s="45"/>
      <c r="I61" s="45"/>
      <c r="J61" s="45"/>
      <c r="K61" s="45">
        <v>75</v>
      </c>
      <c r="L61" s="45">
        <v>54</v>
      </c>
      <c r="M61" s="45"/>
      <c r="N61" s="51">
        <f t="shared" si="1"/>
        <v>195</v>
      </c>
      <c r="O61" s="39"/>
    </row>
    <row r="62" spans="1:15" ht="14.1" customHeight="1">
      <c r="A62" s="35" t="s">
        <v>146</v>
      </c>
      <c r="B62" s="50" t="s">
        <v>151</v>
      </c>
      <c r="C62" s="50"/>
      <c r="D62" s="37"/>
      <c r="E62" s="40"/>
      <c r="F62" s="40"/>
      <c r="G62" s="40">
        <v>81</v>
      </c>
      <c r="H62" s="40"/>
      <c r="I62" s="40"/>
      <c r="J62" s="40"/>
      <c r="K62" s="40">
        <v>70</v>
      </c>
      <c r="L62" s="40">
        <v>62</v>
      </c>
      <c r="M62" s="40"/>
      <c r="N62" s="51">
        <f t="shared" si="1"/>
        <v>213</v>
      </c>
      <c r="O62" s="39"/>
    </row>
    <row r="63" spans="1:15" ht="14.1" customHeight="1">
      <c r="A63" s="35" t="s">
        <v>148</v>
      </c>
      <c r="B63" s="50" t="s">
        <v>153</v>
      </c>
      <c r="C63" s="50"/>
      <c r="D63" s="44"/>
      <c r="E63" s="45">
        <v>27</v>
      </c>
      <c r="F63" s="45">
        <v>6</v>
      </c>
      <c r="G63" s="45"/>
      <c r="H63" s="45">
        <v>43</v>
      </c>
      <c r="I63" s="45">
        <v>36</v>
      </c>
      <c r="J63" s="45"/>
      <c r="K63" s="45"/>
      <c r="L63" s="45"/>
      <c r="M63" s="45">
        <v>60</v>
      </c>
      <c r="N63" s="51">
        <f t="shared" si="1"/>
        <v>172</v>
      </c>
      <c r="O63" s="39"/>
    </row>
    <row r="64" spans="1:15" ht="14.1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>
        <v>7</v>
      </c>
      <c r="K64" s="45"/>
      <c r="L64" s="45"/>
      <c r="M64" s="45"/>
      <c r="N64" s="51">
        <f t="shared" si="1"/>
        <v>7</v>
      </c>
      <c r="O64" s="39"/>
    </row>
    <row r="65" spans="1:15" ht="14.1" customHeight="1">
      <c r="A65" s="35" t="s">
        <v>152</v>
      </c>
      <c r="B65" s="36" t="s">
        <v>157</v>
      </c>
      <c r="C65" s="36"/>
      <c r="D65" s="37" t="s">
        <v>376</v>
      </c>
      <c r="E65" s="38">
        <f>E66+E67+E68+E69</f>
        <v>316</v>
      </c>
      <c r="F65" s="38">
        <f t="shared" ref="F65:M65" si="42">F66+F67+F68+F69</f>
        <v>85</v>
      </c>
      <c r="G65" s="38">
        <f t="shared" si="42"/>
        <v>2284</v>
      </c>
      <c r="H65" s="38">
        <f t="shared" si="42"/>
        <v>526</v>
      </c>
      <c r="I65" s="38">
        <f t="shared" si="42"/>
        <v>421</v>
      </c>
      <c r="J65" s="38">
        <f t="shared" si="42"/>
        <v>0</v>
      </c>
      <c r="K65" s="38">
        <f t="shared" si="42"/>
        <v>2447</v>
      </c>
      <c r="L65" s="38">
        <f t="shared" si="42"/>
        <v>1382</v>
      </c>
      <c r="M65" s="38">
        <f t="shared" si="42"/>
        <v>717</v>
      </c>
      <c r="N65" s="51">
        <f t="shared" si="1"/>
        <v>8178</v>
      </c>
      <c r="O65" s="39"/>
    </row>
    <row r="66" spans="1:15" ht="14.1" customHeight="1">
      <c r="A66" s="35" t="s">
        <v>154</v>
      </c>
      <c r="B66" s="50" t="s">
        <v>149</v>
      </c>
      <c r="C66" s="50"/>
      <c r="D66" s="44"/>
      <c r="E66" s="45"/>
      <c r="F66" s="45"/>
      <c r="G66" s="45">
        <v>995</v>
      </c>
      <c r="H66" s="45"/>
      <c r="I66" s="45"/>
      <c r="J66" s="45"/>
      <c r="K66" s="45">
        <v>1020</v>
      </c>
      <c r="L66" s="45">
        <v>690</v>
      </c>
      <c r="M66" s="45"/>
      <c r="N66" s="51">
        <f t="shared" si="1"/>
        <v>2705</v>
      </c>
      <c r="O66" s="39"/>
    </row>
    <row r="67" spans="1:15" ht="14.1" customHeight="1">
      <c r="A67" s="35" t="s">
        <v>156</v>
      </c>
      <c r="B67" s="50" t="s">
        <v>151</v>
      </c>
      <c r="C67" s="50"/>
      <c r="D67" s="37"/>
      <c r="E67" s="40"/>
      <c r="F67" s="40"/>
      <c r="G67" s="40">
        <v>1289</v>
      </c>
      <c r="H67" s="40"/>
      <c r="I67" s="40"/>
      <c r="J67" s="40"/>
      <c r="K67" s="40">
        <v>1427</v>
      </c>
      <c r="L67" s="40">
        <v>692</v>
      </c>
      <c r="M67" s="40"/>
      <c r="N67" s="51">
        <f t="shared" si="1"/>
        <v>3408</v>
      </c>
      <c r="O67" s="39"/>
    </row>
    <row r="68" spans="1:15" ht="14.1" customHeight="1">
      <c r="A68" s="35" t="s">
        <v>158</v>
      </c>
      <c r="B68" s="50" t="s">
        <v>153</v>
      </c>
      <c r="C68" s="50"/>
      <c r="D68" s="44"/>
      <c r="E68" s="45">
        <v>316</v>
      </c>
      <c r="F68" s="45">
        <v>85</v>
      </c>
      <c r="G68" s="45"/>
      <c r="H68" s="45">
        <v>526</v>
      </c>
      <c r="I68" s="45">
        <v>421</v>
      </c>
      <c r="J68" s="45"/>
      <c r="K68" s="45"/>
      <c r="L68" s="45"/>
      <c r="M68" s="45">
        <v>717</v>
      </c>
      <c r="N68" s="51">
        <f t="shared" ref="N68:N72" si="43">SUM(E68:M68)</f>
        <v>2065</v>
      </c>
      <c r="O68" s="39"/>
    </row>
    <row r="69" spans="1:15" ht="14.1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51">
        <f t="shared" si="43"/>
        <v>0</v>
      </c>
      <c r="O69" s="39"/>
    </row>
    <row r="70" spans="1:15" ht="14.1" customHeight="1">
      <c r="A70" s="35" t="s">
        <v>160</v>
      </c>
      <c r="B70" s="36" t="s">
        <v>377</v>
      </c>
      <c r="C70" s="36"/>
      <c r="D70" s="37"/>
      <c r="E70" s="40">
        <v>11</v>
      </c>
      <c r="F70" s="40"/>
      <c r="G70" s="40">
        <v>120</v>
      </c>
      <c r="H70" s="40">
        <v>2</v>
      </c>
      <c r="I70" s="40">
        <v>14</v>
      </c>
      <c r="J70" s="40">
        <v>4</v>
      </c>
      <c r="K70" s="40">
        <v>161</v>
      </c>
      <c r="L70" s="40">
        <v>81</v>
      </c>
      <c r="M70" s="40">
        <v>13</v>
      </c>
      <c r="N70" s="51">
        <f t="shared" si="43"/>
        <v>406</v>
      </c>
      <c r="O70" s="39"/>
    </row>
    <row r="71" spans="1:15" ht="14.1" customHeight="1">
      <c r="A71" s="35" t="s">
        <v>161</v>
      </c>
      <c r="B71" s="50" t="s">
        <v>378</v>
      </c>
      <c r="C71" s="50"/>
      <c r="D71" s="47"/>
      <c r="E71" s="40">
        <v>4271.24</v>
      </c>
      <c r="F71" s="40">
        <v>7998</v>
      </c>
      <c r="G71" s="40">
        <v>29104.5</v>
      </c>
      <c r="H71" s="40">
        <v>10862.56</v>
      </c>
      <c r="I71" s="40">
        <v>6516.65</v>
      </c>
      <c r="J71" s="40">
        <v>2216</v>
      </c>
      <c r="K71" s="55">
        <v>18768.27</v>
      </c>
      <c r="L71" s="55">
        <v>11615</v>
      </c>
      <c r="M71" s="40">
        <v>7862.42</v>
      </c>
      <c r="N71" s="51">
        <f t="shared" si="43"/>
        <v>99214.64</v>
      </c>
      <c r="O71" s="39"/>
    </row>
    <row r="72" spans="1:15" ht="14.1" customHeight="1">
      <c r="A72" s="35" t="s">
        <v>162</v>
      </c>
      <c r="B72" s="50" t="s">
        <v>379</v>
      </c>
      <c r="C72" s="50"/>
      <c r="D72" s="47"/>
      <c r="E72" s="40">
        <v>2987.3</v>
      </c>
      <c r="F72" s="40">
        <v>3459</v>
      </c>
      <c r="G72" s="40">
        <v>12612.6</v>
      </c>
      <c r="H72" s="40">
        <v>6259.2</v>
      </c>
      <c r="I72" s="40">
        <v>4700</v>
      </c>
      <c r="J72" s="40">
        <v>6252</v>
      </c>
      <c r="K72" s="55">
        <v>18000</v>
      </c>
      <c r="L72" s="55">
        <v>12000</v>
      </c>
      <c r="M72" s="40">
        <v>4137.5</v>
      </c>
      <c r="N72" s="51">
        <f t="shared" si="43"/>
        <v>70407.600000000006</v>
      </c>
      <c r="O72" s="39"/>
    </row>
  </sheetData>
  <protectedRanges>
    <protectedRange password="E9C1" sqref="D30 C31 A5:D6 B7:D29 A2:O2 N5:O72 B32:D72 A7:A72 A4:O4 A3:D3 N3:O3" name="区域1_1"/>
    <protectedRange password="E9C1" sqref="B30:C30 B31" name="区域1_1_1"/>
    <protectedRange password="E9C1" sqref="D31" name="区域1_2"/>
  </protectedRanges>
  <mergeCells count="7">
    <mergeCell ref="A1:O1"/>
    <mergeCell ref="A2:A3"/>
    <mergeCell ref="B2:B3"/>
    <mergeCell ref="C2:C3"/>
    <mergeCell ref="D2:D3"/>
    <mergeCell ref="N2:N3"/>
    <mergeCell ref="O2:O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T83"/>
  <sheetViews>
    <sheetView topLeftCell="B25" workbookViewId="0">
      <selection activeCell="H52" sqref="H52"/>
    </sheetView>
  </sheetViews>
  <sheetFormatPr defaultColWidth="12.625" defaultRowHeight="11.25"/>
  <cols>
    <col min="1" max="1" width="4.5" style="21" customWidth="1"/>
    <col min="2" max="2" width="23.5" style="3" customWidth="1"/>
    <col min="3" max="3" width="11.875" style="3" hidden="1" customWidth="1"/>
    <col min="4" max="4" width="8.125" style="22" hidden="1" customWidth="1"/>
    <col min="5" max="19" width="11.625" style="3" customWidth="1"/>
    <col min="20" max="20" width="11.625" style="23" customWidth="1"/>
    <col min="21" max="16384" width="12.625" style="3"/>
  </cols>
  <sheetData>
    <row r="1" spans="1:20" ht="25.5">
      <c r="A1" s="360" t="s">
        <v>415</v>
      </c>
      <c r="B1" s="361"/>
      <c r="C1" s="361"/>
      <c r="D1" s="361"/>
      <c r="E1" s="361"/>
      <c r="F1" s="361"/>
      <c r="G1" s="361"/>
      <c r="H1" s="361"/>
      <c r="I1" s="361"/>
      <c r="J1" s="361"/>
      <c r="K1" s="361"/>
      <c r="L1" s="361"/>
      <c r="M1" s="361"/>
      <c r="N1" s="361"/>
      <c r="O1" s="361"/>
      <c r="P1" s="361"/>
      <c r="Q1" s="361"/>
      <c r="R1" s="361"/>
      <c r="S1" s="361"/>
      <c r="T1" s="361"/>
    </row>
    <row r="2" spans="1:20" ht="20.100000000000001" customHeight="1">
      <c r="A2" s="363" t="s">
        <v>12</v>
      </c>
      <c r="B2" s="363" t="s">
        <v>13</v>
      </c>
      <c r="C2" s="363" t="s">
        <v>14</v>
      </c>
      <c r="D2" s="363" t="s">
        <v>15</v>
      </c>
      <c r="E2" s="54" t="s">
        <v>176</v>
      </c>
      <c r="F2" s="54" t="s">
        <v>177</v>
      </c>
      <c r="G2" s="54" t="s">
        <v>178</v>
      </c>
      <c r="H2" s="54" t="s">
        <v>179</v>
      </c>
      <c r="I2" s="54" t="s">
        <v>180</v>
      </c>
      <c r="J2" s="54" t="s">
        <v>181</v>
      </c>
      <c r="K2" s="54" t="s">
        <v>182</v>
      </c>
      <c r="L2" s="54" t="s">
        <v>183</v>
      </c>
      <c r="M2" s="54" t="s">
        <v>184</v>
      </c>
      <c r="N2" s="54" t="s">
        <v>185</v>
      </c>
      <c r="O2" s="54" t="s">
        <v>186</v>
      </c>
      <c r="P2" s="54" t="s">
        <v>187</v>
      </c>
      <c r="Q2" s="54" t="s">
        <v>416</v>
      </c>
      <c r="R2" s="54" t="s">
        <v>417</v>
      </c>
      <c r="S2" s="54" t="s">
        <v>418</v>
      </c>
      <c r="T2" s="363" t="s">
        <v>17</v>
      </c>
    </row>
    <row r="3" spans="1:20" ht="20.100000000000001" customHeight="1">
      <c r="A3" s="364"/>
      <c r="B3" s="364"/>
      <c r="C3" s="364"/>
      <c r="D3" s="364"/>
      <c r="E3" s="54" t="s">
        <v>464</v>
      </c>
      <c r="F3" s="54" t="s">
        <v>464</v>
      </c>
      <c r="G3" s="54" t="s">
        <v>463</v>
      </c>
      <c r="H3" s="54" t="s">
        <v>463</v>
      </c>
      <c r="I3" s="54" t="s">
        <v>463</v>
      </c>
      <c r="J3" s="54" t="s">
        <v>463</v>
      </c>
      <c r="K3" s="54" t="s">
        <v>460</v>
      </c>
      <c r="L3" s="54" t="s">
        <v>460</v>
      </c>
      <c r="M3" s="54" t="s">
        <v>460</v>
      </c>
      <c r="N3" s="54" t="s">
        <v>460</v>
      </c>
      <c r="O3" s="54" t="s">
        <v>462</v>
      </c>
      <c r="P3" s="54" t="s">
        <v>461</v>
      </c>
      <c r="Q3" s="54" t="s">
        <v>460</v>
      </c>
      <c r="R3" s="54" t="s">
        <v>464</v>
      </c>
      <c r="S3" s="54" t="s">
        <v>460</v>
      </c>
      <c r="T3" s="364"/>
    </row>
    <row r="4" spans="1:20" ht="20.100000000000001" customHeight="1">
      <c r="A4" s="56" t="s">
        <v>19</v>
      </c>
      <c r="B4" s="57" t="s">
        <v>20</v>
      </c>
      <c r="C4" s="57"/>
      <c r="D4" s="58" t="s">
        <v>21</v>
      </c>
      <c r="E4" s="51">
        <f t="shared" ref="E4:S4" si="0">E5+E32+E37</f>
        <v>54543098</v>
      </c>
      <c r="F4" s="51">
        <f t="shared" si="0"/>
        <v>33998741.420000002</v>
      </c>
      <c r="G4" s="51">
        <f t="shared" si="0"/>
        <v>35345707.850000001</v>
      </c>
      <c r="H4" s="51">
        <f t="shared" si="0"/>
        <v>37169830.579999998</v>
      </c>
      <c r="I4" s="51">
        <f t="shared" si="0"/>
        <v>81358433.019999996</v>
      </c>
      <c r="J4" s="51">
        <f t="shared" si="0"/>
        <v>24678234.799999997</v>
      </c>
      <c r="K4" s="51">
        <f t="shared" si="0"/>
        <v>21121154.180000003</v>
      </c>
      <c r="L4" s="51">
        <f t="shared" si="0"/>
        <v>18230312.050000001</v>
      </c>
      <c r="M4" s="51">
        <f t="shared" si="0"/>
        <v>15264764.600000001</v>
      </c>
      <c r="N4" s="51">
        <f t="shared" si="0"/>
        <v>16255652.65</v>
      </c>
      <c r="O4" s="51">
        <f t="shared" si="0"/>
        <v>57176650.079999998</v>
      </c>
      <c r="P4" s="51">
        <f t="shared" si="0"/>
        <v>2168252.27</v>
      </c>
      <c r="Q4" s="51">
        <f t="shared" si="0"/>
        <v>6255688.7299999995</v>
      </c>
      <c r="R4" s="51">
        <f t="shared" si="0"/>
        <v>37264985.280000001</v>
      </c>
      <c r="S4" s="51">
        <f t="shared" si="0"/>
        <v>11821625.379999999</v>
      </c>
      <c r="T4" s="59">
        <f>SUM(E4:S4)</f>
        <v>452653130.88999999</v>
      </c>
    </row>
    <row r="5" spans="1:20" ht="20.100000000000001" customHeight="1">
      <c r="A5" s="56" t="s">
        <v>22</v>
      </c>
      <c r="B5" s="57" t="s">
        <v>0</v>
      </c>
      <c r="C5" s="57"/>
      <c r="D5" s="58" t="s">
        <v>21</v>
      </c>
      <c r="E5" s="51">
        <f>E6+E9+E13+E16+E21+E26+E28+E30+E31</f>
        <v>44642376</v>
      </c>
      <c r="F5" s="51">
        <f t="shared" ref="F5:S5" si="1">F6+F9+F13+F16+F21+F26+F28+F30+F31</f>
        <v>28039746.850000001</v>
      </c>
      <c r="G5" s="51">
        <f t="shared" si="1"/>
        <v>29046767.710000001</v>
      </c>
      <c r="H5" s="51">
        <f t="shared" si="1"/>
        <v>31542499.149999999</v>
      </c>
      <c r="I5" s="51">
        <f t="shared" si="1"/>
        <v>68203284.849999994</v>
      </c>
      <c r="J5" s="51">
        <f t="shared" si="1"/>
        <v>20988874.289999999</v>
      </c>
      <c r="K5" s="51">
        <f t="shared" si="1"/>
        <v>18041181.150000002</v>
      </c>
      <c r="L5" s="51">
        <f t="shared" si="1"/>
        <v>14440029.710000001</v>
      </c>
      <c r="M5" s="51">
        <f t="shared" si="1"/>
        <v>12796217.710000001</v>
      </c>
      <c r="N5" s="51">
        <f t="shared" si="1"/>
        <v>13983989.710000001</v>
      </c>
      <c r="O5" s="51">
        <f t="shared" si="1"/>
        <v>48615909.439999998</v>
      </c>
      <c r="P5" s="51">
        <f t="shared" si="1"/>
        <v>1844086.5599999998</v>
      </c>
      <c r="Q5" s="51">
        <f t="shared" si="1"/>
        <v>5140763.4399999995</v>
      </c>
      <c r="R5" s="51">
        <f t="shared" si="1"/>
        <v>31125677.149999999</v>
      </c>
      <c r="S5" s="51">
        <f t="shared" si="1"/>
        <v>9901269.1499999985</v>
      </c>
      <c r="T5" s="59">
        <f t="shared" ref="T5:T32" si="2">SUM(E5:S5)</f>
        <v>378352672.86999995</v>
      </c>
    </row>
    <row r="6" spans="1:20" ht="20.100000000000001" customHeight="1">
      <c r="A6" s="56" t="s">
        <v>23</v>
      </c>
      <c r="B6" s="57" t="s">
        <v>24</v>
      </c>
      <c r="C6" s="57"/>
      <c r="D6" s="58" t="s">
        <v>21</v>
      </c>
      <c r="E6" s="51">
        <f>E7+E8</f>
        <v>5655684</v>
      </c>
      <c r="F6" s="51">
        <f t="shared" ref="F6:S6" si="3">F7+F8</f>
        <v>3729912</v>
      </c>
      <c r="G6" s="51">
        <f t="shared" si="3"/>
        <v>4124088</v>
      </c>
      <c r="H6" s="51">
        <f t="shared" si="3"/>
        <v>4477608</v>
      </c>
      <c r="I6" s="51">
        <f t="shared" si="3"/>
        <v>8628396</v>
      </c>
      <c r="J6" s="51">
        <f t="shared" si="3"/>
        <v>2452596</v>
      </c>
      <c r="K6" s="51">
        <f t="shared" si="3"/>
        <v>2573184</v>
      </c>
      <c r="L6" s="51">
        <f t="shared" si="3"/>
        <v>2074392</v>
      </c>
      <c r="M6" s="51">
        <f t="shared" si="3"/>
        <v>1690656</v>
      </c>
      <c r="N6" s="51">
        <f t="shared" si="3"/>
        <v>1923372</v>
      </c>
      <c r="O6" s="51">
        <f t="shared" si="3"/>
        <v>5945388</v>
      </c>
      <c r="P6" s="51">
        <f t="shared" si="3"/>
        <v>248256</v>
      </c>
      <c r="Q6" s="51">
        <f t="shared" si="3"/>
        <v>626304</v>
      </c>
      <c r="R6" s="51">
        <f t="shared" si="3"/>
        <v>3279684</v>
      </c>
      <c r="S6" s="51">
        <f t="shared" si="3"/>
        <v>1311504</v>
      </c>
      <c r="T6" s="59">
        <f t="shared" si="2"/>
        <v>48741024</v>
      </c>
    </row>
    <row r="7" spans="1:20" ht="20.100000000000001" customHeight="1">
      <c r="A7" s="56" t="s">
        <v>25</v>
      </c>
      <c r="B7" s="57" t="s">
        <v>26</v>
      </c>
      <c r="C7" s="57" t="s">
        <v>27</v>
      </c>
      <c r="D7" s="58" t="s">
        <v>28</v>
      </c>
      <c r="E7" s="55">
        <f>260255*12</f>
        <v>3123060</v>
      </c>
      <c r="F7" s="55">
        <f>174196*12</f>
        <v>2090352</v>
      </c>
      <c r="G7" s="55">
        <f>175147*12</f>
        <v>2101764</v>
      </c>
      <c r="H7" s="55">
        <f>198727*12</f>
        <v>2384724</v>
      </c>
      <c r="I7" s="55">
        <f>430218*12</f>
        <v>5162616</v>
      </c>
      <c r="J7" s="55">
        <f>129657*12</f>
        <v>1555884</v>
      </c>
      <c r="K7" s="55">
        <f>119383*12</f>
        <v>1432596</v>
      </c>
      <c r="L7" s="55">
        <f>99210*12</f>
        <v>1190520</v>
      </c>
      <c r="M7" s="55">
        <f>86647*12</f>
        <v>1039764</v>
      </c>
      <c r="N7" s="55">
        <f>95558*12</f>
        <v>1146696</v>
      </c>
      <c r="O7" s="55">
        <f>295759*12</f>
        <v>3549108</v>
      </c>
      <c r="P7" s="55">
        <f>11583*12</f>
        <v>138996</v>
      </c>
      <c r="Q7" s="55">
        <f>34843*12</f>
        <v>418116</v>
      </c>
      <c r="R7" s="55">
        <f>179760*12</f>
        <v>2157120</v>
      </c>
      <c r="S7" s="55">
        <f>66319*12</f>
        <v>795828</v>
      </c>
      <c r="T7" s="59">
        <f t="shared" si="2"/>
        <v>28287144</v>
      </c>
    </row>
    <row r="8" spans="1:20" ht="20.100000000000001" customHeight="1">
      <c r="A8" s="56" t="s">
        <v>29</v>
      </c>
      <c r="B8" s="57" t="s">
        <v>30</v>
      </c>
      <c r="C8" s="57" t="s">
        <v>27</v>
      </c>
      <c r="D8" s="58" t="s">
        <v>28</v>
      </c>
      <c r="E8" s="55">
        <f>211052*12</f>
        <v>2532624</v>
      </c>
      <c r="F8" s="55">
        <f>136630*12</f>
        <v>1639560</v>
      </c>
      <c r="G8" s="55">
        <f>168527*12</f>
        <v>2022324</v>
      </c>
      <c r="H8" s="55">
        <f>174407*12</f>
        <v>2092884</v>
      </c>
      <c r="I8" s="55">
        <f>288815*12</f>
        <v>3465780</v>
      </c>
      <c r="J8" s="55">
        <f>74726*12</f>
        <v>896712</v>
      </c>
      <c r="K8" s="55">
        <f>95049*12</f>
        <v>1140588</v>
      </c>
      <c r="L8" s="55">
        <f>73656*12</f>
        <v>883872</v>
      </c>
      <c r="M8" s="55">
        <f>54241*12</f>
        <v>650892</v>
      </c>
      <c r="N8" s="55">
        <f>64723*12</f>
        <v>776676</v>
      </c>
      <c r="O8" s="55">
        <f>199690*12</f>
        <v>2396280</v>
      </c>
      <c r="P8" s="55">
        <f>9105*12</f>
        <v>109260</v>
      </c>
      <c r="Q8" s="55">
        <f>17349*12</f>
        <v>208188</v>
      </c>
      <c r="R8" s="55">
        <f>93547*12</f>
        <v>1122564</v>
      </c>
      <c r="S8" s="55">
        <f>42973*12</f>
        <v>515676</v>
      </c>
      <c r="T8" s="59">
        <f t="shared" si="2"/>
        <v>20453880</v>
      </c>
    </row>
    <row r="9" spans="1:20" ht="20.100000000000001" customHeight="1">
      <c r="A9" s="56" t="s">
        <v>31</v>
      </c>
      <c r="B9" s="57" t="s">
        <v>32</v>
      </c>
      <c r="C9" s="57"/>
      <c r="D9" s="58" t="s">
        <v>21</v>
      </c>
      <c r="E9" s="51">
        <f>E10+E11</f>
        <v>600084</v>
      </c>
      <c r="F9" s="51">
        <f t="shared" ref="F9:S9" si="4">F10+F11</f>
        <v>385644</v>
      </c>
      <c r="G9" s="51">
        <f t="shared" si="4"/>
        <v>413868</v>
      </c>
      <c r="H9" s="51">
        <f t="shared" si="4"/>
        <v>455004</v>
      </c>
      <c r="I9" s="51">
        <f t="shared" si="4"/>
        <v>1008564</v>
      </c>
      <c r="J9" s="51">
        <f t="shared" si="4"/>
        <v>319284</v>
      </c>
      <c r="K9" s="51">
        <f t="shared" si="4"/>
        <v>294900</v>
      </c>
      <c r="L9" s="51">
        <f t="shared" si="4"/>
        <v>235476</v>
      </c>
      <c r="M9" s="51">
        <f t="shared" si="4"/>
        <v>213696</v>
      </c>
      <c r="N9" s="51">
        <f t="shared" si="4"/>
        <v>230040</v>
      </c>
      <c r="O9" s="51">
        <f t="shared" si="4"/>
        <v>689484</v>
      </c>
      <c r="P9" s="51">
        <f t="shared" si="4"/>
        <v>26772</v>
      </c>
      <c r="Q9" s="51">
        <f t="shared" si="4"/>
        <v>90360</v>
      </c>
      <c r="R9" s="51">
        <f t="shared" si="4"/>
        <v>445920</v>
      </c>
      <c r="S9" s="51">
        <f t="shared" si="4"/>
        <v>165504</v>
      </c>
      <c r="T9" s="59">
        <f t="shared" si="2"/>
        <v>5574600</v>
      </c>
    </row>
    <row r="10" spans="1:20" ht="20.100000000000001" customHeight="1">
      <c r="A10" s="56" t="s">
        <v>33</v>
      </c>
      <c r="B10" s="57" t="s">
        <v>34</v>
      </c>
      <c r="C10" s="57" t="s">
        <v>27</v>
      </c>
      <c r="D10" s="58" t="s">
        <v>28</v>
      </c>
      <c r="E10" s="55">
        <f>727*12</f>
        <v>8724</v>
      </c>
      <c r="F10" s="55">
        <f>457*12</f>
        <v>5484</v>
      </c>
      <c r="G10" s="55">
        <f>609*12</f>
        <v>7308</v>
      </c>
      <c r="H10" s="55">
        <f>517*12</f>
        <v>6204</v>
      </c>
      <c r="I10" s="55">
        <f>887*12</f>
        <v>10644</v>
      </c>
      <c r="J10" s="55">
        <f>207*12</f>
        <v>2484</v>
      </c>
      <c r="K10" s="55">
        <f>375*12</f>
        <v>4500</v>
      </c>
      <c r="L10" s="55">
        <f>263*12</f>
        <v>3156</v>
      </c>
      <c r="M10" s="55">
        <f>208*12</f>
        <v>2496</v>
      </c>
      <c r="N10" s="55">
        <f>250*12</f>
        <v>3000</v>
      </c>
      <c r="O10" s="55">
        <f>697*12</f>
        <v>8364</v>
      </c>
      <c r="P10" s="55">
        <f>31*12</f>
        <v>372</v>
      </c>
      <c r="Q10" s="55">
        <f>50*12</f>
        <v>600</v>
      </c>
      <c r="R10" s="55">
        <f>200*12</f>
        <v>2400</v>
      </c>
      <c r="S10" s="55">
        <f>152*12</f>
        <v>1824</v>
      </c>
      <c r="T10" s="59">
        <f t="shared" si="2"/>
        <v>67560</v>
      </c>
    </row>
    <row r="11" spans="1:20" ht="20.100000000000001" customHeight="1">
      <c r="A11" s="56" t="s">
        <v>35</v>
      </c>
      <c r="B11" s="57" t="s">
        <v>36</v>
      </c>
      <c r="C11" s="57"/>
      <c r="D11" s="58" t="s">
        <v>21</v>
      </c>
      <c r="E11" s="51">
        <f>E12</f>
        <v>591360</v>
      </c>
      <c r="F11" s="51">
        <f t="shared" ref="F11:S11" si="5">F12</f>
        <v>380160</v>
      </c>
      <c r="G11" s="51">
        <f t="shared" si="5"/>
        <v>406560</v>
      </c>
      <c r="H11" s="51">
        <f t="shared" si="5"/>
        <v>448800</v>
      </c>
      <c r="I11" s="51">
        <f t="shared" si="5"/>
        <v>997920</v>
      </c>
      <c r="J11" s="51">
        <f t="shared" si="5"/>
        <v>316800</v>
      </c>
      <c r="K11" s="51">
        <f t="shared" si="5"/>
        <v>290400</v>
      </c>
      <c r="L11" s="51">
        <f t="shared" si="5"/>
        <v>232320</v>
      </c>
      <c r="M11" s="51">
        <f t="shared" si="5"/>
        <v>211200</v>
      </c>
      <c r="N11" s="51">
        <f t="shared" si="5"/>
        <v>227040</v>
      </c>
      <c r="O11" s="51">
        <f t="shared" si="5"/>
        <v>681120</v>
      </c>
      <c r="P11" s="51">
        <f t="shared" si="5"/>
        <v>26400</v>
      </c>
      <c r="Q11" s="51">
        <f t="shared" si="5"/>
        <v>89760</v>
      </c>
      <c r="R11" s="51">
        <f t="shared" si="5"/>
        <v>443520</v>
      </c>
      <c r="S11" s="51">
        <f t="shared" si="5"/>
        <v>163680</v>
      </c>
      <c r="T11" s="59">
        <f t="shared" si="2"/>
        <v>5507040</v>
      </c>
    </row>
    <row r="12" spans="1:20" s="15" customFormat="1" ht="20.100000000000001" customHeight="1">
      <c r="A12" s="56" t="s">
        <v>37</v>
      </c>
      <c r="B12" s="60" t="s">
        <v>195</v>
      </c>
      <c r="C12" s="60" t="s">
        <v>27</v>
      </c>
      <c r="D12" s="58" t="s">
        <v>28</v>
      </c>
      <c r="E12" s="55">
        <f>440*12*E60</f>
        <v>591360</v>
      </c>
      <c r="F12" s="55">
        <f t="shared" ref="F12:S12" si="6">440*12*F60</f>
        <v>380160</v>
      </c>
      <c r="G12" s="55">
        <f t="shared" si="6"/>
        <v>406560</v>
      </c>
      <c r="H12" s="55">
        <f t="shared" si="6"/>
        <v>448800</v>
      </c>
      <c r="I12" s="55">
        <f t="shared" si="6"/>
        <v>997920</v>
      </c>
      <c r="J12" s="55">
        <f t="shared" si="6"/>
        <v>316800</v>
      </c>
      <c r="K12" s="55">
        <f t="shared" si="6"/>
        <v>290400</v>
      </c>
      <c r="L12" s="55">
        <f t="shared" si="6"/>
        <v>232320</v>
      </c>
      <c r="M12" s="55">
        <f t="shared" si="6"/>
        <v>211200</v>
      </c>
      <c r="N12" s="55">
        <f t="shared" si="6"/>
        <v>227040</v>
      </c>
      <c r="O12" s="55">
        <f t="shared" si="6"/>
        <v>681120</v>
      </c>
      <c r="P12" s="55">
        <f t="shared" si="6"/>
        <v>26400</v>
      </c>
      <c r="Q12" s="55">
        <f t="shared" si="6"/>
        <v>89760</v>
      </c>
      <c r="R12" s="55">
        <f t="shared" si="6"/>
        <v>443520</v>
      </c>
      <c r="S12" s="55">
        <f t="shared" si="6"/>
        <v>163680</v>
      </c>
      <c r="T12" s="59">
        <f t="shared" si="2"/>
        <v>5507040</v>
      </c>
    </row>
    <row r="13" spans="1:20" ht="20.100000000000001" customHeight="1">
      <c r="A13" s="56" t="s">
        <v>39</v>
      </c>
      <c r="B13" s="57" t="s">
        <v>40</v>
      </c>
      <c r="C13" s="57"/>
      <c r="D13" s="58" t="s">
        <v>41</v>
      </c>
      <c r="E13" s="51">
        <f>E14+E15</f>
        <v>322320</v>
      </c>
      <c r="F13" s="51">
        <f t="shared" ref="F13:S13" si="7">F14+F15</f>
        <v>190474.28</v>
      </c>
      <c r="G13" s="51">
        <f t="shared" si="7"/>
        <v>197972.58</v>
      </c>
      <c r="H13" s="51">
        <f t="shared" si="7"/>
        <v>208645.72</v>
      </c>
      <c r="I13" s="51">
        <f t="shared" si="7"/>
        <v>450562.28</v>
      </c>
      <c r="J13" s="51">
        <f t="shared" si="7"/>
        <v>134691.42000000001</v>
      </c>
      <c r="K13" s="51">
        <f t="shared" si="7"/>
        <v>124141.72</v>
      </c>
      <c r="L13" s="51">
        <f t="shared" si="7"/>
        <v>99128.58</v>
      </c>
      <c r="M13" s="51">
        <f t="shared" si="7"/>
        <v>87104.58</v>
      </c>
      <c r="N13" s="51">
        <f t="shared" si="7"/>
        <v>96344.58</v>
      </c>
      <c r="O13" s="51">
        <f t="shared" si="7"/>
        <v>321641.14</v>
      </c>
      <c r="P13" s="51">
        <f t="shared" si="7"/>
        <v>12142.86</v>
      </c>
      <c r="Q13" s="51">
        <f t="shared" si="7"/>
        <v>32465.14</v>
      </c>
      <c r="R13" s="51">
        <f t="shared" si="7"/>
        <v>210853.72</v>
      </c>
      <c r="S13" s="51">
        <f t="shared" si="7"/>
        <v>67129.72</v>
      </c>
      <c r="T13" s="59">
        <f t="shared" si="2"/>
        <v>2555618.3200000003</v>
      </c>
    </row>
    <row r="14" spans="1:20" s="15" customFormat="1" ht="20.100000000000001" customHeight="1">
      <c r="A14" s="56" t="s">
        <v>42</v>
      </c>
      <c r="B14" s="60" t="s">
        <v>275</v>
      </c>
      <c r="C14" s="60" t="s">
        <v>27</v>
      </c>
      <c r="D14" s="58" t="s">
        <v>419</v>
      </c>
      <c r="E14" s="55">
        <f>ROUND(E30/0.07*0.005,2)</f>
        <v>161160</v>
      </c>
      <c r="F14" s="55">
        <f t="shared" ref="F14:S14" si="8">ROUND(F30/0.07*0.005,2)</f>
        <v>95237.14</v>
      </c>
      <c r="G14" s="55">
        <f t="shared" si="8"/>
        <v>98986.29</v>
      </c>
      <c r="H14" s="55">
        <f t="shared" si="8"/>
        <v>104322.86</v>
      </c>
      <c r="I14" s="55">
        <f t="shared" si="8"/>
        <v>225281.14</v>
      </c>
      <c r="J14" s="55">
        <f t="shared" si="8"/>
        <v>67345.710000000006</v>
      </c>
      <c r="K14" s="55">
        <f t="shared" si="8"/>
        <v>62070.86</v>
      </c>
      <c r="L14" s="55">
        <f t="shared" si="8"/>
        <v>49564.29</v>
      </c>
      <c r="M14" s="55">
        <f t="shared" si="8"/>
        <v>43552.29</v>
      </c>
      <c r="N14" s="55">
        <f t="shared" si="8"/>
        <v>48172.29</v>
      </c>
      <c r="O14" s="55">
        <f t="shared" si="8"/>
        <v>160820.57</v>
      </c>
      <c r="P14" s="55">
        <f t="shared" si="8"/>
        <v>6071.43</v>
      </c>
      <c r="Q14" s="55">
        <f t="shared" si="8"/>
        <v>16232.57</v>
      </c>
      <c r="R14" s="55">
        <f t="shared" si="8"/>
        <v>105426.86</v>
      </c>
      <c r="S14" s="55">
        <f t="shared" si="8"/>
        <v>33564.86</v>
      </c>
      <c r="T14" s="59">
        <f t="shared" si="2"/>
        <v>1277809.1600000001</v>
      </c>
    </row>
    <row r="15" spans="1:20" s="15" customFormat="1" ht="20.100000000000001" customHeight="1">
      <c r="A15" s="56" t="s">
        <v>44</v>
      </c>
      <c r="B15" s="60" t="s">
        <v>196</v>
      </c>
      <c r="C15" s="60" t="s">
        <v>27</v>
      </c>
      <c r="D15" s="58" t="s">
        <v>419</v>
      </c>
      <c r="E15" s="55">
        <f>ROUND(E30/0.07*0.005,2)</f>
        <v>161160</v>
      </c>
      <c r="F15" s="55">
        <f t="shared" ref="F15:S15" si="9">ROUND(F30/0.07*0.005,2)</f>
        <v>95237.14</v>
      </c>
      <c r="G15" s="55">
        <f t="shared" si="9"/>
        <v>98986.29</v>
      </c>
      <c r="H15" s="55">
        <f t="shared" si="9"/>
        <v>104322.86</v>
      </c>
      <c r="I15" s="55">
        <f t="shared" si="9"/>
        <v>225281.14</v>
      </c>
      <c r="J15" s="55">
        <f t="shared" si="9"/>
        <v>67345.710000000006</v>
      </c>
      <c r="K15" s="55">
        <f t="shared" si="9"/>
        <v>62070.86</v>
      </c>
      <c r="L15" s="55">
        <f t="shared" si="9"/>
        <v>49564.29</v>
      </c>
      <c r="M15" s="55">
        <f t="shared" si="9"/>
        <v>43552.29</v>
      </c>
      <c r="N15" s="55">
        <f t="shared" si="9"/>
        <v>48172.29</v>
      </c>
      <c r="O15" s="55">
        <f t="shared" si="9"/>
        <v>160820.57</v>
      </c>
      <c r="P15" s="55">
        <f t="shared" si="9"/>
        <v>6071.43</v>
      </c>
      <c r="Q15" s="55">
        <f t="shared" si="9"/>
        <v>16232.57</v>
      </c>
      <c r="R15" s="55">
        <f t="shared" si="9"/>
        <v>105426.86</v>
      </c>
      <c r="S15" s="55">
        <f t="shared" si="9"/>
        <v>33564.86</v>
      </c>
      <c r="T15" s="59">
        <f t="shared" si="2"/>
        <v>1277809.1600000001</v>
      </c>
    </row>
    <row r="16" spans="1:20" ht="20.100000000000001" customHeight="1">
      <c r="A16" s="56" t="s">
        <v>46</v>
      </c>
      <c r="B16" s="57" t="s">
        <v>47</v>
      </c>
      <c r="C16" s="57"/>
      <c r="D16" s="58" t="s">
        <v>21</v>
      </c>
      <c r="E16" s="51">
        <f>E17+E18+E19+E20</f>
        <v>23882208</v>
      </c>
      <c r="F16" s="51">
        <f t="shared" ref="F16:S16" si="10">F17+F18+F19+F20</f>
        <v>15352848</v>
      </c>
      <c r="G16" s="51">
        <f t="shared" si="10"/>
        <v>15600046</v>
      </c>
      <c r="H16" s="51">
        <f t="shared" si="10"/>
        <v>17220830</v>
      </c>
      <c r="I16" s="51">
        <f t="shared" si="10"/>
        <v>38291022</v>
      </c>
      <c r="J16" s="51">
        <f t="shared" si="10"/>
        <v>12155880</v>
      </c>
      <c r="K16" s="51">
        <f t="shared" si="10"/>
        <v>9586720</v>
      </c>
      <c r="L16" s="51">
        <f t="shared" si="10"/>
        <v>7669376</v>
      </c>
      <c r="M16" s="51">
        <f t="shared" si="10"/>
        <v>6972160</v>
      </c>
      <c r="N16" s="51">
        <f t="shared" si="10"/>
        <v>7495072</v>
      </c>
      <c r="O16" s="51">
        <f t="shared" si="10"/>
        <v>27507186</v>
      </c>
      <c r="P16" s="51">
        <f t="shared" si="10"/>
        <v>1022630</v>
      </c>
      <c r="Q16" s="51">
        <f t="shared" si="10"/>
        <v>2963168</v>
      </c>
      <c r="R16" s="51">
        <f t="shared" si="10"/>
        <v>17911656</v>
      </c>
      <c r="S16" s="51">
        <f t="shared" si="10"/>
        <v>5403424</v>
      </c>
      <c r="T16" s="59">
        <f t="shared" si="2"/>
        <v>209034226</v>
      </c>
    </row>
    <row r="17" spans="1:20" ht="20.100000000000001" customHeight="1">
      <c r="A17" s="56" t="s">
        <v>48</v>
      </c>
      <c r="B17" s="61" t="s">
        <v>49</v>
      </c>
      <c r="C17" s="61" t="s">
        <v>27</v>
      </c>
      <c r="D17" s="62" t="s">
        <v>197</v>
      </c>
      <c r="E17" s="63">
        <v>21496932</v>
      </c>
      <c r="F17" s="63">
        <v>13960316</v>
      </c>
      <c r="G17" s="63">
        <v>13740716</v>
      </c>
      <c r="H17" s="63">
        <v>15555734</v>
      </c>
      <c r="I17" s="63">
        <v>34593734</v>
      </c>
      <c r="J17" s="63">
        <v>10961008</v>
      </c>
      <c r="K17" s="63">
        <v>9018368</v>
      </c>
      <c r="L17" s="63">
        <v>7135836</v>
      </c>
      <c r="M17" s="63">
        <v>6528094</v>
      </c>
      <c r="N17" s="63">
        <v>7001000</v>
      </c>
      <c r="O17" s="63">
        <v>24830263</v>
      </c>
      <c r="P17" s="63">
        <v>992630</v>
      </c>
      <c r="Q17" s="63">
        <v>2657102</v>
      </c>
      <c r="R17" s="63">
        <v>16315264</v>
      </c>
      <c r="S17" s="63">
        <v>4996640</v>
      </c>
      <c r="T17" s="59">
        <f t="shared" si="2"/>
        <v>189783637</v>
      </c>
    </row>
    <row r="18" spans="1:20" ht="20.100000000000001" customHeight="1">
      <c r="A18" s="56" t="s">
        <v>51</v>
      </c>
      <c r="B18" s="61" t="s">
        <v>52</v>
      </c>
      <c r="C18" s="61" t="s">
        <v>27</v>
      </c>
      <c r="D18" s="62" t="s">
        <v>53</v>
      </c>
      <c r="E18" s="63">
        <v>593276</v>
      </c>
      <c r="F18" s="63">
        <v>240532</v>
      </c>
      <c r="G18" s="63">
        <v>627330</v>
      </c>
      <c r="H18" s="63">
        <v>305096</v>
      </c>
      <c r="I18" s="63">
        <v>673288</v>
      </c>
      <c r="J18" s="63">
        <v>234872</v>
      </c>
      <c r="K18" s="63">
        <v>238352</v>
      </c>
      <c r="L18" s="63">
        <v>269540</v>
      </c>
      <c r="M18" s="63">
        <v>204066</v>
      </c>
      <c r="N18" s="63">
        <v>236072</v>
      </c>
      <c r="O18" s="63">
        <v>612923</v>
      </c>
      <c r="P18" s="63"/>
      <c r="Q18" s="63">
        <v>204066</v>
      </c>
      <c r="R18" s="63">
        <v>252392</v>
      </c>
      <c r="S18" s="63">
        <v>220784</v>
      </c>
      <c r="T18" s="59">
        <f t="shared" si="2"/>
        <v>4912589</v>
      </c>
    </row>
    <row r="19" spans="1:20" ht="20.100000000000001" customHeight="1">
      <c r="A19" s="56" t="s">
        <v>54</v>
      </c>
      <c r="B19" s="61" t="s">
        <v>198</v>
      </c>
      <c r="C19" s="61" t="s">
        <v>27</v>
      </c>
      <c r="D19" s="58" t="s">
        <v>28</v>
      </c>
      <c r="E19" s="63">
        <f>500*12*E60</f>
        <v>672000</v>
      </c>
      <c r="F19" s="63">
        <f t="shared" ref="F19:S19" si="11">500*12*F60</f>
        <v>432000</v>
      </c>
      <c r="G19" s="63">
        <f t="shared" si="11"/>
        <v>462000</v>
      </c>
      <c r="H19" s="63">
        <f t="shared" si="11"/>
        <v>510000</v>
      </c>
      <c r="I19" s="63">
        <f t="shared" si="11"/>
        <v>1134000</v>
      </c>
      <c r="J19" s="63">
        <f t="shared" si="11"/>
        <v>360000</v>
      </c>
      <c r="K19" s="63">
        <f t="shared" si="11"/>
        <v>330000</v>
      </c>
      <c r="L19" s="63">
        <f t="shared" si="11"/>
        <v>264000</v>
      </c>
      <c r="M19" s="63">
        <f t="shared" si="11"/>
        <v>240000</v>
      </c>
      <c r="N19" s="63">
        <f t="shared" si="11"/>
        <v>258000</v>
      </c>
      <c r="O19" s="63">
        <f t="shared" si="11"/>
        <v>774000</v>
      </c>
      <c r="P19" s="63">
        <f t="shared" si="11"/>
        <v>30000</v>
      </c>
      <c r="Q19" s="63">
        <f t="shared" si="11"/>
        <v>102000</v>
      </c>
      <c r="R19" s="63">
        <f t="shared" si="11"/>
        <v>504000</v>
      </c>
      <c r="S19" s="63">
        <f t="shared" si="11"/>
        <v>186000</v>
      </c>
      <c r="T19" s="59">
        <f t="shared" si="2"/>
        <v>6258000</v>
      </c>
    </row>
    <row r="20" spans="1:20" ht="20.100000000000001" customHeight="1">
      <c r="A20" s="56" t="s">
        <v>56</v>
      </c>
      <c r="B20" s="61" t="s">
        <v>199</v>
      </c>
      <c r="C20" s="61" t="s">
        <v>27</v>
      </c>
      <c r="D20" s="58" t="s">
        <v>28</v>
      </c>
      <c r="E20" s="63">
        <f t="shared" ref="E20:J20" si="12">E60*10000</f>
        <v>1120000</v>
      </c>
      <c r="F20" s="63">
        <f t="shared" si="12"/>
        <v>720000</v>
      </c>
      <c r="G20" s="63">
        <f t="shared" si="12"/>
        <v>770000</v>
      </c>
      <c r="H20" s="63">
        <f t="shared" si="12"/>
        <v>850000</v>
      </c>
      <c r="I20" s="63">
        <f t="shared" si="12"/>
        <v>1890000</v>
      </c>
      <c r="J20" s="63">
        <f t="shared" si="12"/>
        <v>600000</v>
      </c>
      <c r="K20" s="63"/>
      <c r="L20" s="63"/>
      <c r="M20" s="63"/>
      <c r="N20" s="63"/>
      <c r="O20" s="63">
        <f>O60*10000</f>
        <v>1290000</v>
      </c>
      <c r="P20" s="63"/>
      <c r="Q20" s="63"/>
      <c r="R20" s="63">
        <f>R60*10000</f>
        <v>840000</v>
      </c>
      <c r="S20" s="63"/>
      <c r="T20" s="59">
        <f t="shared" si="2"/>
        <v>8080000</v>
      </c>
    </row>
    <row r="21" spans="1:20" ht="20.100000000000001" customHeight="1">
      <c r="A21" s="56" t="s">
        <v>58</v>
      </c>
      <c r="B21" s="57" t="s">
        <v>59</v>
      </c>
      <c r="C21" s="57"/>
      <c r="D21" s="62" t="s">
        <v>21</v>
      </c>
      <c r="E21" s="64">
        <f>E22+E23</f>
        <v>4190160</v>
      </c>
      <c r="F21" s="64">
        <f t="shared" ref="F21:S21" si="13">F22+F23</f>
        <v>2476165.71</v>
      </c>
      <c r="G21" s="64">
        <f t="shared" si="13"/>
        <v>2573643.42</v>
      </c>
      <c r="H21" s="64">
        <f t="shared" si="13"/>
        <v>2712394.29</v>
      </c>
      <c r="I21" s="64">
        <f t="shared" si="13"/>
        <v>5857309.71</v>
      </c>
      <c r="J21" s="64">
        <f t="shared" si="13"/>
        <v>1750988.58</v>
      </c>
      <c r="K21" s="64">
        <f t="shared" si="13"/>
        <v>1613842.29</v>
      </c>
      <c r="L21" s="64">
        <f t="shared" si="13"/>
        <v>1288671.42</v>
      </c>
      <c r="M21" s="64">
        <f t="shared" si="13"/>
        <v>1132359.42</v>
      </c>
      <c r="N21" s="64">
        <f t="shared" si="13"/>
        <v>1252479.42</v>
      </c>
      <c r="O21" s="64">
        <f t="shared" si="13"/>
        <v>4181334.87</v>
      </c>
      <c r="P21" s="64">
        <f t="shared" si="13"/>
        <v>157857.13</v>
      </c>
      <c r="Q21" s="64">
        <f t="shared" si="13"/>
        <v>422046.87</v>
      </c>
      <c r="R21" s="64">
        <f t="shared" si="13"/>
        <v>2741098.29</v>
      </c>
      <c r="S21" s="64">
        <f t="shared" si="13"/>
        <v>872686.29</v>
      </c>
      <c r="T21" s="59">
        <f t="shared" si="2"/>
        <v>33223037.710000005</v>
      </c>
    </row>
    <row r="22" spans="1:20" ht="20.100000000000001" customHeight="1">
      <c r="A22" s="56" t="s">
        <v>60</v>
      </c>
      <c r="B22" s="57" t="s">
        <v>420</v>
      </c>
      <c r="C22" s="57" t="s">
        <v>61</v>
      </c>
      <c r="D22" s="58" t="s">
        <v>419</v>
      </c>
      <c r="E22" s="63">
        <f>ROUND(E30/0.07*0.09,2)</f>
        <v>2900880</v>
      </c>
      <c r="F22" s="63">
        <f t="shared" ref="F22:S22" si="14">ROUND(F30/0.07*0.09,2)</f>
        <v>1714268.57</v>
      </c>
      <c r="G22" s="63">
        <f t="shared" si="14"/>
        <v>1781753.14</v>
      </c>
      <c r="H22" s="63">
        <f t="shared" si="14"/>
        <v>1877811.43</v>
      </c>
      <c r="I22" s="63">
        <f t="shared" si="14"/>
        <v>4055060.57</v>
      </c>
      <c r="J22" s="63">
        <f t="shared" si="14"/>
        <v>1212222.8600000001</v>
      </c>
      <c r="K22" s="63">
        <f t="shared" si="14"/>
        <v>1117275.43</v>
      </c>
      <c r="L22" s="63">
        <f t="shared" si="14"/>
        <v>892157.14</v>
      </c>
      <c r="M22" s="63">
        <f t="shared" si="14"/>
        <v>783941.14</v>
      </c>
      <c r="N22" s="63">
        <f t="shared" si="14"/>
        <v>867101.14</v>
      </c>
      <c r="O22" s="63">
        <f t="shared" si="14"/>
        <v>2894770.29</v>
      </c>
      <c r="P22" s="63">
        <f t="shared" si="14"/>
        <v>109285.71</v>
      </c>
      <c r="Q22" s="63">
        <f t="shared" si="14"/>
        <v>292186.28999999998</v>
      </c>
      <c r="R22" s="63">
        <f t="shared" si="14"/>
        <v>1897683.43</v>
      </c>
      <c r="S22" s="63">
        <f t="shared" si="14"/>
        <v>604167.43000000005</v>
      </c>
      <c r="T22" s="59">
        <f t="shared" si="2"/>
        <v>23000564.569999997</v>
      </c>
    </row>
    <row r="23" spans="1:20" ht="20.100000000000001" customHeight="1">
      <c r="A23" s="56" t="s">
        <v>62</v>
      </c>
      <c r="B23" s="57" t="s">
        <v>421</v>
      </c>
      <c r="C23" s="57"/>
      <c r="D23" s="62" t="s">
        <v>43</v>
      </c>
      <c r="E23" s="64">
        <f>E24+E25</f>
        <v>1289280</v>
      </c>
      <c r="F23" s="64">
        <f t="shared" ref="F23:S23" si="15">F24+F25</f>
        <v>761897.14</v>
      </c>
      <c r="G23" s="64">
        <f t="shared" si="15"/>
        <v>791890.28</v>
      </c>
      <c r="H23" s="64">
        <f t="shared" si="15"/>
        <v>834582.86</v>
      </c>
      <c r="I23" s="64">
        <f t="shared" si="15"/>
        <v>1802249.14</v>
      </c>
      <c r="J23" s="64">
        <f t="shared" si="15"/>
        <v>538765.72</v>
      </c>
      <c r="K23" s="64">
        <f t="shared" si="15"/>
        <v>496566.86</v>
      </c>
      <c r="L23" s="64">
        <f t="shared" si="15"/>
        <v>396514.28</v>
      </c>
      <c r="M23" s="64">
        <f t="shared" si="15"/>
        <v>348418.28</v>
      </c>
      <c r="N23" s="64">
        <f t="shared" si="15"/>
        <v>385378.28</v>
      </c>
      <c r="O23" s="64">
        <f t="shared" si="15"/>
        <v>1286564.58</v>
      </c>
      <c r="P23" s="64">
        <f t="shared" si="15"/>
        <v>48571.42</v>
      </c>
      <c r="Q23" s="64">
        <f t="shared" si="15"/>
        <v>129860.58</v>
      </c>
      <c r="R23" s="64">
        <f t="shared" si="15"/>
        <v>843414.86</v>
      </c>
      <c r="S23" s="64">
        <f t="shared" si="15"/>
        <v>268518.86</v>
      </c>
      <c r="T23" s="59">
        <f t="shared" si="2"/>
        <v>10222473.140000001</v>
      </c>
    </row>
    <row r="24" spans="1:20" ht="20.100000000000001" customHeight="1">
      <c r="A24" s="56" t="s">
        <v>64</v>
      </c>
      <c r="B24" s="57" t="s">
        <v>422</v>
      </c>
      <c r="C24" s="57" t="s">
        <v>61</v>
      </c>
      <c r="D24" s="58" t="s">
        <v>423</v>
      </c>
      <c r="E24" s="63">
        <f>ROUND(E30/0.07*0.02,2)</f>
        <v>644640</v>
      </c>
      <c r="F24" s="63">
        <f t="shared" ref="F24:S24" si="16">ROUND(F30/0.07*0.02,2)</f>
        <v>380948.57</v>
      </c>
      <c r="G24" s="63">
        <f t="shared" si="16"/>
        <v>395945.14</v>
      </c>
      <c r="H24" s="63">
        <f t="shared" si="16"/>
        <v>417291.43</v>
      </c>
      <c r="I24" s="63">
        <f t="shared" si="16"/>
        <v>901124.57</v>
      </c>
      <c r="J24" s="63">
        <f t="shared" si="16"/>
        <v>269382.86</v>
      </c>
      <c r="K24" s="63">
        <f t="shared" si="16"/>
        <v>248283.43</v>
      </c>
      <c r="L24" s="63">
        <f t="shared" si="16"/>
        <v>198257.14</v>
      </c>
      <c r="M24" s="63">
        <f t="shared" si="16"/>
        <v>174209.14</v>
      </c>
      <c r="N24" s="63">
        <f t="shared" si="16"/>
        <v>192689.14</v>
      </c>
      <c r="O24" s="63">
        <f t="shared" si="16"/>
        <v>643282.29</v>
      </c>
      <c r="P24" s="63">
        <f t="shared" si="16"/>
        <v>24285.71</v>
      </c>
      <c r="Q24" s="63">
        <f t="shared" si="16"/>
        <v>64930.29</v>
      </c>
      <c r="R24" s="63">
        <f t="shared" si="16"/>
        <v>421707.43</v>
      </c>
      <c r="S24" s="63">
        <f t="shared" si="16"/>
        <v>134259.43</v>
      </c>
      <c r="T24" s="59">
        <f t="shared" si="2"/>
        <v>5111236.57</v>
      </c>
    </row>
    <row r="25" spans="1:20" ht="20.100000000000001" customHeight="1">
      <c r="A25" s="56" t="s">
        <v>65</v>
      </c>
      <c r="B25" s="57" t="s">
        <v>424</v>
      </c>
      <c r="C25" s="57" t="s">
        <v>61</v>
      </c>
      <c r="D25" s="58" t="s">
        <v>423</v>
      </c>
      <c r="E25" s="63">
        <f>ROUND(E30/0.07*0.02,2)</f>
        <v>644640</v>
      </c>
      <c r="F25" s="63">
        <f t="shared" ref="F25:S25" si="17">ROUND(F30/0.07*0.02,2)</f>
        <v>380948.57</v>
      </c>
      <c r="G25" s="63">
        <f t="shared" si="17"/>
        <v>395945.14</v>
      </c>
      <c r="H25" s="63">
        <f t="shared" si="17"/>
        <v>417291.43</v>
      </c>
      <c r="I25" s="63">
        <f t="shared" si="17"/>
        <v>901124.57</v>
      </c>
      <c r="J25" s="63">
        <f t="shared" si="17"/>
        <v>269382.86</v>
      </c>
      <c r="K25" s="63">
        <f t="shared" si="17"/>
        <v>248283.43</v>
      </c>
      <c r="L25" s="63">
        <f t="shared" si="17"/>
        <v>198257.14</v>
      </c>
      <c r="M25" s="63">
        <f t="shared" si="17"/>
        <v>174209.14</v>
      </c>
      <c r="N25" s="63">
        <f t="shared" si="17"/>
        <v>192689.14</v>
      </c>
      <c r="O25" s="63">
        <f t="shared" si="17"/>
        <v>643282.29</v>
      </c>
      <c r="P25" s="63">
        <f t="shared" si="17"/>
        <v>24285.71</v>
      </c>
      <c r="Q25" s="63">
        <f t="shared" si="17"/>
        <v>64930.29</v>
      </c>
      <c r="R25" s="63">
        <f t="shared" si="17"/>
        <v>421707.43</v>
      </c>
      <c r="S25" s="63">
        <f t="shared" si="17"/>
        <v>134259.43</v>
      </c>
      <c r="T25" s="59">
        <f t="shared" si="2"/>
        <v>5111236.57</v>
      </c>
    </row>
    <row r="26" spans="1:20" ht="20.100000000000001" customHeight="1">
      <c r="A26" s="56" t="s">
        <v>66</v>
      </c>
      <c r="B26" s="57" t="s">
        <v>67</v>
      </c>
      <c r="C26" s="57"/>
      <c r="D26" s="58" t="s">
        <v>21</v>
      </c>
      <c r="E26" s="51">
        <f t="shared" ref="E26:S26" si="18">E27</f>
        <v>5157120</v>
      </c>
      <c r="F26" s="51">
        <f t="shared" si="18"/>
        <v>3047588.57</v>
      </c>
      <c r="G26" s="51">
        <f t="shared" si="18"/>
        <v>3167561.14</v>
      </c>
      <c r="H26" s="51">
        <f t="shared" si="18"/>
        <v>3338331.43</v>
      </c>
      <c r="I26" s="51">
        <f t="shared" si="18"/>
        <v>7208996.5700000003</v>
      </c>
      <c r="J26" s="51">
        <f t="shared" si="18"/>
        <v>2155062.86</v>
      </c>
      <c r="K26" s="51">
        <f t="shared" si="18"/>
        <v>1986267.43</v>
      </c>
      <c r="L26" s="51">
        <f t="shared" si="18"/>
        <v>1586057.14</v>
      </c>
      <c r="M26" s="51">
        <f t="shared" si="18"/>
        <v>1393673.14</v>
      </c>
      <c r="N26" s="51">
        <f t="shared" si="18"/>
        <v>1541513.14</v>
      </c>
      <c r="O26" s="51">
        <f t="shared" si="18"/>
        <v>5146258.29</v>
      </c>
      <c r="P26" s="51">
        <f t="shared" si="18"/>
        <v>194285.71</v>
      </c>
      <c r="Q26" s="51">
        <f t="shared" si="18"/>
        <v>519442.29</v>
      </c>
      <c r="R26" s="51">
        <f t="shared" si="18"/>
        <v>3373659.43</v>
      </c>
      <c r="S26" s="51">
        <f t="shared" si="18"/>
        <v>1074075.43</v>
      </c>
      <c r="T26" s="59">
        <f t="shared" si="2"/>
        <v>40889892.57</v>
      </c>
    </row>
    <row r="27" spans="1:20" s="15" customFormat="1" ht="20.100000000000001" customHeight="1">
      <c r="A27" s="56" t="s">
        <v>68</v>
      </c>
      <c r="B27" s="60" t="s">
        <v>201</v>
      </c>
      <c r="C27" s="60" t="s">
        <v>70</v>
      </c>
      <c r="D27" s="58" t="s">
        <v>419</v>
      </c>
      <c r="E27" s="55">
        <f>ROUND(E30/0.07*0.16,2)</f>
        <v>5157120</v>
      </c>
      <c r="F27" s="55">
        <f t="shared" ref="F27:S27" si="19">ROUND(F30/0.07*0.16,2)</f>
        <v>3047588.57</v>
      </c>
      <c r="G27" s="55">
        <f t="shared" si="19"/>
        <v>3167561.14</v>
      </c>
      <c r="H27" s="55">
        <f t="shared" si="19"/>
        <v>3338331.43</v>
      </c>
      <c r="I27" s="55">
        <f t="shared" si="19"/>
        <v>7208996.5700000003</v>
      </c>
      <c r="J27" s="55">
        <f t="shared" si="19"/>
        <v>2155062.86</v>
      </c>
      <c r="K27" s="55">
        <f t="shared" si="19"/>
        <v>1986267.43</v>
      </c>
      <c r="L27" s="55">
        <f t="shared" si="19"/>
        <v>1586057.14</v>
      </c>
      <c r="M27" s="55">
        <f t="shared" si="19"/>
        <v>1393673.14</v>
      </c>
      <c r="N27" s="55">
        <f t="shared" si="19"/>
        <v>1541513.14</v>
      </c>
      <c r="O27" s="55">
        <f t="shared" si="19"/>
        <v>5146258.29</v>
      </c>
      <c r="P27" s="55">
        <f t="shared" si="19"/>
        <v>194285.71</v>
      </c>
      <c r="Q27" s="55">
        <f t="shared" si="19"/>
        <v>519442.29</v>
      </c>
      <c r="R27" s="55">
        <f t="shared" si="19"/>
        <v>3373659.43</v>
      </c>
      <c r="S27" s="55">
        <f t="shared" si="19"/>
        <v>1074075.43</v>
      </c>
      <c r="T27" s="59">
        <f t="shared" si="2"/>
        <v>40889892.57</v>
      </c>
    </row>
    <row r="28" spans="1:20" ht="20.100000000000001" customHeight="1">
      <c r="A28" s="56" t="s">
        <v>71</v>
      </c>
      <c r="B28" s="57" t="s">
        <v>72</v>
      </c>
      <c r="C28" s="57"/>
      <c r="D28" s="58" t="s">
        <v>21</v>
      </c>
      <c r="E28" s="51">
        <f t="shared" ref="E28:S28" si="20">E29</f>
        <v>2578560</v>
      </c>
      <c r="F28" s="51">
        <f t="shared" si="20"/>
        <v>1523794.29</v>
      </c>
      <c r="G28" s="51">
        <f t="shared" si="20"/>
        <v>1583780.57</v>
      </c>
      <c r="H28" s="51">
        <f t="shared" si="20"/>
        <v>1669165.71</v>
      </c>
      <c r="I28" s="51">
        <f t="shared" si="20"/>
        <v>3604498.29</v>
      </c>
      <c r="J28" s="51">
        <f t="shared" si="20"/>
        <v>1077531.43</v>
      </c>
      <c r="K28" s="51">
        <f t="shared" si="20"/>
        <v>993133.71</v>
      </c>
      <c r="L28" s="51">
        <f t="shared" si="20"/>
        <v>793028.57</v>
      </c>
      <c r="M28" s="51">
        <f t="shared" si="20"/>
        <v>696836.57</v>
      </c>
      <c r="N28" s="51">
        <f t="shared" si="20"/>
        <v>770756.57</v>
      </c>
      <c r="O28" s="51">
        <f t="shared" si="20"/>
        <v>2573129.14</v>
      </c>
      <c r="P28" s="51">
        <f t="shared" si="20"/>
        <v>97142.86</v>
      </c>
      <c r="Q28" s="51">
        <f t="shared" si="20"/>
        <v>259721.14</v>
      </c>
      <c r="R28" s="51">
        <f t="shared" si="20"/>
        <v>1686829.71</v>
      </c>
      <c r="S28" s="51">
        <f t="shared" si="20"/>
        <v>537037.71</v>
      </c>
      <c r="T28" s="59">
        <f t="shared" si="2"/>
        <v>20444946.270000003</v>
      </c>
    </row>
    <row r="29" spans="1:20" s="15" customFormat="1" ht="20.100000000000001" customHeight="1">
      <c r="A29" s="56" t="s">
        <v>73</v>
      </c>
      <c r="B29" s="60" t="s">
        <v>74</v>
      </c>
      <c r="C29" s="60" t="s">
        <v>75</v>
      </c>
      <c r="D29" s="58" t="s">
        <v>419</v>
      </c>
      <c r="E29" s="55">
        <f>ROUND(E30/0.07*0.08,2)</f>
        <v>2578560</v>
      </c>
      <c r="F29" s="55">
        <f t="shared" ref="F29:S29" si="21">ROUND(F30/0.07*0.08,2)</f>
        <v>1523794.29</v>
      </c>
      <c r="G29" s="55">
        <f t="shared" si="21"/>
        <v>1583780.57</v>
      </c>
      <c r="H29" s="55">
        <f t="shared" si="21"/>
        <v>1669165.71</v>
      </c>
      <c r="I29" s="55">
        <f t="shared" si="21"/>
        <v>3604498.29</v>
      </c>
      <c r="J29" s="55">
        <f t="shared" si="21"/>
        <v>1077531.43</v>
      </c>
      <c r="K29" s="55">
        <f t="shared" si="21"/>
        <v>993133.71</v>
      </c>
      <c r="L29" s="55">
        <f t="shared" si="21"/>
        <v>793028.57</v>
      </c>
      <c r="M29" s="55">
        <f t="shared" si="21"/>
        <v>696836.57</v>
      </c>
      <c r="N29" s="55">
        <f t="shared" si="21"/>
        <v>770756.57</v>
      </c>
      <c r="O29" s="55">
        <f t="shared" si="21"/>
        <v>2573129.14</v>
      </c>
      <c r="P29" s="55">
        <f t="shared" si="21"/>
        <v>97142.86</v>
      </c>
      <c r="Q29" s="55">
        <f t="shared" si="21"/>
        <v>259721.14</v>
      </c>
      <c r="R29" s="55">
        <f t="shared" si="21"/>
        <v>1686829.71</v>
      </c>
      <c r="S29" s="55">
        <f t="shared" si="21"/>
        <v>537037.71</v>
      </c>
      <c r="T29" s="59">
        <f t="shared" si="2"/>
        <v>20444946.270000003</v>
      </c>
    </row>
    <row r="30" spans="1:20" ht="20.100000000000001" customHeight="1">
      <c r="A30" s="56" t="s">
        <v>76</v>
      </c>
      <c r="B30" s="57" t="s">
        <v>425</v>
      </c>
      <c r="C30" s="57" t="s">
        <v>78</v>
      </c>
      <c r="D30" s="58" t="s">
        <v>28</v>
      </c>
      <c r="E30" s="63">
        <f>188020*12</f>
        <v>2256240</v>
      </c>
      <c r="F30" s="63">
        <f>111110*12</f>
        <v>1333320</v>
      </c>
      <c r="G30" s="63">
        <f>115484*12</f>
        <v>1385808</v>
      </c>
      <c r="H30" s="63">
        <f>121710*12</f>
        <v>1460520</v>
      </c>
      <c r="I30" s="63">
        <f>262828*12</f>
        <v>3153936</v>
      </c>
      <c r="J30" s="63">
        <f>78570*12</f>
        <v>942840</v>
      </c>
      <c r="K30" s="63">
        <f>72416*12</f>
        <v>868992</v>
      </c>
      <c r="L30" s="63">
        <f>57825*12</f>
        <v>693900</v>
      </c>
      <c r="M30" s="63">
        <f>50811*12</f>
        <v>609732</v>
      </c>
      <c r="N30" s="63">
        <f>56201*12</f>
        <v>674412</v>
      </c>
      <c r="O30" s="63">
        <f>187624*12</f>
        <v>2251488</v>
      </c>
      <c r="P30" s="63">
        <v>85000</v>
      </c>
      <c r="Q30" s="63">
        <f>18938*12</f>
        <v>227256</v>
      </c>
      <c r="R30" s="63">
        <f>122998*12</f>
        <v>1475976</v>
      </c>
      <c r="S30" s="63">
        <f>39159*12</f>
        <v>469908</v>
      </c>
      <c r="T30" s="59">
        <f t="shared" si="2"/>
        <v>17889328</v>
      </c>
    </row>
    <row r="31" spans="1:20" ht="20.100000000000001" customHeight="1">
      <c r="A31" s="56" t="s">
        <v>80</v>
      </c>
      <c r="B31" s="57" t="s">
        <v>203</v>
      </c>
      <c r="C31" s="61" t="s">
        <v>27</v>
      </c>
      <c r="D31" s="65" t="s">
        <v>204</v>
      </c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59">
        <f t="shared" si="2"/>
        <v>0</v>
      </c>
    </row>
    <row r="32" spans="1:20" ht="20.100000000000001" customHeight="1">
      <c r="A32" s="56" t="s">
        <v>83</v>
      </c>
      <c r="B32" s="57" t="s">
        <v>84</v>
      </c>
      <c r="C32" s="57"/>
      <c r="D32" s="58" t="s">
        <v>21</v>
      </c>
      <c r="E32" s="51">
        <f>E33+E35</f>
        <v>1810500</v>
      </c>
      <c r="F32" s="51">
        <f t="shared" ref="F32:S32" si="22">F33+F35</f>
        <v>1078140</v>
      </c>
      <c r="G32" s="51">
        <f t="shared" si="22"/>
        <v>1367880</v>
      </c>
      <c r="H32" s="51">
        <f t="shared" si="22"/>
        <v>876420</v>
      </c>
      <c r="I32" s="51">
        <f t="shared" si="22"/>
        <v>384420</v>
      </c>
      <c r="J32" s="51">
        <f t="shared" si="22"/>
        <v>2520</v>
      </c>
      <c r="K32" s="51">
        <f t="shared" si="22"/>
        <v>205560</v>
      </c>
      <c r="L32" s="51">
        <f t="shared" si="22"/>
        <v>319440</v>
      </c>
      <c r="M32" s="51">
        <f t="shared" si="22"/>
        <v>99660</v>
      </c>
      <c r="N32" s="51">
        <f t="shared" si="22"/>
        <v>16260</v>
      </c>
      <c r="O32" s="51">
        <f t="shared" si="22"/>
        <v>77340</v>
      </c>
      <c r="P32" s="51">
        <f t="shared" si="22"/>
        <v>78900</v>
      </c>
      <c r="Q32" s="51">
        <f t="shared" si="22"/>
        <v>360</v>
      </c>
      <c r="R32" s="51">
        <f t="shared" si="22"/>
        <v>74280</v>
      </c>
      <c r="S32" s="51">
        <f t="shared" si="22"/>
        <v>174360</v>
      </c>
      <c r="T32" s="59">
        <f t="shared" si="2"/>
        <v>6566040</v>
      </c>
    </row>
    <row r="33" spans="1:20" ht="20.100000000000001" customHeight="1">
      <c r="A33" s="56" t="s">
        <v>85</v>
      </c>
      <c r="B33" s="57" t="s">
        <v>205</v>
      </c>
      <c r="C33" s="57" t="s">
        <v>87</v>
      </c>
      <c r="D33" s="62" t="s">
        <v>206</v>
      </c>
      <c r="E33" s="64">
        <f>E34</f>
        <v>1807260</v>
      </c>
      <c r="F33" s="64">
        <f t="shared" ref="F33:S33" si="23">F34</f>
        <v>1074900</v>
      </c>
      <c r="G33" s="64">
        <f t="shared" si="23"/>
        <v>1365360</v>
      </c>
      <c r="H33" s="64">
        <f t="shared" si="23"/>
        <v>874260</v>
      </c>
      <c r="I33" s="64">
        <f t="shared" si="23"/>
        <v>380100</v>
      </c>
      <c r="J33" s="64">
        <f t="shared" si="23"/>
        <v>0</v>
      </c>
      <c r="K33" s="64">
        <f t="shared" si="23"/>
        <v>202320</v>
      </c>
      <c r="L33" s="64">
        <f t="shared" si="23"/>
        <v>316560</v>
      </c>
      <c r="M33" s="64">
        <f t="shared" si="23"/>
        <v>95340</v>
      </c>
      <c r="N33" s="64">
        <f t="shared" si="23"/>
        <v>13020</v>
      </c>
      <c r="O33" s="64">
        <f t="shared" si="23"/>
        <v>73380</v>
      </c>
      <c r="P33" s="64">
        <f t="shared" si="23"/>
        <v>78900</v>
      </c>
      <c r="Q33" s="64">
        <f t="shared" si="23"/>
        <v>0</v>
      </c>
      <c r="R33" s="64">
        <f t="shared" si="23"/>
        <v>70620</v>
      </c>
      <c r="S33" s="64">
        <f t="shared" si="23"/>
        <v>173280</v>
      </c>
      <c r="T33" s="59">
        <f t="shared" ref="T33:T61" si="24">SUM(E33:S33)</f>
        <v>6525300</v>
      </c>
    </row>
    <row r="34" spans="1:20" ht="20.100000000000001" customHeight="1">
      <c r="A34" s="56" t="s">
        <v>89</v>
      </c>
      <c r="B34" s="57" t="s">
        <v>207</v>
      </c>
      <c r="C34" s="57" t="s">
        <v>87</v>
      </c>
      <c r="D34" s="62" t="s">
        <v>206</v>
      </c>
      <c r="E34" s="55">
        <f>150605*12</f>
        <v>1807260</v>
      </c>
      <c r="F34" s="55">
        <f>89575*12</f>
        <v>1074900</v>
      </c>
      <c r="G34" s="55">
        <f>113780*12</f>
        <v>1365360</v>
      </c>
      <c r="H34" s="55">
        <f>72855*12</f>
        <v>874260</v>
      </c>
      <c r="I34" s="55">
        <f>31675*12</f>
        <v>380100</v>
      </c>
      <c r="J34" s="55"/>
      <c r="K34" s="55">
        <f>16860*12</f>
        <v>202320</v>
      </c>
      <c r="L34" s="55">
        <f>26380*12</f>
        <v>316560</v>
      </c>
      <c r="M34" s="55">
        <f>7945*12</f>
        <v>95340</v>
      </c>
      <c r="N34" s="55">
        <f>1085*12</f>
        <v>13020</v>
      </c>
      <c r="O34" s="55">
        <f>6115*12</f>
        <v>73380</v>
      </c>
      <c r="P34" s="55">
        <f>6575*12</f>
        <v>78900</v>
      </c>
      <c r="Q34" s="55"/>
      <c r="R34" s="55">
        <f>5885*12</f>
        <v>70620</v>
      </c>
      <c r="S34" s="55">
        <f>14440*12</f>
        <v>173280</v>
      </c>
      <c r="T34" s="59">
        <f t="shared" si="24"/>
        <v>6525300</v>
      </c>
    </row>
    <row r="35" spans="1:20" ht="20.100000000000001" customHeight="1">
      <c r="A35" s="56" t="s">
        <v>91</v>
      </c>
      <c r="B35" s="57" t="s">
        <v>92</v>
      </c>
      <c r="C35" s="57"/>
      <c r="D35" s="58" t="s">
        <v>21</v>
      </c>
      <c r="E35" s="51">
        <f>E36</f>
        <v>3240</v>
      </c>
      <c r="F35" s="51">
        <f t="shared" ref="F35:S35" si="25">F36</f>
        <v>3240</v>
      </c>
      <c r="G35" s="51">
        <f t="shared" si="25"/>
        <v>2520</v>
      </c>
      <c r="H35" s="51">
        <f t="shared" si="25"/>
        <v>2160</v>
      </c>
      <c r="I35" s="51">
        <f>360*12</f>
        <v>4320</v>
      </c>
      <c r="J35" s="51">
        <f t="shared" si="25"/>
        <v>2520</v>
      </c>
      <c r="K35" s="51">
        <f t="shared" si="25"/>
        <v>3240</v>
      </c>
      <c r="L35" s="51">
        <f t="shared" si="25"/>
        <v>2880</v>
      </c>
      <c r="M35" s="51">
        <f t="shared" si="25"/>
        <v>4320</v>
      </c>
      <c r="N35" s="51">
        <f t="shared" si="25"/>
        <v>3240</v>
      </c>
      <c r="O35" s="51">
        <f t="shared" si="25"/>
        <v>3960</v>
      </c>
      <c r="P35" s="51">
        <f t="shared" si="25"/>
        <v>0</v>
      </c>
      <c r="Q35" s="51">
        <f t="shared" si="25"/>
        <v>360</v>
      </c>
      <c r="R35" s="51">
        <f t="shared" si="25"/>
        <v>3660</v>
      </c>
      <c r="S35" s="51">
        <f t="shared" si="25"/>
        <v>1080</v>
      </c>
      <c r="T35" s="59">
        <f t="shared" si="24"/>
        <v>40740</v>
      </c>
    </row>
    <row r="36" spans="1:20" ht="20.100000000000001" customHeight="1">
      <c r="A36" s="56" t="s">
        <v>93</v>
      </c>
      <c r="B36" s="57" t="s">
        <v>94</v>
      </c>
      <c r="C36" s="57" t="s">
        <v>27</v>
      </c>
      <c r="D36" s="58" t="s">
        <v>28</v>
      </c>
      <c r="E36" s="55">
        <f>270*12</f>
        <v>3240</v>
      </c>
      <c r="F36" s="55">
        <f>270*12</f>
        <v>3240</v>
      </c>
      <c r="G36" s="55">
        <f>210*12</f>
        <v>2520</v>
      </c>
      <c r="H36" s="55">
        <f>180*12</f>
        <v>2160</v>
      </c>
      <c r="I36" s="55">
        <f>360*12</f>
        <v>4320</v>
      </c>
      <c r="J36" s="55">
        <f>210*12</f>
        <v>2520</v>
      </c>
      <c r="K36" s="55">
        <f>270*12</f>
        <v>3240</v>
      </c>
      <c r="L36" s="55">
        <f>240*12</f>
        <v>2880</v>
      </c>
      <c r="M36" s="55">
        <f>360*12</f>
        <v>4320</v>
      </c>
      <c r="N36" s="55">
        <f>270*12</f>
        <v>3240</v>
      </c>
      <c r="O36" s="55">
        <f>330*12</f>
        <v>3960</v>
      </c>
      <c r="P36" s="55"/>
      <c r="Q36" s="55">
        <f>30*12</f>
        <v>360</v>
      </c>
      <c r="R36" s="55">
        <v>3660</v>
      </c>
      <c r="S36" s="55">
        <f>90*12</f>
        <v>1080</v>
      </c>
      <c r="T36" s="59">
        <f t="shared" si="24"/>
        <v>40740</v>
      </c>
    </row>
    <row r="37" spans="1:20" ht="20.100000000000001" customHeight="1">
      <c r="A37" s="56" t="s">
        <v>95</v>
      </c>
      <c r="B37" s="57" t="s">
        <v>98</v>
      </c>
      <c r="C37" s="57"/>
      <c r="D37" s="58" t="s">
        <v>21</v>
      </c>
      <c r="E37" s="51">
        <f>E38+E40+E42+E44+E46+E49+E51+E53+E57+E55</f>
        <v>8090222</v>
      </c>
      <c r="F37" s="51">
        <f t="shared" ref="F37:S37" si="26">F38+F40+F42+F44+F46+F49+F51+F53+F57+F55</f>
        <v>4880854.57</v>
      </c>
      <c r="G37" s="51">
        <f t="shared" si="26"/>
        <v>4931060.1399999997</v>
      </c>
      <c r="H37" s="51">
        <f t="shared" si="26"/>
        <v>4750911.43</v>
      </c>
      <c r="I37" s="51">
        <f t="shared" si="26"/>
        <v>12770728.17</v>
      </c>
      <c r="J37" s="51">
        <f t="shared" si="26"/>
        <v>3686840.51</v>
      </c>
      <c r="K37" s="51">
        <f t="shared" si="26"/>
        <v>2874413.0300000003</v>
      </c>
      <c r="L37" s="51">
        <f t="shared" si="26"/>
        <v>3470842.34</v>
      </c>
      <c r="M37" s="51">
        <f t="shared" si="26"/>
        <v>2368886.89</v>
      </c>
      <c r="N37" s="51">
        <f t="shared" si="26"/>
        <v>2255402.94</v>
      </c>
      <c r="O37" s="51">
        <f t="shared" si="26"/>
        <v>8483400.6400000006</v>
      </c>
      <c r="P37" s="51">
        <f t="shared" si="26"/>
        <v>245265.71</v>
      </c>
      <c r="Q37" s="51">
        <f t="shared" si="26"/>
        <v>1114565.29</v>
      </c>
      <c r="R37" s="51">
        <f t="shared" si="26"/>
        <v>6065028.1299999999</v>
      </c>
      <c r="S37" s="51">
        <f t="shared" si="26"/>
        <v>1745996.23</v>
      </c>
      <c r="T37" s="59">
        <f t="shared" si="24"/>
        <v>67734418.019999996</v>
      </c>
    </row>
    <row r="38" spans="1:20" ht="20.100000000000001" customHeight="1">
      <c r="A38" s="56" t="s">
        <v>96</v>
      </c>
      <c r="B38" s="57" t="s">
        <v>100</v>
      </c>
      <c r="C38" s="57"/>
      <c r="D38" s="58" t="s">
        <v>101</v>
      </c>
      <c r="E38" s="55">
        <v>5721100</v>
      </c>
      <c r="F38" s="55">
        <v>3665200</v>
      </c>
      <c r="G38" s="55">
        <v>3502110</v>
      </c>
      <c r="H38" s="55">
        <v>3335190</v>
      </c>
      <c r="I38" s="55">
        <v>10291260</v>
      </c>
      <c r="J38" s="55">
        <v>2863320</v>
      </c>
      <c r="K38" s="55">
        <v>2016300</v>
      </c>
      <c r="L38" s="55">
        <v>2639780</v>
      </c>
      <c r="M38" s="55">
        <v>1716000</v>
      </c>
      <c r="N38" s="55">
        <v>1658800</v>
      </c>
      <c r="O38" s="55">
        <v>6492160</v>
      </c>
      <c r="P38" s="55">
        <v>112000</v>
      </c>
      <c r="Q38" s="55">
        <v>858000</v>
      </c>
      <c r="R38" s="55">
        <v>4935700</v>
      </c>
      <c r="S38" s="55">
        <v>1287000</v>
      </c>
      <c r="T38" s="59">
        <f t="shared" si="24"/>
        <v>51093920</v>
      </c>
    </row>
    <row r="39" spans="1:20" ht="20.100000000000001" customHeight="1">
      <c r="A39" s="66" t="s">
        <v>97</v>
      </c>
      <c r="B39" s="61" t="s">
        <v>208</v>
      </c>
      <c r="C39" s="61" t="s">
        <v>27</v>
      </c>
      <c r="D39" s="67" t="s">
        <v>209</v>
      </c>
      <c r="E39" s="63">
        <v>286055</v>
      </c>
      <c r="F39" s="63">
        <v>183260</v>
      </c>
      <c r="G39" s="63">
        <v>175105.5</v>
      </c>
      <c r="H39" s="63">
        <f>H38*0.05</f>
        <v>166759.5</v>
      </c>
      <c r="I39" s="63">
        <f>I38*0.05</f>
        <v>514563</v>
      </c>
      <c r="J39" s="63">
        <f>J38*0.05</f>
        <v>143166</v>
      </c>
      <c r="K39" s="63">
        <v>97097</v>
      </c>
      <c r="L39" s="63">
        <v>72358</v>
      </c>
      <c r="M39" s="63">
        <v>73359</v>
      </c>
      <c r="N39" s="63">
        <v>78364</v>
      </c>
      <c r="O39" s="63">
        <f>O38*0.05</f>
        <v>324608</v>
      </c>
      <c r="P39" s="63">
        <f>P38*0.05</f>
        <v>5600</v>
      </c>
      <c r="Q39" s="63">
        <v>34177</v>
      </c>
      <c r="R39" s="63">
        <f>R38*0.05</f>
        <v>246785</v>
      </c>
      <c r="S39" s="63">
        <v>55484</v>
      </c>
      <c r="T39" s="118">
        <f t="shared" si="24"/>
        <v>2456741</v>
      </c>
    </row>
    <row r="40" spans="1:20" ht="20.100000000000001" customHeight="1">
      <c r="A40" s="56" t="s">
        <v>99</v>
      </c>
      <c r="B40" s="57" t="s">
        <v>107</v>
      </c>
      <c r="C40" s="57"/>
      <c r="D40" s="58"/>
      <c r="E40" s="51">
        <f>E41</f>
        <v>44800</v>
      </c>
      <c r="F40" s="51">
        <f t="shared" ref="F40:S40" si="27">F41</f>
        <v>28800</v>
      </c>
      <c r="G40" s="51">
        <f t="shared" si="27"/>
        <v>30800</v>
      </c>
      <c r="H40" s="51">
        <f t="shared" si="27"/>
        <v>34000</v>
      </c>
      <c r="I40" s="51">
        <f t="shared" si="27"/>
        <v>75600</v>
      </c>
      <c r="J40" s="51">
        <f t="shared" si="27"/>
        <v>24000</v>
      </c>
      <c r="K40" s="51">
        <f t="shared" si="27"/>
        <v>22000</v>
      </c>
      <c r="L40" s="51">
        <f t="shared" si="27"/>
        <v>17600</v>
      </c>
      <c r="M40" s="51">
        <f t="shared" si="27"/>
        <v>16000</v>
      </c>
      <c r="N40" s="51">
        <f t="shared" si="27"/>
        <v>17200</v>
      </c>
      <c r="O40" s="51">
        <f t="shared" si="27"/>
        <v>51600</v>
      </c>
      <c r="P40" s="51">
        <f t="shared" si="27"/>
        <v>2000</v>
      </c>
      <c r="Q40" s="51">
        <f t="shared" si="27"/>
        <v>6800</v>
      </c>
      <c r="R40" s="51">
        <f t="shared" si="27"/>
        <v>33600</v>
      </c>
      <c r="S40" s="51">
        <f t="shared" si="27"/>
        <v>12400</v>
      </c>
      <c r="T40" s="59">
        <f t="shared" si="24"/>
        <v>417200</v>
      </c>
    </row>
    <row r="41" spans="1:20" s="15" customFormat="1" ht="20.100000000000001" customHeight="1">
      <c r="A41" s="56" t="s">
        <v>102</v>
      </c>
      <c r="B41" s="60" t="s">
        <v>109</v>
      </c>
      <c r="C41" s="60" t="s">
        <v>27</v>
      </c>
      <c r="D41" s="68" t="s">
        <v>426</v>
      </c>
      <c r="E41" s="55">
        <f>400*E60</f>
        <v>44800</v>
      </c>
      <c r="F41" s="55">
        <f t="shared" ref="F41:S41" si="28">400*F60</f>
        <v>28800</v>
      </c>
      <c r="G41" s="55">
        <f t="shared" si="28"/>
        <v>30800</v>
      </c>
      <c r="H41" s="55">
        <f t="shared" si="28"/>
        <v>34000</v>
      </c>
      <c r="I41" s="55">
        <f t="shared" si="28"/>
        <v>75600</v>
      </c>
      <c r="J41" s="55">
        <f t="shared" si="28"/>
        <v>24000</v>
      </c>
      <c r="K41" s="55">
        <f t="shared" si="28"/>
        <v>22000</v>
      </c>
      <c r="L41" s="55">
        <f t="shared" si="28"/>
        <v>17600</v>
      </c>
      <c r="M41" s="55">
        <f t="shared" si="28"/>
        <v>16000</v>
      </c>
      <c r="N41" s="55">
        <f t="shared" si="28"/>
        <v>17200</v>
      </c>
      <c r="O41" s="55">
        <f t="shared" si="28"/>
        <v>51600</v>
      </c>
      <c r="P41" s="55">
        <f t="shared" si="28"/>
        <v>2000</v>
      </c>
      <c r="Q41" s="55">
        <f t="shared" si="28"/>
        <v>6800</v>
      </c>
      <c r="R41" s="55">
        <f t="shared" si="28"/>
        <v>33600</v>
      </c>
      <c r="S41" s="55">
        <f t="shared" si="28"/>
        <v>12400</v>
      </c>
      <c r="T41" s="59">
        <f t="shared" si="24"/>
        <v>417200</v>
      </c>
    </row>
    <row r="42" spans="1:20" ht="20.100000000000001" customHeight="1">
      <c r="A42" s="56" t="s">
        <v>106</v>
      </c>
      <c r="B42" s="57" t="s">
        <v>112</v>
      </c>
      <c r="C42" s="57"/>
      <c r="D42" s="58" t="s">
        <v>21</v>
      </c>
      <c r="E42" s="51">
        <f>E43</f>
        <v>489330</v>
      </c>
      <c r="F42" s="51">
        <f t="shared" ref="F42:S42" si="29">F43</f>
        <v>135690</v>
      </c>
      <c r="G42" s="51">
        <f t="shared" si="29"/>
        <v>204405</v>
      </c>
      <c r="H42" s="51">
        <f t="shared" si="29"/>
        <v>268530</v>
      </c>
      <c r="I42" s="51">
        <f t="shared" si="29"/>
        <v>386583.60000000003</v>
      </c>
      <c r="J42" s="51">
        <f t="shared" si="29"/>
        <v>196585.65</v>
      </c>
      <c r="K42" s="51">
        <f t="shared" si="29"/>
        <v>205953.60000000003</v>
      </c>
      <c r="L42" s="51">
        <f t="shared" si="29"/>
        <v>244424.4</v>
      </c>
      <c r="M42" s="51">
        <f t="shared" si="29"/>
        <v>172176.15</v>
      </c>
      <c r="N42" s="51">
        <f t="shared" si="29"/>
        <v>136753.79999999999</v>
      </c>
      <c r="O42" s="51">
        <f t="shared" si="29"/>
        <v>509998.35</v>
      </c>
      <c r="P42" s="51">
        <f t="shared" si="29"/>
        <v>34500</v>
      </c>
      <c r="Q42" s="51">
        <f t="shared" si="29"/>
        <v>65355</v>
      </c>
      <c r="R42" s="51">
        <f t="shared" si="29"/>
        <v>199268.7</v>
      </c>
      <c r="S42" s="51">
        <f t="shared" si="29"/>
        <v>59392.800000000003</v>
      </c>
      <c r="T42" s="59">
        <f t="shared" si="24"/>
        <v>3308947.05</v>
      </c>
    </row>
    <row r="43" spans="1:20" s="15" customFormat="1" ht="20.100000000000001" customHeight="1">
      <c r="A43" s="56" t="s">
        <v>108</v>
      </c>
      <c r="B43" s="60" t="s">
        <v>114</v>
      </c>
      <c r="C43" s="60" t="s">
        <v>27</v>
      </c>
      <c r="D43" s="68" t="s">
        <v>427</v>
      </c>
      <c r="E43" s="55">
        <f>15*E71</f>
        <v>489330</v>
      </c>
      <c r="F43" s="55">
        <f t="shared" ref="F43:S43" si="30">15*F71</f>
        <v>135690</v>
      </c>
      <c r="G43" s="55">
        <f t="shared" si="30"/>
        <v>204405</v>
      </c>
      <c r="H43" s="55">
        <f t="shared" si="30"/>
        <v>268530</v>
      </c>
      <c r="I43" s="55">
        <f t="shared" si="30"/>
        <v>386583.60000000003</v>
      </c>
      <c r="J43" s="55">
        <f t="shared" si="30"/>
        <v>196585.65</v>
      </c>
      <c r="K43" s="55">
        <f t="shared" si="30"/>
        <v>205953.60000000003</v>
      </c>
      <c r="L43" s="55">
        <f t="shared" si="30"/>
        <v>244424.4</v>
      </c>
      <c r="M43" s="55">
        <f t="shared" si="30"/>
        <v>172176.15</v>
      </c>
      <c r="N43" s="55">
        <f t="shared" si="30"/>
        <v>136753.79999999999</v>
      </c>
      <c r="O43" s="55">
        <f t="shared" si="30"/>
        <v>509998.35</v>
      </c>
      <c r="P43" s="55">
        <f t="shared" si="30"/>
        <v>34500</v>
      </c>
      <c r="Q43" s="55">
        <f t="shared" si="30"/>
        <v>65355</v>
      </c>
      <c r="R43" s="55">
        <f t="shared" si="30"/>
        <v>199268.7</v>
      </c>
      <c r="S43" s="55">
        <f t="shared" si="30"/>
        <v>59392.800000000003</v>
      </c>
      <c r="T43" s="59">
        <f t="shared" si="24"/>
        <v>3308947.05</v>
      </c>
    </row>
    <row r="44" spans="1:20" ht="20.100000000000001" customHeight="1">
      <c r="A44" s="56" t="s">
        <v>111</v>
      </c>
      <c r="B44" s="57" t="s">
        <v>117</v>
      </c>
      <c r="C44" s="57"/>
      <c r="D44" s="58" t="s">
        <v>21</v>
      </c>
      <c r="E44" s="51">
        <f>E45</f>
        <v>238592</v>
      </c>
      <c r="F44" s="51">
        <f t="shared" ref="F44:S44" si="31">F45</f>
        <v>69296</v>
      </c>
      <c r="G44" s="51">
        <f t="shared" si="31"/>
        <v>64000</v>
      </c>
      <c r="H44" s="51">
        <f t="shared" si="31"/>
        <v>64000</v>
      </c>
      <c r="I44" s="51">
        <f t="shared" si="31"/>
        <v>126840</v>
      </c>
      <c r="J44" s="51">
        <f t="shared" si="31"/>
        <v>37352</v>
      </c>
      <c r="K44" s="51">
        <f t="shared" si="31"/>
        <v>51136</v>
      </c>
      <c r="L44" s="51">
        <f t="shared" si="31"/>
        <v>57700.800000000003</v>
      </c>
      <c r="M44" s="51">
        <f t="shared" si="31"/>
        <v>52681.599999999999</v>
      </c>
      <c r="N44" s="51">
        <f t="shared" si="31"/>
        <v>24480</v>
      </c>
      <c r="O44" s="51">
        <f t="shared" si="31"/>
        <v>168480</v>
      </c>
      <c r="P44" s="51">
        <f t="shared" si="31"/>
        <v>0</v>
      </c>
      <c r="Q44" s="51">
        <f t="shared" si="31"/>
        <v>12040</v>
      </c>
      <c r="R44" s="51">
        <f t="shared" si="31"/>
        <v>54272</v>
      </c>
      <c r="S44" s="51">
        <f t="shared" si="31"/>
        <v>32104</v>
      </c>
      <c r="T44" s="59">
        <f t="shared" si="24"/>
        <v>1052974.3999999999</v>
      </c>
    </row>
    <row r="45" spans="1:20" s="15" customFormat="1" ht="20.100000000000001" customHeight="1">
      <c r="A45" s="56" t="s">
        <v>113</v>
      </c>
      <c r="B45" s="60" t="s">
        <v>119</v>
      </c>
      <c r="C45" s="60" t="s">
        <v>27</v>
      </c>
      <c r="D45" s="68" t="s">
        <v>428</v>
      </c>
      <c r="E45" s="55">
        <f>8*E72</f>
        <v>238592</v>
      </c>
      <c r="F45" s="55">
        <f t="shared" ref="F45:S45" si="32">8*F72</f>
        <v>69296</v>
      </c>
      <c r="G45" s="55">
        <f t="shared" si="32"/>
        <v>64000</v>
      </c>
      <c r="H45" s="55">
        <f t="shared" si="32"/>
        <v>64000</v>
      </c>
      <c r="I45" s="55">
        <f t="shared" si="32"/>
        <v>126840</v>
      </c>
      <c r="J45" s="55">
        <f t="shared" si="32"/>
        <v>37352</v>
      </c>
      <c r="K45" s="55">
        <f t="shared" si="32"/>
        <v>51136</v>
      </c>
      <c r="L45" s="55">
        <f t="shared" si="32"/>
        <v>57700.800000000003</v>
      </c>
      <c r="M45" s="55">
        <f t="shared" si="32"/>
        <v>52681.599999999999</v>
      </c>
      <c r="N45" s="55">
        <f t="shared" si="32"/>
        <v>24480</v>
      </c>
      <c r="O45" s="55">
        <f t="shared" si="32"/>
        <v>168480</v>
      </c>
      <c r="P45" s="55">
        <f t="shared" si="32"/>
        <v>0</v>
      </c>
      <c r="Q45" s="55">
        <f t="shared" si="32"/>
        <v>12040</v>
      </c>
      <c r="R45" s="55">
        <f t="shared" si="32"/>
        <v>54272</v>
      </c>
      <c r="S45" s="55">
        <f t="shared" si="32"/>
        <v>32104</v>
      </c>
      <c r="T45" s="59">
        <f t="shared" si="24"/>
        <v>1052974.3999999999</v>
      </c>
    </row>
    <row r="46" spans="1:20" ht="20.100000000000001" customHeight="1">
      <c r="A46" s="56" t="s">
        <v>116</v>
      </c>
      <c r="B46" s="57" t="s">
        <v>210</v>
      </c>
      <c r="C46" s="57"/>
      <c r="D46" s="58" t="s">
        <v>21</v>
      </c>
      <c r="E46" s="51">
        <f>E47+E48</f>
        <v>876960</v>
      </c>
      <c r="F46" s="51">
        <f t="shared" ref="F46:S46" si="33">F47+F48</f>
        <v>544320</v>
      </c>
      <c r="G46" s="51">
        <f t="shared" si="33"/>
        <v>669600</v>
      </c>
      <c r="H46" s="51">
        <f t="shared" si="33"/>
        <v>583200</v>
      </c>
      <c r="I46" s="51">
        <f t="shared" si="33"/>
        <v>911520</v>
      </c>
      <c r="J46" s="51">
        <f t="shared" si="33"/>
        <v>259200</v>
      </c>
      <c r="K46" s="51">
        <f t="shared" si="33"/>
        <v>289440</v>
      </c>
      <c r="L46" s="51">
        <f t="shared" si="33"/>
        <v>276480</v>
      </c>
      <c r="M46" s="51">
        <f t="shared" si="33"/>
        <v>198720</v>
      </c>
      <c r="N46" s="51">
        <f t="shared" si="33"/>
        <v>190080</v>
      </c>
      <c r="O46" s="51">
        <f t="shared" si="33"/>
        <v>578880</v>
      </c>
      <c r="P46" s="51">
        <f t="shared" si="33"/>
        <v>38880</v>
      </c>
      <c r="Q46" s="51">
        <f t="shared" si="33"/>
        <v>73440</v>
      </c>
      <c r="R46" s="51">
        <f t="shared" si="33"/>
        <v>384480</v>
      </c>
      <c r="S46" s="51">
        <f t="shared" si="33"/>
        <v>181440</v>
      </c>
      <c r="T46" s="59">
        <f t="shared" si="24"/>
        <v>6056640</v>
      </c>
    </row>
    <row r="47" spans="1:20" s="15" customFormat="1" ht="20.100000000000001" customHeight="1">
      <c r="A47" s="56" t="s">
        <v>118</v>
      </c>
      <c r="B47" s="60" t="s">
        <v>211</v>
      </c>
      <c r="C47" s="60" t="s">
        <v>27</v>
      </c>
      <c r="D47" s="68" t="s">
        <v>429</v>
      </c>
      <c r="E47" s="55">
        <f>4320*E60</f>
        <v>483840</v>
      </c>
      <c r="F47" s="55">
        <f t="shared" ref="F47:S47" si="34">4320*F60</f>
        <v>311040</v>
      </c>
      <c r="G47" s="55">
        <f t="shared" si="34"/>
        <v>332640</v>
      </c>
      <c r="H47" s="55">
        <f t="shared" si="34"/>
        <v>367200</v>
      </c>
      <c r="I47" s="55">
        <f t="shared" si="34"/>
        <v>816480</v>
      </c>
      <c r="J47" s="55">
        <f t="shared" si="34"/>
        <v>259200</v>
      </c>
      <c r="K47" s="55">
        <f t="shared" si="34"/>
        <v>237600</v>
      </c>
      <c r="L47" s="55">
        <f t="shared" si="34"/>
        <v>190080</v>
      </c>
      <c r="M47" s="55">
        <f t="shared" si="34"/>
        <v>172800</v>
      </c>
      <c r="N47" s="55">
        <f t="shared" si="34"/>
        <v>185760</v>
      </c>
      <c r="O47" s="55">
        <f t="shared" si="34"/>
        <v>557280</v>
      </c>
      <c r="P47" s="55">
        <f t="shared" si="34"/>
        <v>21600</v>
      </c>
      <c r="Q47" s="55">
        <f t="shared" si="34"/>
        <v>73440</v>
      </c>
      <c r="R47" s="55">
        <f t="shared" si="34"/>
        <v>362880</v>
      </c>
      <c r="S47" s="55">
        <f t="shared" si="34"/>
        <v>133920</v>
      </c>
      <c r="T47" s="59">
        <f t="shared" si="24"/>
        <v>4505760</v>
      </c>
    </row>
    <row r="48" spans="1:20" s="15" customFormat="1" ht="20.100000000000001" customHeight="1">
      <c r="A48" s="56" t="s">
        <v>121</v>
      </c>
      <c r="B48" s="60" t="s">
        <v>212</v>
      </c>
      <c r="C48" s="60" t="s">
        <v>27</v>
      </c>
      <c r="D48" s="68" t="s">
        <v>430</v>
      </c>
      <c r="E48" s="55">
        <f>4320*E70</f>
        <v>393120</v>
      </c>
      <c r="F48" s="55">
        <f t="shared" ref="F48:S48" si="35">4320*F70</f>
        <v>233280</v>
      </c>
      <c r="G48" s="55">
        <f t="shared" si="35"/>
        <v>336960</v>
      </c>
      <c r="H48" s="55">
        <f t="shared" si="35"/>
        <v>216000</v>
      </c>
      <c r="I48" s="55">
        <f t="shared" si="35"/>
        <v>95040</v>
      </c>
      <c r="J48" s="55">
        <f t="shared" si="35"/>
        <v>0</v>
      </c>
      <c r="K48" s="55">
        <f t="shared" si="35"/>
        <v>51840</v>
      </c>
      <c r="L48" s="55">
        <f t="shared" si="35"/>
        <v>86400</v>
      </c>
      <c r="M48" s="55">
        <f t="shared" si="35"/>
        <v>25920</v>
      </c>
      <c r="N48" s="55">
        <f t="shared" si="35"/>
        <v>4320</v>
      </c>
      <c r="O48" s="55">
        <f t="shared" si="35"/>
        <v>21600</v>
      </c>
      <c r="P48" s="55">
        <f t="shared" si="35"/>
        <v>17280</v>
      </c>
      <c r="Q48" s="55">
        <f t="shared" si="35"/>
        <v>0</v>
      </c>
      <c r="R48" s="55">
        <f t="shared" si="35"/>
        <v>21600</v>
      </c>
      <c r="S48" s="55">
        <f t="shared" si="35"/>
        <v>47520</v>
      </c>
      <c r="T48" s="59">
        <f t="shared" si="24"/>
        <v>1550880</v>
      </c>
    </row>
    <row r="49" spans="1:20" ht="20.100000000000001" customHeight="1">
      <c r="A49" s="56" t="s">
        <v>123</v>
      </c>
      <c r="B49" s="57" t="s">
        <v>214</v>
      </c>
      <c r="C49" s="57"/>
      <c r="D49" s="58" t="s">
        <v>21</v>
      </c>
      <c r="E49" s="51">
        <f>E50</f>
        <v>644640</v>
      </c>
      <c r="F49" s="51">
        <f t="shared" ref="F49:S49" si="36">F50</f>
        <v>380948.57</v>
      </c>
      <c r="G49" s="51">
        <f t="shared" si="36"/>
        <v>395945.14</v>
      </c>
      <c r="H49" s="51">
        <f t="shared" si="36"/>
        <v>417291.43</v>
      </c>
      <c r="I49" s="51">
        <f t="shared" si="36"/>
        <v>901124.57</v>
      </c>
      <c r="J49" s="51">
        <f t="shared" si="36"/>
        <v>269382.86</v>
      </c>
      <c r="K49" s="51">
        <f t="shared" si="36"/>
        <v>248283.43</v>
      </c>
      <c r="L49" s="51">
        <f t="shared" si="36"/>
        <v>198257.14</v>
      </c>
      <c r="M49" s="51">
        <f t="shared" si="36"/>
        <v>174209.14</v>
      </c>
      <c r="N49" s="51">
        <f t="shared" si="36"/>
        <v>192689.14</v>
      </c>
      <c r="O49" s="51">
        <f t="shared" si="36"/>
        <v>643282.29</v>
      </c>
      <c r="P49" s="51">
        <f t="shared" si="36"/>
        <v>24285.71</v>
      </c>
      <c r="Q49" s="51">
        <f t="shared" si="36"/>
        <v>64930.29</v>
      </c>
      <c r="R49" s="51">
        <f t="shared" si="36"/>
        <v>421707.43</v>
      </c>
      <c r="S49" s="51">
        <f t="shared" si="36"/>
        <v>134259.43</v>
      </c>
      <c r="T49" s="59">
        <f t="shared" si="24"/>
        <v>5111236.57</v>
      </c>
    </row>
    <row r="50" spans="1:20" s="15" customFormat="1" ht="20.100000000000001" customHeight="1">
      <c r="A50" s="56" t="s">
        <v>125</v>
      </c>
      <c r="B50" s="60" t="s">
        <v>129</v>
      </c>
      <c r="C50" s="60" t="s">
        <v>27</v>
      </c>
      <c r="D50" s="58" t="s">
        <v>431</v>
      </c>
      <c r="E50" s="55">
        <f>ROUND(E30/0.07*0.02,2)</f>
        <v>644640</v>
      </c>
      <c r="F50" s="55">
        <f t="shared" ref="F50:S50" si="37">ROUND(F30/0.07*0.02,2)</f>
        <v>380948.57</v>
      </c>
      <c r="G50" s="55">
        <f t="shared" si="37"/>
        <v>395945.14</v>
      </c>
      <c r="H50" s="55">
        <f t="shared" si="37"/>
        <v>417291.43</v>
      </c>
      <c r="I50" s="55">
        <f t="shared" si="37"/>
        <v>901124.57</v>
      </c>
      <c r="J50" s="55">
        <f t="shared" si="37"/>
        <v>269382.86</v>
      </c>
      <c r="K50" s="55">
        <f t="shared" si="37"/>
        <v>248283.43</v>
      </c>
      <c r="L50" s="55">
        <f t="shared" si="37"/>
        <v>198257.14</v>
      </c>
      <c r="M50" s="55">
        <f t="shared" si="37"/>
        <v>174209.14</v>
      </c>
      <c r="N50" s="55">
        <f t="shared" si="37"/>
        <v>192689.14</v>
      </c>
      <c r="O50" s="55">
        <f t="shared" si="37"/>
        <v>643282.29</v>
      </c>
      <c r="P50" s="55">
        <f t="shared" si="37"/>
        <v>24285.71</v>
      </c>
      <c r="Q50" s="55">
        <f t="shared" si="37"/>
        <v>64930.29</v>
      </c>
      <c r="R50" s="55">
        <f t="shared" si="37"/>
        <v>421707.43</v>
      </c>
      <c r="S50" s="55">
        <f t="shared" si="37"/>
        <v>134259.43</v>
      </c>
      <c r="T50" s="59">
        <f t="shared" si="24"/>
        <v>5111236.57</v>
      </c>
    </row>
    <row r="51" spans="1:20" ht="20.100000000000001" customHeight="1">
      <c r="A51" s="56" t="s">
        <v>126</v>
      </c>
      <c r="B51" s="57" t="s">
        <v>215</v>
      </c>
      <c r="C51" s="57"/>
      <c r="D51" s="58" t="s">
        <v>21</v>
      </c>
      <c r="E51" s="51">
        <f>E52</f>
        <v>32000</v>
      </c>
      <c r="F51" s="51">
        <f t="shared" ref="F51:S51" si="38">F52</f>
        <v>32000</v>
      </c>
      <c r="G51" s="51">
        <f t="shared" si="38"/>
        <v>32000</v>
      </c>
      <c r="H51" s="51">
        <f t="shared" si="38"/>
        <v>25000</v>
      </c>
      <c r="I51" s="51">
        <f t="shared" si="38"/>
        <v>64000</v>
      </c>
      <c r="J51" s="51">
        <f t="shared" si="38"/>
        <v>0</v>
      </c>
      <c r="K51" s="51">
        <f t="shared" si="38"/>
        <v>32000</v>
      </c>
      <c r="L51" s="51">
        <f t="shared" si="38"/>
        <v>25000</v>
      </c>
      <c r="M51" s="51">
        <f t="shared" si="38"/>
        <v>0</v>
      </c>
      <c r="N51" s="51">
        <f t="shared" si="38"/>
        <v>0</v>
      </c>
      <c r="O51" s="51">
        <f t="shared" si="38"/>
        <v>32000</v>
      </c>
      <c r="P51" s="51">
        <f t="shared" si="38"/>
        <v>32000</v>
      </c>
      <c r="Q51" s="51">
        <f t="shared" si="38"/>
        <v>0</v>
      </c>
      <c r="R51" s="51">
        <f t="shared" si="38"/>
        <v>0</v>
      </c>
      <c r="S51" s="51">
        <f t="shared" si="38"/>
        <v>0</v>
      </c>
      <c r="T51" s="59">
        <f t="shared" si="24"/>
        <v>306000</v>
      </c>
    </row>
    <row r="52" spans="1:20" ht="20.100000000000001" customHeight="1">
      <c r="A52" s="56" t="s">
        <v>128</v>
      </c>
      <c r="B52" s="57" t="s">
        <v>132</v>
      </c>
      <c r="C52" s="57" t="s">
        <v>27</v>
      </c>
      <c r="D52" s="67" t="s">
        <v>432</v>
      </c>
      <c r="E52" s="55">
        <v>32000</v>
      </c>
      <c r="F52" s="55">
        <v>32000</v>
      </c>
      <c r="G52" s="55">
        <v>32000</v>
      </c>
      <c r="H52" s="169">
        <f>32000-7000</f>
        <v>25000</v>
      </c>
      <c r="I52" s="55">
        <v>64000</v>
      </c>
      <c r="J52" s="55"/>
      <c r="K52" s="55">
        <v>32000</v>
      </c>
      <c r="L52" s="169">
        <f>32000-7000</f>
        <v>25000</v>
      </c>
      <c r="M52" s="55"/>
      <c r="N52" s="55"/>
      <c r="O52" s="55">
        <v>32000</v>
      </c>
      <c r="P52" s="55">
        <v>32000</v>
      </c>
      <c r="Q52" s="55"/>
      <c r="R52" s="55"/>
      <c r="S52" s="55"/>
      <c r="T52" s="59">
        <f t="shared" si="24"/>
        <v>306000</v>
      </c>
    </row>
    <row r="53" spans="1:20" ht="20.100000000000001" customHeight="1">
      <c r="A53" s="56" t="s">
        <v>130</v>
      </c>
      <c r="B53" s="57" t="s">
        <v>433</v>
      </c>
      <c r="C53" s="57"/>
      <c r="D53" s="58" t="s">
        <v>21</v>
      </c>
      <c r="E53" s="51">
        <f>E54</f>
        <v>36400</v>
      </c>
      <c r="F53" s="51">
        <f t="shared" ref="F53:S53" si="39">F54</f>
        <v>21600</v>
      </c>
      <c r="G53" s="51">
        <f t="shared" si="39"/>
        <v>31200</v>
      </c>
      <c r="H53" s="51">
        <f t="shared" si="39"/>
        <v>20000</v>
      </c>
      <c r="I53" s="51">
        <f t="shared" si="39"/>
        <v>8800</v>
      </c>
      <c r="J53" s="51">
        <f t="shared" si="39"/>
        <v>0</v>
      </c>
      <c r="K53" s="51">
        <f t="shared" si="39"/>
        <v>4800</v>
      </c>
      <c r="L53" s="51">
        <f t="shared" si="39"/>
        <v>8000</v>
      </c>
      <c r="M53" s="51">
        <f t="shared" si="39"/>
        <v>2400</v>
      </c>
      <c r="N53" s="51">
        <f t="shared" si="39"/>
        <v>400</v>
      </c>
      <c r="O53" s="51">
        <f t="shared" si="39"/>
        <v>2000</v>
      </c>
      <c r="P53" s="51">
        <f t="shared" si="39"/>
        <v>1600</v>
      </c>
      <c r="Q53" s="51">
        <f t="shared" si="39"/>
        <v>0</v>
      </c>
      <c r="R53" s="51">
        <f t="shared" si="39"/>
        <v>2000</v>
      </c>
      <c r="S53" s="51">
        <f t="shared" si="39"/>
        <v>4400</v>
      </c>
      <c r="T53" s="59">
        <f t="shared" si="24"/>
        <v>143600</v>
      </c>
    </row>
    <row r="54" spans="1:20" s="15" customFormat="1" ht="20.100000000000001" customHeight="1">
      <c r="A54" s="56" t="s">
        <v>131</v>
      </c>
      <c r="B54" s="60" t="s">
        <v>434</v>
      </c>
      <c r="C54" s="60" t="s">
        <v>27</v>
      </c>
      <c r="D54" s="68" t="s">
        <v>435</v>
      </c>
      <c r="E54" s="55">
        <f>400*E70</f>
        <v>36400</v>
      </c>
      <c r="F54" s="55">
        <f t="shared" ref="F54:S54" si="40">400*F70</f>
        <v>21600</v>
      </c>
      <c r="G54" s="55">
        <f t="shared" si="40"/>
        <v>31200</v>
      </c>
      <c r="H54" s="55">
        <f t="shared" si="40"/>
        <v>20000</v>
      </c>
      <c r="I54" s="55">
        <f t="shared" si="40"/>
        <v>8800</v>
      </c>
      <c r="J54" s="55">
        <f t="shared" si="40"/>
        <v>0</v>
      </c>
      <c r="K54" s="55">
        <f t="shared" si="40"/>
        <v>4800</v>
      </c>
      <c r="L54" s="55">
        <f t="shared" si="40"/>
        <v>8000</v>
      </c>
      <c r="M54" s="55">
        <f t="shared" si="40"/>
        <v>2400</v>
      </c>
      <c r="N54" s="55">
        <f t="shared" si="40"/>
        <v>400</v>
      </c>
      <c r="O54" s="55">
        <f t="shared" si="40"/>
        <v>2000</v>
      </c>
      <c r="P54" s="55">
        <f t="shared" si="40"/>
        <v>1600</v>
      </c>
      <c r="Q54" s="55">
        <f t="shared" si="40"/>
        <v>0</v>
      </c>
      <c r="R54" s="55">
        <f t="shared" si="40"/>
        <v>2000</v>
      </c>
      <c r="S54" s="55">
        <f t="shared" si="40"/>
        <v>4400</v>
      </c>
      <c r="T54" s="59">
        <f t="shared" si="24"/>
        <v>143600</v>
      </c>
    </row>
    <row r="55" spans="1:20" s="15" customFormat="1" ht="20.100000000000001" customHeight="1">
      <c r="A55" s="56" t="s">
        <v>134</v>
      </c>
      <c r="B55" s="60" t="s">
        <v>436</v>
      </c>
      <c r="C55" s="60"/>
      <c r="D55" s="68"/>
      <c r="E55" s="55">
        <f>E56</f>
        <v>6400</v>
      </c>
      <c r="F55" s="55">
        <f t="shared" ref="F55:S55" si="41">F56</f>
        <v>3000</v>
      </c>
      <c r="G55" s="55">
        <f t="shared" si="41"/>
        <v>1000</v>
      </c>
      <c r="H55" s="55">
        <f t="shared" si="41"/>
        <v>3700</v>
      </c>
      <c r="I55" s="55">
        <f t="shared" si="41"/>
        <v>5000</v>
      </c>
      <c r="J55" s="55">
        <f t="shared" si="41"/>
        <v>5000</v>
      </c>
      <c r="K55" s="55">
        <f t="shared" si="41"/>
        <v>4500</v>
      </c>
      <c r="L55" s="55">
        <f t="shared" si="41"/>
        <v>3600</v>
      </c>
      <c r="M55" s="55">
        <f t="shared" si="41"/>
        <v>4700</v>
      </c>
      <c r="N55" s="55">
        <f t="shared" si="41"/>
        <v>3000</v>
      </c>
      <c r="O55" s="55">
        <f t="shared" si="41"/>
        <v>5000</v>
      </c>
      <c r="P55" s="55">
        <f t="shared" si="41"/>
        <v>0</v>
      </c>
      <c r="Q55" s="55">
        <f t="shared" si="41"/>
        <v>2000</v>
      </c>
      <c r="R55" s="55">
        <f t="shared" si="41"/>
        <v>2000</v>
      </c>
      <c r="S55" s="55">
        <f t="shared" si="41"/>
        <v>3000</v>
      </c>
      <c r="T55" s="59">
        <f t="shared" si="24"/>
        <v>51900</v>
      </c>
    </row>
    <row r="56" spans="1:20" ht="20.100000000000001" customHeight="1">
      <c r="A56" s="56" t="s">
        <v>135</v>
      </c>
      <c r="B56" s="57" t="s">
        <v>437</v>
      </c>
      <c r="C56" s="57" t="s">
        <v>27</v>
      </c>
      <c r="D56" s="67" t="s">
        <v>438</v>
      </c>
      <c r="E56" s="69">
        <v>6400</v>
      </c>
      <c r="F56" s="69">
        <v>3000</v>
      </c>
      <c r="G56" s="69">
        <v>1000</v>
      </c>
      <c r="H56" s="69">
        <v>3700</v>
      </c>
      <c r="I56" s="69">
        <v>5000</v>
      </c>
      <c r="J56" s="69">
        <v>5000</v>
      </c>
      <c r="K56" s="69">
        <v>4500</v>
      </c>
      <c r="L56" s="69">
        <v>3600</v>
      </c>
      <c r="M56" s="69">
        <v>4700</v>
      </c>
      <c r="N56" s="69">
        <v>3000</v>
      </c>
      <c r="O56" s="69">
        <v>5000</v>
      </c>
      <c r="P56" s="69"/>
      <c r="Q56" s="69">
        <v>2000</v>
      </c>
      <c r="R56" s="69">
        <v>2000</v>
      </c>
      <c r="S56" s="69">
        <v>3000</v>
      </c>
      <c r="T56" s="59">
        <f t="shared" si="24"/>
        <v>51900</v>
      </c>
    </row>
    <row r="57" spans="1:20" ht="20.100000000000001" customHeight="1">
      <c r="A57" s="56" t="s">
        <v>136</v>
      </c>
      <c r="B57" s="57" t="s">
        <v>439</v>
      </c>
      <c r="C57" s="57"/>
      <c r="D57" s="58" t="s">
        <v>21</v>
      </c>
      <c r="E57" s="51">
        <f>E58</f>
        <v>0</v>
      </c>
      <c r="F57" s="51">
        <f t="shared" ref="F57:S57" si="42">F58</f>
        <v>0</v>
      </c>
      <c r="G57" s="51">
        <f t="shared" si="42"/>
        <v>0</v>
      </c>
      <c r="H57" s="51">
        <f t="shared" si="42"/>
        <v>0</v>
      </c>
      <c r="I57" s="51">
        <f t="shared" si="42"/>
        <v>0</v>
      </c>
      <c r="J57" s="51">
        <f t="shared" si="42"/>
        <v>32000</v>
      </c>
      <c r="K57" s="51">
        <f t="shared" si="42"/>
        <v>0</v>
      </c>
      <c r="L57" s="51">
        <f t="shared" si="42"/>
        <v>0</v>
      </c>
      <c r="M57" s="51">
        <f t="shared" si="42"/>
        <v>32000</v>
      </c>
      <c r="N57" s="51">
        <f t="shared" si="42"/>
        <v>32000</v>
      </c>
      <c r="O57" s="51">
        <f t="shared" si="42"/>
        <v>0</v>
      </c>
      <c r="P57" s="51">
        <f t="shared" si="42"/>
        <v>0</v>
      </c>
      <c r="Q57" s="51">
        <f t="shared" si="42"/>
        <v>32000</v>
      </c>
      <c r="R57" s="51">
        <f t="shared" si="42"/>
        <v>32000</v>
      </c>
      <c r="S57" s="51">
        <f t="shared" si="42"/>
        <v>32000</v>
      </c>
      <c r="T57" s="59">
        <f t="shared" si="24"/>
        <v>192000</v>
      </c>
    </row>
    <row r="58" spans="1:20" ht="20.100000000000001" customHeight="1" thickBot="1">
      <c r="A58" s="56" t="s">
        <v>139</v>
      </c>
      <c r="B58" s="16" t="s">
        <v>143</v>
      </c>
      <c r="C58" s="57" t="s">
        <v>27</v>
      </c>
      <c r="D58" s="17" t="s">
        <v>440</v>
      </c>
      <c r="E58" s="7"/>
      <c r="F58" s="7"/>
      <c r="G58" s="7"/>
      <c r="H58" s="7"/>
      <c r="I58" s="7"/>
      <c r="J58" s="7">
        <v>32000</v>
      </c>
      <c r="K58" s="7"/>
      <c r="L58" s="7"/>
      <c r="M58" s="7">
        <v>32000</v>
      </c>
      <c r="N58" s="7">
        <v>32000</v>
      </c>
      <c r="O58" s="7"/>
      <c r="P58" s="7"/>
      <c r="Q58" s="7">
        <v>32000</v>
      </c>
      <c r="R58" s="7">
        <v>32000</v>
      </c>
      <c r="S58" s="7">
        <v>32000</v>
      </c>
      <c r="T58" s="59">
        <f t="shared" si="24"/>
        <v>192000</v>
      </c>
    </row>
    <row r="59" spans="1:20" ht="20.100000000000001" customHeight="1" thickTop="1">
      <c r="A59" s="56" t="s">
        <v>141</v>
      </c>
      <c r="B59" s="18" t="s">
        <v>145</v>
      </c>
      <c r="C59" s="18"/>
      <c r="D59" s="19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59">
        <f t="shared" si="24"/>
        <v>0</v>
      </c>
    </row>
    <row r="60" spans="1:20" ht="20.100000000000001" customHeight="1">
      <c r="A60" s="56" t="s">
        <v>142</v>
      </c>
      <c r="B60" s="57" t="s">
        <v>147</v>
      </c>
      <c r="C60" s="57"/>
      <c r="D60" s="58" t="s">
        <v>441</v>
      </c>
      <c r="E60" s="51">
        <f>E61+E62+E63+E64</f>
        <v>112</v>
      </c>
      <c r="F60" s="51">
        <f t="shared" ref="F60:S60" si="43">F61+F62+F63+F64</f>
        <v>72</v>
      </c>
      <c r="G60" s="51">
        <f t="shared" si="43"/>
        <v>77</v>
      </c>
      <c r="H60" s="51">
        <f t="shared" si="43"/>
        <v>85</v>
      </c>
      <c r="I60" s="51">
        <f t="shared" si="43"/>
        <v>189</v>
      </c>
      <c r="J60" s="51">
        <f t="shared" si="43"/>
        <v>60</v>
      </c>
      <c r="K60" s="51">
        <f t="shared" si="43"/>
        <v>55</v>
      </c>
      <c r="L60" s="51">
        <f t="shared" si="43"/>
        <v>44</v>
      </c>
      <c r="M60" s="51">
        <f t="shared" si="43"/>
        <v>40</v>
      </c>
      <c r="N60" s="51">
        <f t="shared" si="43"/>
        <v>43</v>
      </c>
      <c r="O60" s="51">
        <f t="shared" si="43"/>
        <v>129</v>
      </c>
      <c r="P60" s="51">
        <f t="shared" si="43"/>
        <v>5</v>
      </c>
      <c r="Q60" s="51">
        <v>17</v>
      </c>
      <c r="R60" s="51">
        <f t="shared" si="43"/>
        <v>84</v>
      </c>
      <c r="S60" s="51">
        <f t="shared" si="43"/>
        <v>31</v>
      </c>
      <c r="T60" s="59">
        <f t="shared" si="24"/>
        <v>1043</v>
      </c>
    </row>
    <row r="61" spans="1:20" ht="20.100000000000001" customHeight="1">
      <c r="A61" s="56" t="s">
        <v>144</v>
      </c>
      <c r="B61" s="70" t="s">
        <v>149</v>
      </c>
      <c r="C61" s="70"/>
      <c r="D61" s="62"/>
      <c r="E61" s="63">
        <v>112</v>
      </c>
      <c r="F61" s="63">
        <v>72</v>
      </c>
      <c r="G61" s="63"/>
      <c r="H61" s="63"/>
      <c r="I61" s="63"/>
      <c r="J61" s="63"/>
      <c r="K61" s="63"/>
      <c r="L61" s="63"/>
      <c r="M61" s="63"/>
      <c r="N61" s="63"/>
      <c r="O61" s="63">
        <v>60</v>
      </c>
      <c r="P61" s="63"/>
      <c r="Q61" s="63"/>
      <c r="R61" s="63">
        <v>84</v>
      </c>
      <c r="S61" s="63"/>
      <c r="T61" s="59">
        <f t="shared" si="24"/>
        <v>328</v>
      </c>
    </row>
    <row r="62" spans="1:20" ht="20.100000000000001" customHeight="1">
      <c r="A62" s="56" t="s">
        <v>146</v>
      </c>
      <c r="B62" s="70" t="s">
        <v>151</v>
      </c>
      <c r="C62" s="70"/>
      <c r="D62" s="58"/>
      <c r="E62" s="55"/>
      <c r="F62" s="55"/>
      <c r="G62" s="55">
        <v>77</v>
      </c>
      <c r="H62" s="55">
        <v>85</v>
      </c>
      <c r="I62" s="55">
        <v>189</v>
      </c>
      <c r="J62" s="55">
        <v>60</v>
      </c>
      <c r="K62" s="55"/>
      <c r="L62" s="55"/>
      <c r="M62" s="55"/>
      <c r="N62" s="55"/>
      <c r="O62" s="55">
        <v>69</v>
      </c>
      <c r="P62" s="55"/>
      <c r="Q62" s="55"/>
      <c r="R62" s="55"/>
      <c r="S62" s="55"/>
      <c r="T62" s="59">
        <f t="shared" ref="T62:T72" si="44">SUM(E62:S62)</f>
        <v>480</v>
      </c>
    </row>
    <row r="63" spans="1:20" ht="20.100000000000001" customHeight="1">
      <c r="A63" s="56" t="s">
        <v>148</v>
      </c>
      <c r="B63" s="70" t="s">
        <v>153</v>
      </c>
      <c r="C63" s="70"/>
      <c r="D63" s="62"/>
      <c r="E63" s="63"/>
      <c r="F63" s="63"/>
      <c r="G63" s="63"/>
      <c r="H63" s="63"/>
      <c r="I63" s="63"/>
      <c r="J63" s="63"/>
      <c r="K63" s="63">
        <v>55</v>
      </c>
      <c r="L63" s="63">
        <v>44</v>
      </c>
      <c r="M63" s="63">
        <v>40</v>
      </c>
      <c r="N63" s="63">
        <v>43</v>
      </c>
      <c r="O63" s="63"/>
      <c r="P63" s="63"/>
      <c r="Q63" s="63">
        <v>17</v>
      </c>
      <c r="R63" s="63"/>
      <c r="S63" s="63">
        <v>31</v>
      </c>
      <c r="T63" s="59">
        <f t="shared" si="44"/>
        <v>230</v>
      </c>
    </row>
    <row r="64" spans="1:20" ht="20.100000000000001" customHeight="1">
      <c r="A64" s="56" t="s">
        <v>150</v>
      </c>
      <c r="B64" s="70" t="s">
        <v>155</v>
      </c>
      <c r="C64" s="70"/>
      <c r="D64" s="62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>
        <v>5</v>
      </c>
      <c r="Q64" s="63"/>
      <c r="R64" s="63"/>
      <c r="S64" s="63"/>
      <c r="T64" s="59">
        <f t="shared" si="44"/>
        <v>5</v>
      </c>
    </row>
    <row r="65" spans="1:20" ht="20.100000000000001" customHeight="1">
      <c r="A65" s="56" t="s">
        <v>152</v>
      </c>
      <c r="B65" s="57" t="s">
        <v>157</v>
      </c>
      <c r="C65" s="57"/>
      <c r="D65" s="58" t="s">
        <v>442</v>
      </c>
      <c r="E65" s="51">
        <f>E66+E67+E68+E69</f>
        <v>1486</v>
      </c>
      <c r="F65" s="51">
        <f t="shared" ref="F65:S65" si="45">F66+F67+F68+F69</f>
        <v>952</v>
      </c>
      <c r="G65" s="51">
        <f t="shared" si="45"/>
        <v>1091</v>
      </c>
      <c r="H65" s="51">
        <f t="shared" si="45"/>
        <v>1039</v>
      </c>
      <c r="I65" s="51">
        <f t="shared" si="45"/>
        <v>3206</v>
      </c>
      <c r="J65" s="51">
        <f t="shared" si="45"/>
        <v>892</v>
      </c>
      <c r="K65" s="51">
        <f t="shared" si="45"/>
        <v>679</v>
      </c>
      <c r="L65" s="51">
        <f t="shared" si="45"/>
        <v>506</v>
      </c>
      <c r="M65" s="51">
        <f t="shared" si="45"/>
        <v>513</v>
      </c>
      <c r="N65" s="51">
        <f t="shared" si="45"/>
        <v>548</v>
      </c>
      <c r="O65" s="51">
        <f t="shared" si="45"/>
        <v>1856</v>
      </c>
      <c r="P65" s="51">
        <f t="shared" si="45"/>
        <v>0</v>
      </c>
      <c r="Q65" s="51">
        <f t="shared" si="45"/>
        <v>239</v>
      </c>
      <c r="R65" s="51">
        <f t="shared" si="45"/>
        <v>1282</v>
      </c>
      <c r="S65" s="51">
        <f t="shared" si="45"/>
        <v>388</v>
      </c>
      <c r="T65" s="59">
        <f t="shared" si="44"/>
        <v>14677</v>
      </c>
    </row>
    <row r="66" spans="1:20" ht="20.100000000000001" customHeight="1">
      <c r="A66" s="56" t="s">
        <v>154</v>
      </c>
      <c r="B66" s="70" t="s">
        <v>149</v>
      </c>
      <c r="C66" s="70"/>
      <c r="D66" s="62"/>
      <c r="E66" s="63">
        <v>1486</v>
      </c>
      <c r="F66" s="63">
        <v>952</v>
      </c>
      <c r="G66" s="63"/>
      <c r="H66" s="63"/>
      <c r="I66" s="63"/>
      <c r="J66" s="63"/>
      <c r="K66" s="63"/>
      <c r="L66" s="63"/>
      <c r="M66" s="63"/>
      <c r="N66" s="63"/>
      <c r="O66" s="63">
        <v>835</v>
      </c>
      <c r="P66" s="63"/>
      <c r="Q66" s="63"/>
      <c r="R66" s="63">
        <v>1282</v>
      </c>
      <c r="S66" s="63"/>
      <c r="T66" s="59">
        <f t="shared" si="44"/>
        <v>4555</v>
      </c>
    </row>
    <row r="67" spans="1:20" ht="20.100000000000001" customHeight="1">
      <c r="A67" s="56" t="s">
        <v>156</v>
      </c>
      <c r="B67" s="70" t="s">
        <v>151</v>
      </c>
      <c r="C67" s="70"/>
      <c r="D67" s="58"/>
      <c r="E67" s="55"/>
      <c r="F67" s="55"/>
      <c r="G67" s="55">
        <v>1091</v>
      </c>
      <c r="H67" s="55">
        <v>1039</v>
      </c>
      <c r="I67" s="55">
        <v>3206</v>
      </c>
      <c r="J67" s="55">
        <v>892</v>
      </c>
      <c r="K67" s="55"/>
      <c r="L67" s="55"/>
      <c r="M67" s="55"/>
      <c r="N67" s="55"/>
      <c r="O67" s="55">
        <v>1021</v>
      </c>
      <c r="P67" s="55"/>
      <c r="Q67" s="55"/>
      <c r="R67" s="55"/>
      <c r="S67" s="55"/>
      <c r="T67" s="59">
        <f t="shared" si="44"/>
        <v>7249</v>
      </c>
    </row>
    <row r="68" spans="1:20" ht="20.100000000000001" customHeight="1">
      <c r="A68" s="56" t="s">
        <v>158</v>
      </c>
      <c r="B68" s="70" t="s">
        <v>153</v>
      </c>
      <c r="C68" s="70"/>
      <c r="D68" s="62"/>
      <c r="E68" s="63"/>
      <c r="F68" s="63"/>
      <c r="G68" s="63"/>
      <c r="H68" s="63"/>
      <c r="I68" s="63"/>
      <c r="J68" s="63"/>
      <c r="K68" s="63">
        <v>679</v>
      </c>
      <c r="L68" s="63">
        <v>506</v>
      </c>
      <c r="M68" s="63">
        <v>513</v>
      </c>
      <c r="N68" s="63">
        <v>548</v>
      </c>
      <c r="O68" s="63"/>
      <c r="P68" s="63"/>
      <c r="Q68" s="63">
        <v>239</v>
      </c>
      <c r="R68" s="63"/>
      <c r="S68" s="63">
        <v>388</v>
      </c>
      <c r="T68" s="59">
        <f t="shared" si="44"/>
        <v>2873</v>
      </c>
    </row>
    <row r="69" spans="1:20" ht="20.100000000000001" customHeight="1">
      <c r="A69" s="56" t="s">
        <v>159</v>
      </c>
      <c r="B69" s="70" t="s">
        <v>155</v>
      </c>
      <c r="C69" s="70"/>
      <c r="D69" s="62"/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59">
        <f t="shared" si="44"/>
        <v>0</v>
      </c>
    </row>
    <row r="70" spans="1:20" ht="20.100000000000001" customHeight="1">
      <c r="A70" s="56" t="s">
        <v>160</v>
      </c>
      <c r="B70" s="57" t="s">
        <v>443</v>
      </c>
      <c r="C70" s="57"/>
      <c r="D70" s="58"/>
      <c r="E70" s="55">
        <v>91</v>
      </c>
      <c r="F70" s="55">
        <v>54</v>
      </c>
      <c r="G70" s="55">
        <v>78</v>
      </c>
      <c r="H70" s="55">
        <v>50</v>
      </c>
      <c r="I70" s="55">
        <v>22</v>
      </c>
      <c r="J70" s="55"/>
      <c r="K70" s="55">
        <v>12</v>
      </c>
      <c r="L70" s="55">
        <v>20</v>
      </c>
      <c r="M70" s="55">
        <v>6</v>
      </c>
      <c r="N70" s="55">
        <v>1</v>
      </c>
      <c r="O70" s="55">
        <v>5</v>
      </c>
      <c r="P70" s="55">
        <v>4</v>
      </c>
      <c r="Q70" s="55"/>
      <c r="R70" s="55">
        <v>5</v>
      </c>
      <c r="S70" s="55">
        <v>11</v>
      </c>
      <c r="T70" s="59">
        <f t="shared" si="44"/>
        <v>359</v>
      </c>
    </row>
    <row r="71" spans="1:20" ht="20.100000000000001" customHeight="1">
      <c r="A71" s="56" t="s">
        <v>161</v>
      </c>
      <c r="B71" s="70" t="s">
        <v>444</v>
      </c>
      <c r="C71" s="70"/>
      <c r="D71" s="67"/>
      <c r="E71" s="55">
        <v>32622</v>
      </c>
      <c r="F71" s="55">
        <v>9046</v>
      </c>
      <c r="G71" s="55">
        <v>13627</v>
      </c>
      <c r="H71" s="55">
        <v>17902</v>
      </c>
      <c r="I71" s="55">
        <v>25772.240000000002</v>
      </c>
      <c r="J71" s="55">
        <v>13105.71</v>
      </c>
      <c r="K71" s="55">
        <f>10602.95+3127.29</f>
        <v>13730.240000000002</v>
      </c>
      <c r="L71" s="55">
        <f>6627.96+9667</f>
        <v>16294.96</v>
      </c>
      <c r="M71" s="55">
        <v>11478.41</v>
      </c>
      <c r="N71" s="55">
        <v>9116.92</v>
      </c>
      <c r="O71" s="55">
        <v>33999.89</v>
      </c>
      <c r="P71" s="55">
        <v>2300</v>
      </c>
      <c r="Q71" s="55">
        <v>4357</v>
      </c>
      <c r="R71" s="55">
        <v>13284.58</v>
      </c>
      <c r="S71" s="55">
        <f>2564.98+1394.54</f>
        <v>3959.52</v>
      </c>
      <c r="T71" s="59">
        <f t="shared" si="44"/>
        <v>220596.47000000003</v>
      </c>
    </row>
    <row r="72" spans="1:20" ht="20.100000000000001" customHeight="1">
      <c r="A72" s="56" t="s">
        <v>162</v>
      </c>
      <c r="B72" s="70" t="s">
        <v>445</v>
      </c>
      <c r="C72" s="70"/>
      <c r="D72" s="67"/>
      <c r="E72" s="55">
        <v>29824</v>
      </c>
      <c r="F72" s="55">
        <v>8662</v>
      </c>
      <c r="G72" s="55">
        <v>8000</v>
      </c>
      <c r="H72" s="55">
        <v>8000</v>
      </c>
      <c r="I72" s="55">
        <v>15855</v>
      </c>
      <c r="J72" s="55">
        <v>4669</v>
      </c>
      <c r="K72" s="55">
        <f>4900+1492</f>
        <v>6392</v>
      </c>
      <c r="L72" s="55">
        <f>4663.8+2548.8</f>
        <v>7212.6</v>
      </c>
      <c r="M72" s="55">
        <v>6585.2</v>
      </c>
      <c r="N72" s="55">
        <v>3060</v>
      </c>
      <c r="O72" s="55">
        <v>21060</v>
      </c>
      <c r="P72" s="55"/>
      <c r="Q72" s="55">
        <v>1505</v>
      </c>
      <c r="R72" s="55">
        <v>6784</v>
      </c>
      <c r="S72" s="55">
        <v>4013</v>
      </c>
      <c r="T72" s="59">
        <f t="shared" si="44"/>
        <v>131621.79999999999</v>
      </c>
    </row>
    <row r="73" spans="1:20">
      <c r="E73" s="3">
        <f>E5/E60</f>
        <v>398592.64285714284</v>
      </c>
      <c r="F73" s="3">
        <f t="shared" ref="F73:T73" si="46">F5/F60</f>
        <v>389440.92847222224</v>
      </c>
      <c r="G73" s="3">
        <f t="shared" si="46"/>
        <v>377230.7494805195</v>
      </c>
      <c r="H73" s="3">
        <f t="shared" si="46"/>
        <v>371088.22529411764</v>
      </c>
      <c r="I73" s="3">
        <f t="shared" si="46"/>
        <v>360863.94100529095</v>
      </c>
      <c r="J73" s="3">
        <f t="shared" si="46"/>
        <v>349814.57149999996</v>
      </c>
      <c r="K73" s="3">
        <f t="shared" si="46"/>
        <v>328021.47545454552</v>
      </c>
      <c r="L73" s="3">
        <f t="shared" si="46"/>
        <v>328182.49340909091</v>
      </c>
      <c r="M73" s="3">
        <f t="shared" si="46"/>
        <v>319905.44275000005</v>
      </c>
      <c r="N73" s="3">
        <f t="shared" si="46"/>
        <v>325209.06302325585</v>
      </c>
      <c r="O73" s="3">
        <f t="shared" si="46"/>
        <v>376867.51503875968</v>
      </c>
      <c r="P73" s="3">
        <f t="shared" si="46"/>
        <v>368817.31199999998</v>
      </c>
      <c r="Q73" s="3">
        <f t="shared" si="46"/>
        <v>302397.84941176465</v>
      </c>
      <c r="R73" s="3">
        <f t="shared" si="46"/>
        <v>370543.77559523808</v>
      </c>
      <c r="S73" s="3">
        <f t="shared" si="46"/>
        <v>319395.77903225803</v>
      </c>
      <c r="T73" s="23">
        <f t="shared" si="46"/>
        <v>362754.24052732496</v>
      </c>
    </row>
    <row r="74" spans="1:20">
      <c r="E74" s="3">
        <f>E34/E70</f>
        <v>19860</v>
      </c>
      <c r="F74" s="3">
        <f t="shared" ref="F74:T74" si="47">F34/F70</f>
        <v>19905.555555555555</v>
      </c>
      <c r="G74" s="3">
        <f t="shared" si="47"/>
        <v>17504.615384615383</v>
      </c>
      <c r="H74" s="3">
        <f t="shared" si="47"/>
        <v>17485.2</v>
      </c>
      <c r="I74" s="3">
        <f t="shared" si="47"/>
        <v>17277.272727272728</v>
      </c>
      <c r="J74" s="3" t="e">
        <f t="shared" si="47"/>
        <v>#DIV/0!</v>
      </c>
      <c r="K74" s="3">
        <f t="shared" si="47"/>
        <v>16860</v>
      </c>
      <c r="L74" s="3">
        <f t="shared" si="47"/>
        <v>15828</v>
      </c>
      <c r="M74" s="3">
        <f t="shared" si="47"/>
        <v>15890</v>
      </c>
      <c r="N74" s="3">
        <f t="shared" si="47"/>
        <v>13020</v>
      </c>
      <c r="O74" s="3">
        <f t="shared" si="47"/>
        <v>14676</v>
      </c>
      <c r="P74" s="3">
        <f t="shared" si="47"/>
        <v>19725</v>
      </c>
      <c r="Q74" s="3" t="e">
        <f t="shared" si="47"/>
        <v>#DIV/0!</v>
      </c>
      <c r="R74" s="3">
        <f t="shared" si="47"/>
        <v>14124</v>
      </c>
      <c r="S74" s="3">
        <f t="shared" si="47"/>
        <v>15752.727272727272</v>
      </c>
      <c r="T74" s="23">
        <f t="shared" si="47"/>
        <v>18176.32311977716</v>
      </c>
    </row>
    <row r="75" spans="1:20">
      <c r="B75" s="362"/>
      <c r="C75" s="362"/>
      <c r="D75" s="362"/>
      <c r="E75" s="362"/>
      <c r="F75" s="362"/>
      <c r="G75" s="362"/>
      <c r="H75" s="362"/>
      <c r="I75" s="362"/>
      <c r="J75" s="362"/>
      <c r="K75" s="362"/>
    </row>
    <row r="82" spans="18:19">
      <c r="R82" s="23"/>
      <c r="S82" s="71"/>
    </row>
    <row r="83" spans="18:19">
      <c r="R83" s="24"/>
    </row>
  </sheetData>
  <protectedRanges>
    <protectedRange password="E9C1" sqref="D30 C31 A5:D6 A2:T2 C22:D22 B23:D23 C24:D25 B7:D13 C14:D14 B15:D21 B26:D26 C27:D27 B28:D29 B32:D72 A7:A72 T5:T72 A4:T4 A3:D3 T3" name="区域1_1"/>
    <protectedRange password="E9C1" sqref="B30:C30 B31" name="区域1_1_1"/>
    <protectedRange password="E9C1" sqref="D31" name="区域1_2"/>
    <protectedRange sqref="B22" name="区域1_1_2"/>
    <protectedRange sqref="B24:B25" name="区域1_1_3"/>
    <protectedRange sqref="B14" name="区域1_1_4"/>
    <protectedRange sqref="B27" name="区域1_1_5"/>
  </protectedRanges>
  <mergeCells count="7">
    <mergeCell ref="A1:T1"/>
    <mergeCell ref="B75:K75"/>
    <mergeCell ref="A2:A3"/>
    <mergeCell ref="B2:B3"/>
    <mergeCell ref="C2:C3"/>
    <mergeCell ref="D2:D3"/>
    <mergeCell ref="T2:T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5" orientation="landscape" verticalDpi="0" r:id="rId1"/>
  <headerFooter>
    <oddFooter>第 &amp;P 页，共 &amp;N 页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P74"/>
  <sheetViews>
    <sheetView workbookViewId="0">
      <selection activeCell="A39" sqref="A39:XFD39"/>
    </sheetView>
  </sheetViews>
  <sheetFormatPr defaultRowHeight="11.25"/>
  <cols>
    <col min="1" max="1" width="3.875" style="13" customWidth="1"/>
    <col min="2" max="2" width="14.625" style="1" customWidth="1"/>
    <col min="3" max="3" width="0" style="1" hidden="1" customWidth="1"/>
    <col min="4" max="4" width="0" style="14" hidden="1" customWidth="1"/>
    <col min="5" max="16" width="11.625" style="1" customWidth="1"/>
    <col min="17" max="16384" width="9" style="1"/>
  </cols>
  <sheetData>
    <row r="1" spans="1:16" ht="25.5">
      <c r="A1" s="354" t="s">
        <v>832</v>
      </c>
      <c r="B1" s="355"/>
      <c r="C1" s="355"/>
      <c r="D1" s="355"/>
      <c r="E1" s="355"/>
      <c r="F1" s="355"/>
      <c r="G1" s="355"/>
      <c r="H1" s="355"/>
      <c r="I1" s="355"/>
      <c r="J1" s="355"/>
      <c r="K1" s="355"/>
      <c r="L1" s="355"/>
      <c r="M1" s="355"/>
      <c r="N1" s="355"/>
      <c r="O1" s="355"/>
      <c r="P1" s="355"/>
    </row>
    <row r="2" spans="1:16" ht="15" customHeight="1">
      <c r="A2" s="358" t="s">
        <v>12</v>
      </c>
      <c r="B2" s="358" t="s">
        <v>13</v>
      </c>
      <c r="C2" s="358" t="s">
        <v>14</v>
      </c>
      <c r="D2" s="358" t="s">
        <v>15</v>
      </c>
      <c r="E2" s="33" t="s">
        <v>188</v>
      </c>
      <c r="F2" s="33" t="s">
        <v>189</v>
      </c>
      <c r="G2" s="33" t="s">
        <v>446</v>
      </c>
      <c r="H2" s="33" t="s">
        <v>447</v>
      </c>
      <c r="I2" s="33" t="s">
        <v>190</v>
      </c>
      <c r="J2" s="33" t="s">
        <v>191</v>
      </c>
      <c r="K2" s="33" t="s">
        <v>192</v>
      </c>
      <c r="L2" s="33" t="s">
        <v>193</v>
      </c>
      <c r="M2" s="33" t="s">
        <v>194</v>
      </c>
      <c r="N2" s="33" t="s">
        <v>448</v>
      </c>
      <c r="O2" s="33" t="s">
        <v>273</v>
      </c>
      <c r="P2" s="358" t="s">
        <v>17</v>
      </c>
    </row>
    <row r="3" spans="1:16" ht="15" customHeight="1">
      <c r="A3" s="359"/>
      <c r="B3" s="359"/>
      <c r="C3" s="359"/>
      <c r="D3" s="359"/>
      <c r="E3" s="33" t="s">
        <v>464</v>
      </c>
      <c r="F3" s="33" t="s">
        <v>464</v>
      </c>
      <c r="G3" s="33" t="s">
        <v>462</v>
      </c>
      <c r="H3" s="33" t="s">
        <v>463</v>
      </c>
      <c r="I3" s="33" t="s">
        <v>463</v>
      </c>
      <c r="J3" s="33" t="s">
        <v>460</v>
      </c>
      <c r="K3" s="33" t="s">
        <v>460</v>
      </c>
      <c r="L3" s="33" t="s">
        <v>460</v>
      </c>
      <c r="M3" s="33" t="s">
        <v>460</v>
      </c>
      <c r="N3" s="33" t="s">
        <v>460</v>
      </c>
      <c r="O3" s="33" t="s">
        <v>461</v>
      </c>
      <c r="P3" s="359"/>
    </row>
    <row r="4" spans="1:16" ht="15" customHeight="1">
      <c r="A4" s="35" t="s">
        <v>19</v>
      </c>
      <c r="B4" s="36" t="s">
        <v>20</v>
      </c>
      <c r="C4" s="36"/>
      <c r="D4" s="37" t="s">
        <v>21</v>
      </c>
      <c r="E4" s="38">
        <f t="shared" ref="E4:O4" si="0">E5+E32+E37</f>
        <v>32928374.25</v>
      </c>
      <c r="F4" s="38">
        <f t="shared" si="0"/>
        <v>27322904.350000001</v>
      </c>
      <c r="G4" s="38">
        <f t="shared" si="0"/>
        <v>47045953.700000003</v>
      </c>
      <c r="H4" s="38">
        <f t="shared" si="0"/>
        <v>29863482.149999999</v>
      </c>
      <c r="I4" s="38">
        <f t="shared" si="0"/>
        <v>37091954.399999999</v>
      </c>
      <c r="J4" s="38">
        <f t="shared" si="0"/>
        <v>19579173.25</v>
      </c>
      <c r="K4" s="38">
        <f t="shared" si="0"/>
        <v>16427544.75</v>
      </c>
      <c r="L4" s="38">
        <f t="shared" si="0"/>
        <v>13859588.699999999</v>
      </c>
      <c r="M4" s="38">
        <f t="shared" si="0"/>
        <v>16906742.25</v>
      </c>
      <c r="N4" s="38">
        <f t="shared" si="0"/>
        <v>2394254.4</v>
      </c>
      <c r="O4" s="38">
        <f t="shared" si="0"/>
        <v>523401</v>
      </c>
      <c r="P4" s="38">
        <f t="shared" ref="P4:P67" si="1">SUM(E4:O4)</f>
        <v>243943373.20000002</v>
      </c>
    </row>
    <row r="5" spans="1:16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26959850</v>
      </c>
      <c r="F5" s="38">
        <f t="shared" ref="F5:O5" si="2">F6+F9+F13+F16+F21+F26+F28+F30+F31</f>
        <v>22765148</v>
      </c>
      <c r="G5" s="38">
        <f t="shared" si="2"/>
        <v>40357552</v>
      </c>
      <c r="H5" s="38">
        <f t="shared" si="2"/>
        <v>24963744</v>
      </c>
      <c r="I5" s="38">
        <f t="shared" si="2"/>
        <v>29189870</v>
      </c>
      <c r="J5" s="38">
        <f t="shared" si="2"/>
        <v>16883292</v>
      </c>
      <c r="K5" s="38">
        <f t="shared" si="2"/>
        <v>14170256</v>
      </c>
      <c r="L5" s="38">
        <f t="shared" si="2"/>
        <v>11897988</v>
      </c>
      <c r="M5" s="38">
        <f t="shared" si="2"/>
        <v>14764976</v>
      </c>
      <c r="N5" s="38">
        <f t="shared" si="2"/>
        <v>1330868</v>
      </c>
      <c r="O5" s="38">
        <f t="shared" si="2"/>
        <v>422136</v>
      </c>
      <c r="P5" s="38">
        <f t="shared" si="1"/>
        <v>203705680</v>
      </c>
    </row>
    <row r="6" spans="1:16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3671290</v>
      </c>
      <c r="F6" s="38">
        <f t="shared" ref="F6:O6" si="3">F7+F8</f>
        <v>3123440</v>
      </c>
      <c r="G6" s="38">
        <f t="shared" si="3"/>
        <v>5508670</v>
      </c>
      <c r="H6" s="38">
        <f t="shared" si="3"/>
        <v>3289790</v>
      </c>
      <c r="I6" s="38">
        <f t="shared" si="3"/>
        <v>3939060</v>
      </c>
      <c r="J6" s="38">
        <f t="shared" si="3"/>
        <v>2280710</v>
      </c>
      <c r="K6" s="38">
        <f t="shared" si="3"/>
        <v>1943550</v>
      </c>
      <c r="L6" s="38">
        <f t="shared" si="3"/>
        <v>1667210</v>
      </c>
      <c r="M6" s="38">
        <f t="shared" si="3"/>
        <v>2097590</v>
      </c>
      <c r="N6" s="38">
        <f t="shared" si="3"/>
        <v>184990</v>
      </c>
      <c r="O6" s="38">
        <f t="shared" si="3"/>
        <v>69560</v>
      </c>
      <c r="P6" s="38">
        <f t="shared" si="1"/>
        <v>27775860</v>
      </c>
    </row>
    <row r="7" spans="1:16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2041210</v>
      </c>
      <c r="F7" s="40">
        <v>1720220</v>
      </c>
      <c r="G7" s="40">
        <v>2849420</v>
      </c>
      <c r="H7" s="40">
        <v>1751730</v>
      </c>
      <c r="I7" s="40">
        <v>2179470</v>
      </c>
      <c r="J7" s="40">
        <v>1348050</v>
      </c>
      <c r="K7" s="40">
        <v>1148220</v>
      </c>
      <c r="L7" s="40">
        <v>969590</v>
      </c>
      <c r="M7" s="40">
        <v>1185220</v>
      </c>
      <c r="N7" s="40">
        <v>115270</v>
      </c>
      <c r="O7" s="40">
        <v>33280</v>
      </c>
      <c r="P7" s="38">
        <f t="shared" si="1"/>
        <v>15341680</v>
      </c>
    </row>
    <row r="8" spans="1:16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1630080</v>
      </c>
      <c r="F8" s="40">
        <v>1403220</v>
      </c>
      <c r="G8" s="40">
        <v>2659250</v>
      </c>
      <c r="H8" s="40">
        <v>1538060</v>
      </c>
      <c r="I8" s="40">
        <v>1759590</v>
      </c>
      <c r="J8" s="40">
        <v>932660</v>
      </c>
      <c r="K8" s="40">
        <v>795330</v>
      </c>
      <c r="L8" s="40">
        <v>697620</v>
      </c>
      <c r="M8" s="40">
        <v>912370</v>
      </c>
      <c r="N8" s="40">
        <v>69720</v>
      </c>
      <c r="O8" s="40">
        <v>36280</v>
      </c>
      <c r="P8" s="38">
        <f t="shared" si="1"/>
        <v>12434180</v>
      </c>
    </row>
    <row r="9" spans="1:16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375400</v>
      </c>
      <c r="F9" s="38">
        <f t="shared" ref="F9:O9" si="4">F10+F11</f>
        <v>305820</v>
      </c>
      <c r="G9" s="38">
        <f t="shared" si="4"/>
        <v>1087680</v>
      </c>
      <c r="H9" s="38">
        <f t="shared" si="4"/>
        <v>364200</v>
      </c>
      <c r="I9" s="38">
        <f t="shared" si="4"/>
        <v>423048</v>
      </c>
      <c r="J9" s="38">
        <f t="shared" si="4"/>
        <v>283340</v>
      </c>
      <c r="K9" s="38">
        <f t="shared" si="4"/>
        <v>235080</v>
      </c>
      <c r="L9" s="38">
        <f t="shared" si="4"/>
        <v>198180</v>
      </c>
      <c r="M9" s="38">
        <f t="shared" si="4"/>
        <v>241176</v>
      </c>
      <c r="N9" s="38">
        <f t="shared" si="4"/>
        <v>21432</v>
      </c>
      <c r="O9" s="38">
        <f t="shared" si="4"/>
        <v>5400</v>
      </c>
      <c r="P9" s="38">
        <f t="shared" si="1"/>
        <v>3540756</v>
      </c>
    </row>
    <row r="10" spans="1:16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5800</v>
      </c>
      <c r="F10" s="40">
        <v>4860</v>
      </c>
      <c r="G10" s="40">
        <v>543840</v>
      </c>
      <c r="H10" s="40">
        <v>5160</v>
      </c>
      <c r="I10" s="40">
        <v>5928</v>
      </c>
      <c r="J10" s="40">
        <v>3500</v>
      </c>
      <c r="K10" s="40">
        <v>2760</v>
      </c>
      <c r="L10" s="40">
        <v>2820</v>
      </c>
      <c r="M10" s="40">
        <v>3576</v>
      </c>
      <c r="N10" s="40">
        <v>312</v>
      </c>
      <c r="O10" s="40">
        <v>120</v>
      </c>
      <c r="P10" s="38">
        <f t="shared" si="1"/>
        <v>578676</v>
      </c>
    </row>
    <row r="11" spans="1:16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369600</v>
      </c>
      <c r="F11" s="38">
        <f t="shared" ref="F11:O11" si="5">F12</f>
        <v>300960</v>
      </c>
      <c r="G11" s="38">
        <f t="shared" si="5"/>
        <v>543840</v>
      </c>
      <c r="H11" s="38">
        <f t="shared" si="5"/>
        <v>359040</v>
      </c>
      <c r="I11" s="38">
        <f t="shared" si="5"/>
        <v>417120</v>
      </c>
      <c r="J11" s="38">
        <f t="shared" si="5"/>
        <v>279840</v>
      </c>
      <c r="K11" s="38">
        <f t="shared" si="5"/>
        <v>232320</v>
      </c>
      <c r="L11" s="38">
        <f t="shared" si="5"/>
        <v>195360</v>
      </c>
      <c r="M11" s="38">
        <f t="shared" si="5"/>
        <v>237600</v>
      </c>
      <c r="N11" s="38">
        <f t="shared" si="5"/>
        <v>21120</v>
      </c>
      <c r="O11" s="38">
        <f t="shared" si="5"/>
        <v>5280</v>
      </c>
      <c r="P11" s="38">
        <f t="shared" si="1"/>
        <v>2962080</v>
      </c>
    </row>
    <row r="12" spans="1:16" s="2" customFormat="1" ht="15" customHeight="1">
      <c r="A12" s="35" t="s">
        <v>37</v>
      </c>
      <c r="B12" s="42" t="s">
        <v>309</v>
      </c>
      <c r="C12" s="42" t="s">
        <v>27</v>
      </c>
      <c r="D12" s="39" t="s">
        <v>21</v>
      </c>
      <c r="E12" s="38">
        <f t="shared" ref="E12:O12" si="6">440*12*E60</f>
        <v>369600</v>
      </c>
      <c r="F12" s="38">
        <f t="shared" si="6"/>
        <v>300960</v>
      </c>
      <c r="G12" s="38">
        <f t="shared" si="6"/>
        <v>543840</v>
      </c>
      <c r="H12" s="38">
        <f t="shared" si="6"/>
        <v>359040</v>
      </c>
      <c r="I12" s="38">
        <f t="shared" si="6"/>
        <v>417120</v>
      </c>
      <c r="J12" s="38">
        <f t="shared" si="6"/>
        <v>279840</v>
      </c>
      <c r="K12" s="38">
        <f t="shared" si="6"/>
        <v>232320</v>
      </c>
      <c r="L12" s="38">
        <f t="shared" si="6"/>
        <v>195360</v>
      </c>
      <c r="M12" s="38">
        <f t="shared" si="6"/>
        <v>237600</v>
      </c>
      <c r="N12" s="38">
        <f t="shared" si="6"/>
        <v>21120</v>
      </c>
      <c r="O12" s="38">
        <f t="shared" si="6"/>
        <v>5280</v>
      </c>
      <c r="P12" s="38">
        <f t="shared" si="1"/>
        <v>2962080</v>
      </c>
    </row>
    <row r="13" spans="1:16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177484</v>
      </c>
      <c r="F13" s="38">
        <f t="shared" ref="F13:O13" si="7">F14+F15</f>
        <v>159590</v>
      </c>
      <c r="G13" s="38">
        <f t="shared" si="7"/>
        <v>262180</v>
      </c>
      <c r="H13" s="38">
        <f t="shared" si="7"/>
        <v>167402</v>
      </c>
      <c r="I13" s="38">
        <f t="shared" si="7"/>
        <v>196056</v>
      </c>
      <c r="J13" s="38">
        <f t="shared" si="7"/>
        <v>112914</v>
      </c>
      <c r="K13" s="38">
        <f t="shared" si="7"/>
        <v>96050</v>
      </c>
      <c r="L13" s="38">
        <f t="shared" si="7"/>
        <v>79630</v>
      </c>
      <c r="M13" s="38">
        <f t="shared" si="7"/>
        <v>101834</v>
      </c>
      <c r="N13" s="38">
        <f t="shared" si="7"/>
        <v>9494</v>
      </c>
      <c r="O13" s="38">
        <f t="shared" si="7"/>
        <v>3170</v>
      </c>
      <c r="P13" s="38">
        <f t="shared" si="1"/>
        <v>1365804</v>
      </c>
    </row>
    <row r="14" spans="1:16" s="2" customFormat="1" ht="15" customHeight="1">
      <c r="A14" s="35" t="s">
        <v>42</v>
      </c>
      <c r="B14" s="42" t="s">
        <v>310</v>
      </c>
      <c r="C14" s="42" t="s">
        <v>27</v>
      </c>
      <c r="D14" s="39" t="s">
        <v>43</v>
      </c>
      <c r="E14" s="38">
        <f>ROUND(E30/0.07*0.005,2)</f>
        <v>88742</v>
      </c>
      <c r="F14" s="38">
        <f t="shared" ref="F14:O14" si="8">ROUND(F30/0.07*0.005,2)</f>
        <v>79795</v>
      </c>
      <c r="G14" s="38">
        <f t="shared" si="8"/>
        <v>131090</v>
      </c>
      <c r="H14" s="38">
        <f t="shared" si="8"/>
        <v>83701</v>
      </c>
      <c r="I14" s="38">
        <f t="shared" si="8"/>
        <v>98028</v>
      </c>
      <c r="J14" s="38">
        <f t="shared" si="8"/>
        <v>56457</v>
      </c>
      <c r="K14" s="38">
        <f t="shared" si="8"/>
        <v>48025</v>
      </c>
      <c r="L14" s="38">
        <f t="shared" si="8"/>
        <v>39815</v>
      </c>
      <c r="M14" s="38">
        <f t="shared" si="8"/>
        <v>50917</v>
      </c>
      <c r="N14" s="38">
        <f t="shared" si="8"/>
        <v>4747</v>
      </c>
      <c r="O14" s="38">
        <f t="shared" si="8"/>
        <v>1585</v>
      </c>
      <c r="P14" s="38">
        <f t="shared" si="1"/>
        <v>682902</v>
      </c>
    </row>
    <row r="15" spans="1:16" s="2" customFormat="1" ht="15" customHeight="1">
      <c r="A15" s="35" t="s">
        <v>44</v>
      </c>
      <c r="B15" s="42" t="s">
        <v>311</v>
      </c>
      <c r="C15" s="42" t="s">
        <v>27</v>
      </c>
      <c r="D15" s="39" t="s">
        <v>43</v>
      </c>
      <c r="E15" s="38">
        <f>ROUND(E30/0.07*0.005,2)</f>
        <v>88742</v>
      </c>
      <c r="F15" s="38">
        <f t="shared" ref="F15:O15" si="9">ROUND(F30/0.07*0.005,2)</f>
        <v>79795</v>
      </c>
      <c r="G15" s="38">
        <f t="shared" si="9"/>
        <v>131090</v>
      </c>
      <c r="H15" s="38">
        <f t="shared" si="9"/>
        <v>83701</v>
      </c>
      <c r="I15" s="38">
        <f t="shared" si="9"/>
        <v>98028</v>
      </c>
      <c r="J15" s="38">
        <f t="shared" si="9"/>
        <v>56457</v>
      </c>
      <c r="K15" s="38">
        <f t="shared" si="9"/>
        <v>48025</v>
      </c>
      <c r="L15" s="38">
        <f t="shared" si="9"/>
        <v>39815</v>
      </c>
      <c r="M15" s="38">
        <f t="shared" si="9"/>
        <v>50917</v>
      </c>
      <c r="N15" s="38">
        <f t="shared" si="9"/>
        <v>4747</v>
      </c>
      <c r="O15" s="38">
        <f t="shared" si="9"/>
        <v>1585</v>
      </c>
      <c r="P15" s="38">
        <f t="shared" si="1"/>
        <v>682902</v>
      </c>
    </row>
    <row r="16" spans="1:16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14926380</v>
      </c>
      <c r="F16" s="38">
        <f t="shared" ref="F16:L16" si="10">F17+F18+F19+F20</f>
        <v>12154338</v>
      </c>
      <c r="G16" s="38">
        <f t="shared" si="10"/>
        <v>21963102</v>
      </c>
      <c r="H16" s="38">
        <f t="shared" si="10"/>
        <v>13776664</v>
      </c>
      <c r="I16" s="38">
        <f t="shared" si="10"/>
        <v>16005242</v>
      </c>
      <c r="J16" s="38">
        <f t="shared" si="10"/>
        <v>9238112</v>
      </c>
      <c r="K16" s="38">
        <f t="shared" si="10"/>
        <v>7669376</v>
      </c>
      <c r="L16" s="38">
        <f t="shared" si="10"/>
        <v>6449248</v>
      </c>
      <c r="M16" s="38">
        <f>M17+M18+M19+M20</f>
        <v>7843680</v>
      </c>
      <c r="N16" s="38">
        <f>N17+N18+N19+N20</f>
        <v>697216</v>
      </c>
      <c r="O16" s="38">
        <f>O17+O18+O19+O20</f>
        <v>204526</v>
      </c>
      <c r="P16" s="38">
        <f t="shared" si="1"/>
        <v>110927884</v>
      </c>
    </row>
    <row r="17" spans="1:16" ht="15" customHeight="1">
      <c r="A17" s="35" t="s">
        <v>48</v>
      </c>
      <c r="B17" s="43" t="s">
        <v>49</v>
      </c>
      <c r="C17" s="43" t="s">
        <v>27</v>
      </c>
      <c r="D17" s="44" t="s">
        <v>312</v>
      </c>
      <c r="E17" s="45">
        <v>13284396</v>
      </c>
      <c r="F17" s="45">
        <v>11012746</v>
      </c>
      <c r="G17" s="45">
        <v>19983300</v>
      </c>
      <c r="H17" s="45">
        <v>12449282</v>
      </c>
      <c r="I17" s="45">
        <v>14444409</v>
      </c>
      <c r="J17" s="45">
        <v>8697288</v>
      </c>
      <c r="K17" s="45">
        <v>7161900</v>
      </c>
      <c r="L17" s="45">
        <v>5980364</v>
      </c>
      <c r="M17" s="45">
        <v>7318264</v>
      </c>
      <c r="N17" s="45">
        <v>499260</v>
      </c>
      <c r="O17" s="45">
        <v>198526</v>
      </c>
      <c r="P17" s="38">
        <f t="shared" si="1"/>
        <v>101029735</v>
      </c>
    </row>
    <row r="18" spans="1:16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521984</v>
      </c>
      <c r="F18" s="45">
        <v>229592</v>
      </c>
      <c r="G18" s="45">
        <v>331802</v>
      </c>
      <c r="H18" s="45">
        <v>239382</v>
      </c>
      <c r="I18" s="45">
        <v>296833</v>
      </c>
      <c r="J18" s="45">
        <v>222824</v>
      </c>
      <c r="K18" s="45">
        <v>243476</v>
      </c>
      <c r="L18" s="45">
        <v>246884</v>
      </c>
      <c r="M18" s="45">
        <v>255416</v>
      </c>
      <c r="N18" s="45">
        <v>173956</v>
      </c>
      <c r="O18" s="45"/>
      <c r="P18" s="38">
        <f t="shared" si="1"/>
        <v>2762149</v>
      </c>
    </row>
    <row r="19" spans="1:16" ht="15" customHeight="1">
      <c r="A19" s="35" t="s">
        <v>54</v>
      </c>
      <c r="B19" s="43" t="s">
        <v>313</v>
      </c>
      <c r="C19" s="43" t="s">
        <v>27</v>
      </c>
      <c r="D19" s="37" t="s">
        <v>21</v>
      </c>
      <c r="E19" s="46">
        <f t="shared" ref="E19:O19" si="11">E60*500*12</f>
        <v>420000</v>
      </c>
      <c r="F19" s="46">
        <f t="shared" si="11"/>
        <v>342000</v>
      </c>
      <c r="G19" s="46">
        <f t="shared" si="11"/>
        <v>618000</v>
      </c>
      <c r="H19" s="46">
        <f t="shared" si="11"/>
        <v>408000</v>
      </c>
      <c r="I19" s="46">
        <f t="shared" si="11"/>
        <v>474000</v>
      </c>
      <c r="J19" s="46">
        <f t="shared" si="11"/>
        <v>318000</v>
      </c>
      <c r="K19" s="46">
        <f t="shared" si="11"/>
        <v>264000</v>
      </c>
      <c r="L19" s="46">
        <f t="shared" si="11"/>
        <v>222000</v>
      </c>
      <c r="M19" s="46">
        <f t="shared" si="11"/>
        <v>270000</v>
      </c>
      <c r="N19" s="46">
        <f t="shared" si="11"/>
        <v>24000</v>
      </c>
      <c r="O19" s="46">
        <f t="shared" si="11"/>
        <v>6000</v>
      </c>
      <c r="P19" s="38">
        <f t="shared" si="1"/>
        <v>3366000</v>
      </c>
    </row>
    <row r="20" spans="1:16" ht="15" customHeight="1">
      <c r="A20" s="35" t="s">
        <v>56</v>
      </c>
      <c r="B20" s="43" t="s">
        <v>314</v>
      </c>
      <c r="C20" s="43" t="s">
        <v>27</v>
      </c>
      <c r="D20" s="37" t="s">
        <v>28</v>
      </c>
      <c r="E20" s="45">
        <v>700000</v>
      </c>
      <c r="F20" s="45">
        <v>570000</v>
      </c>
      <c r="G20" s="45">
        <v>1030000</v>
      </c>
      <c r="H20" s="45">
        <v>680000</v>
      </c>
      <c r="I20" s="45">
        <v>790000</v>
      </c>
      <c r="J20" s="45"/>
      <c r="K20" s="45"/>
      <c r="L20" s="45"/>
      <c r="M20" s="45"/>
      <c r="N20" s="45"/>
      <c r="O20" s="45"/>
      <c r="P20" s="38">
        <f t="shared" si="1"/>
        <v>3770000</v>
      </c>
    </row>
    <row r="21" spans="1:16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2307292</v>
      </c>
      <c r="F21" s="46">
        <f t="shared" ref="F21:O21" si="12">F22+F23</f>
        <v>2074670</v>
      </c>
      <c r="G21" s="46">
        <f t="shared" si="12"/>
        <v>3408340</v>
      </c>
      <c r="H21" s="46">
        <f t="shared" si="12"/>
        <v>2176226</v>
      </c>
      <c r="I21" s="46">
        <f t="shared" si="12"/>
        <v>2548728</v>
      </c>
      <c r="J21" s="46">
        <f t="shared" si="12"/>
        <v>1467882</v>
      </c>
      <c r="K21" s="46">
        <f t="shared" si="12"/>
        <v>1248650</v>
      </c>
      <c r="L21" s="46">
        <f t="shared" si="12"/>
        <v>1035190</v>
      </c>
      <c r="M21" s="46">
        <f t="shared" si="12"/>
        <v>1323842</v>
      </c>
      <c r="N21" s="46">
        <f t="shared" si="12"/>
        <v>123422</v>
      </c>
      <c r="O21" s="46">
        <f t="shared" si="12"/>
        <v>41210</v>
      </c>
      <c r="P21" s="38">
        <f t="shared" si="1"/>
        <v>17755452</v>
      </c>
    </row>
    <row r="22" spans="1:16" ht="15" customHeight="1">
      <c r="A22" s="35" t="s">
        <v>60</v>
      </c>
      <c r="B22" s="36" t="s">
        <v>315</v>
      </c>
      <c r="C22" s="36" t="s">
        <v>61</v>
      </c>
      <c r="D22" s="44" t="s">
        <v>21</v>
      </c>
      <c r="E22" s="46">
        <f>ROUND(E30/0.07*0.09,2)</f>
        <v>1597356</v>
      </c>
      <c r="F22" s="46">
        <f t="shared" ref="F22:O22" si="13">ROUND(F30/0.07*0.09,2)</f>
        <v>1436310</v>
      </c>
      <c r="G22" s="46">
        <f t="shared" si="13"/>
        <v>2359620</v>
      </c>
      <c r="H22" s="46">
        <f t="shared" si="13"/>
        <v>1506618</v>
      </c>
      <c r="I22" s="46">
        <f t="shared" si="13"/>
        <v>1764504</v>
      </c>
      <c r="J22" s="46">
        <f t="shared" si="13"/>
        <v>1016226</v>
      </c>
      <c r="K22" s="46">
        <f t="shared" si="13"/>
        <v>864450</v>
      </c>
      <c r="L22" s="46">
        <f t="shared" si="13"/>
        <v>716670</v>
      </c>
      <c r="M22" s="46">
        <f t="shared" si="13"/>
        <v>916506</v>
      </c>
      <c r="N22" s="46">
        <f t="shared" si="13"/>
        <v>85446</v>
      </c>
      <c r="O22" s="46">
        <f t="shared" si="13"/>
        <v>28530</v>
      </c>
      <c r="P22" s="38">
        <f t="shared" si="1"/>
        <v>12292236</v>
      </c>
    </row>
    <row r="23" spans="1:16" ht="15" customHeight="1">
      <c r="A23" s="35" t="s">
        <v>62</v>
      </c>
      <c r="B23" s="36" t="s">
        <v>316</v>
      </c>
      <c r="C23" s="36" t="s">
        <v>61</v>
      </c>
      <c r="D23" s="44" t="s">
        <v>43</v>
      </c>
      <c r="E23" s="46">
        <f>E24+E25</f>
        <v>709936</v>
      </c>
      <c r="F23" s="46">
        <f t="shared" ref="F23:O23" si="14">F24+F25</f>
        <v>638360</v>
      </c>
      <c r="G23" s="46">
        <f t="shared" si="14"/>
        <v>1048720</v>
      </c>
      <c r="H23" s="46">
        <f t="shared" si="14"/>
        <v>669608</v>
      </c>
      <c r="I23" s="46">
        <f t="shared" si="14"/>
        <v>784224</v>
      </c>
      <c r="J23" s="46">
        <f t="shared" si="14"/>
        <v>451656</v>
      </c>
      <c r="K23" s="46">
        <f t="shared" si="14"/>
        <v>384200</v>
      </c>
      <c r="L23" s="46">
        <f t="shared" si="14"/>
        <v>318520</v>
      </c>
      <c r="M23" s="46">
        <f t="shared" si="14"/>
        <v>407336</v>
      </c>
      <c r="N23" s="46">
        <f t="shared" si="14"/>
        <v>37976</v>
      </c>
      <c r="O23" s="46">
        <f t="shared" si="14"/>
        <v>12680</v>
      </c>
      <c r="P23" s="38">
        <f t="shared" si="1"/>
        <v>5463216</v>
      </c>
    </row>
    <row r="24" spans="1:16" ht="15" customHeight="1">
      <c r="A24" s="35" t="s">
        <v>64</v>
      </c>
      <c r="B24" s="36" t="s">
        <v>317</v>
      </c>
      <c r="C24" s="36" t="s">
        <v>61</v>
      </c>
      <c r="D24" s="44" t="s">
        <v>43</v>
      </c>
      <c r="E24" s="46">
        <f>ROUND(E30/0.07*0.02,2)</f>
        <v>354968</v>
      </c>
      <c r="F24" s="46">
        <f t="shared" ref="F24:O24" si="15">ROUND(F30/0.07*0.02,2)</f>
        <v>319180</v>
      </c>
      <c r="G24" s="46">
        <f t="shared" si="15"/>
        <v>524360</v>
      </c>
      <c r="H24" s="46">
        <f t="shared" si="15"/>
        <v>334804</v>
      </c>
      <c r="I24" s="46">
        <f t="shared" si="15"/>
        <v>392112</v>
      </c>
      <c r="J24" s="46">
        <f t="shared" si="15"/>
        <v>225828</v>
      </c>
      <c r="K24" s="46">
        <f t="shared" si="15"/>
        <v>192100</v>
      </c>
      <c r="L24" s="46">
        <f t="shared" si="15"/>
        <v>159260</v>
      </c>
      <c r="M24" s="46">
        <f t="shared" si="15"/>
        <v>203668</v>
      </c>
      <c r="N24" s="46">
        <f t="shared" si="15"/>
        <v>18988</v>
      </c>
      <c r="O24" s="46">
        <f t="shared" si="15"/>
        <v>6340</v>
      </c>
      <c r="P24" s="38">
        <f t="shared" si="1"/>
        <v>2731608</v>
      </c>
    </row>
    <row r="25" spans="1:16" ht="15" customHeight="1">
      <c r="A25" s="35" t="s">
        <v>65</v>
      </c>
      <c r="B25" s="36" t="s">
        <v>318</v>
      </c>
      <c r="C25" s="36" t="s">
        <v>61</v>
      </c>
      <c r="D25" s="44" t="s">
        <v>43</v>
      </c>
      <c r="E25" s="46">
        <f>ROUND(E30/0.07*0.02,2)</f>
        <v>354968</v>
      </c>
      <c r="F25" s="46">
        <f t="shared" ref="F25:O25" si="16">ROUND(F30/0.07*0.02,2)</f>
        <v>319180</v>
      </c>
      <c r="G25" s="46">
        <f t="shared" si="16"/>
        <v>524360</v>
      </c>
      <c r="H25" s="46">
        <f t="shared" si="16"/>
        <v>334804</v>
      </c>
      <c r="I25" s="46">
        <f t="shared" si="16"/>
        <v>392112</v>
      </c>
      <c r="J25" s="46">
        <f t="shared" si="16"/>
        <v>225828</v>
      </c>
      <c r="K25" s="46">
        <f t="shared" si="16"/>
        <v>192100</v>
      </c>
      <c r="L25" s="46">
        <f t="shared" si="16"/>
        <v>159260</v>
      </c>
      <c r="M25" s="46">
        <f t="shared" si="16"/>
        <v>203668</v>
      </c>
      <c r="N25" s="46">
        <f t="shared" si="16"/>
        <v>18988</v>
      </c>
      <c r="O25" s="46">
        <f t="shared" si="16"/>
        <v>6340</v>
      </c>
      <c r="P25" s="38">
        <f t="shared" si="1"/>
        <v>2731608</v>
      </c>
    </row>
    <row r="26" spans="1:16" ht="1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O26" si="17">E27</f>
        <v>2839744</v>
      </c>
      <c r="F26" s="38">
        <f t="shared" si="17"/>
        <v>2553440</v>
      </c>
      <c r="G26" s="38">
        <f t="shared" si="17"/>
        <v>4194880</v>
      </c>
      <c r="H26" s="38">
        <f t="shared" si="17"/>
        <v>2678432</v>
      </c>
      <c r="I26" s="38">
        <f t="shared" si="17"/>
        <v>3136896</v>
      </c>
      <c r="J26" s="38">
        <f t="shared" si="17"/>
        <v>1806624</v>
      </c>
      <c r="K26" s="38">
        <f t="shared" si="17"/>
        <v>1536800</v>
      </c>
      <c r="L26" s="38">
        <f t="shared" si="17"/>
        <v>1274080</v>
      </c>
      <c r="M26" s="38">
        <f t="shared" si="17"/>
        <v>1629344</v>
      </c>
      <c r="N26" s="38">
        <f t="shared" si="17"/>
        <v>151904</v>
      </c>
      <c r="O26" s="38">
        <f t="shared" si="17"/>
        <v>50720</v>
      </c>
      <c r="P26" s="38">
        <f t="shared" si="1"/>
        <v>21852864</v>
      </c>
    </row>
    <row r="27" spans="1:16" s="2" customFormat="1" ht="15" customHeight="1">
      <c r="A27" s="35" t="s">
        <v>68</v>
      </c>
      <c r="B27" s="42" t="s">
        <v>319</v>
      </c>
      <c r="C27" s="42" t="s">
        <v>70</v>
      </c>
      <c r="D27" s="39" t="s">
        <v>43</v>
      </c>
      <c r="E27" s="38">
        <f>ROUND(E30/0.07*0.16,2)</f>
        <v>2839744</v>
      </c>
      <c r="F27" s="38">
        <f t="shared" ref="F27:O27" si="18">ROUND(F30/0.07*0.16,2)</f>
        <v>2553440</v>
      </c>
      <c r="G27" s="38">
        <f t="shared" si="18"/>
        <v>4194880</v>
      </c>
      <c r="H27" s="38">
        <f t="shared" si="18"/>
        <v>2678432</v>
      </c>
      <c r="I27" s="38">
        <f t="shared" si="18"/>
        <v>3136896</v>
      </c>
      <c r="J27" s="38">
        <f t="shared" si="18"/>
        <v>1806624</v>
      </c>
      <c r="K27" s="38">
        <f t="shared" si="18"/>
        <v>1536800</v>
      </c>
      <c r="L27" s="38">
        <f t="shared" si="18"/>
        <v>1274080</v>
      </c>
      <c r="M27" s="38">
        <f t="shared" si="18"/>
        <v>1629344</v>
      </c>
      <c r="N27" s="38">
        <f t="shared" si="18"/>
        <v>151904</v>
      </c>
      <c r="O27" s="38">
        <f t="shared" si="18"/>
        <v>50720</v>
      </c>
      <c r="P27" s="38">
        <f t="shared" si="1"/>
        <v>21852864</v>
      </c>
    </row>
    <row r="28" spans="1:16" ht="1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O28" si="19">E29</f>
        <v>1419872</v>
      </c>
      <c r="F28" s="38">
        <f t="shared" si="19"/>
        <v>1276720</v>
      </c>
      <c r="G28" s="38">
        <f t="shared" si="19"/>
        <v>2097440</v>
      </c>
      <c r="H28" s="38">
        <f t="shared" si="19"/>
        <v>1339216</v>
      </c>
      <c r="I28" s="38">
        <f t="shared" si="19"/>
        <v>1568448</v>
      </c>
      <c r="J28" s="38">
        <f t="shared" si="19"/>
        <v>903312</v>
      </c>
      <c r="K28" s="38">
        <f t="shared" si="19"/>
        <v>768400</v>
      </c>
      <c r="L28" s="38">
        <f t="shared" si="19"/>
        <v>637040</v>
      </c>
      <c r="M28" s="38">
        <f t="shared" si="19"/>
        <v>814672</v>
      </c>
      <c r="N28" s="38">
        <f t="shared" si="19"/>
        <v>75952</v>
      </c>
      <c r="O28" s="38">
        <f t="shared" si="19"/>
        <v>25360</v>
      </c>
      <c r="P28" s="38">
        <f t="shared" si="1"/>
        <v>10926432</v>
      </c>
    </row>
    <row r="29" spans="1:16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1419872</v>
      </c>
      <c r="F29" s="38">
        <f t="shared" ref="F29:O29" si="20">ROUND(F30/0.07*0.08,2)</f>
        <v>1276720</v>
      </c>
      <c r="G29" s="38">
        <f t="shared" si="20"/>
        <v>2097440</v>
      </c>
      <c r="H29" s="38">
        <f t="shared" si="20"/>
        <v>1339216</v>
      </c>
      <c r="I29" s="38">
        <f t="shared" si="20"/>
        <v>1568448</v>
      </c>
      <c r="J29" s="38">
        <f t="shared" si="20"/>
        <v>903312</v>
      </c>
      <c r="K29" s="38">
        <f t="shared" si="20"/>
        <v>768400</v>
      </c>
      <c r="L29" s="38">
        <f t="shared" si="20"/>
        <v>637040</v>
      </c>
      <c r="M29" s="38">
        <f t="shared" si="20"/>
        <v>814672</v>
      </c>
      <c r="N29" s="38">
        <f t="shared" si="20"/>
        <v>75952</v>
      </c>
      <c r="O29" s="38">
        <f t="shared" si="20"/>
        <v>25360</v>
      </c>
      <c r="P29" s="38">
        <f t="shared" si="1"/>
        <v>10926432</v>
      </c>
    </row>
    <row r="30" spans="1:16" ht="15" customHeight="1">
      <c r="A30" s="35" t="s">
        <v>76</v>
      </c>
      <c r="B30" s="36" t="s">
        <v>320</v>
      </c>
      <c r="C30" s="36" t="s">
        <v>78</v>
      </c>
      <c r="D30" s="37" t="s">
        <v>321</v>
      </c>
      <c r="E30" s="45">
        <v>1242388</v>
      </c>
      <c r="F30" s="45">
        <v>1117130</v>
      </c>
      <c r="G30" s="45">
        <v>1835260</v>
      </c>
      <c r="H30" s="45">
        <v>1171814</v>
      </c>
      <c r="I30" s="45">
        <v>1372392</v>
      </c>
      <c r="J30" s="45">
        <v>790398</v>
      </c>
      <c r="K30" s="45">
        <v>672350</v>
      </c>
      <c r="L30" s="45">
        <v>557410</v>
      </c>
      <c r="M30" s="45">
        <v>712838</v>
      </c>
      <c r="N30" s="45">
        <v>66458</v>
      </c>
      <c r="O30" s="45">
        <v>22190</v>
      </c>
      <c r="P30" s="38">
        <f t="shared" si="1"/>
        <v>9560628</v>
      </c>
    </row>
    <row r="31" spans="1:16" ht="15" customHeight="1">
      <c r="A31" s="35" t="s">
        <v>80</v>
      </c>
      <c r="B31" s="36" t="s">
        <v>322</v>
      </c>
      <c r="C31" s="43" t="s">
        <v>27</v>
      </c>
      <c r="D31" s="39" t="s">
        <v>323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38">
        <f t="shared" si="1"/>
        <v>0</v>
      </c>
    </row>
    <row r="32" spans="1:16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1563420</v>
      </c>
      <c r="F32" s="38">
        <f t="shared" ref="F32:O32" si="21">F33+F35</f>
        <v>716250</v>
      </c>
      <c r="G32" s="38">
        <f t="shared" si="21"/>
        <v>728070</v>
      </c>
      <c r="H32" s="38">
        <f t="shared" si="21"/>
        <v>654100</v>
      </c>
      <c r="I32" s="38">
        <f t="shared" si="21"/>
        <v>2181900</v>
      </c>
      <c r="J32" s="38">
        <f t="shared" si="21"/>
        <v>401520</v>
      </c>
      <c r="K32" s="38">
        <f t="shared" si="21"/>
        <v>138860</v>
      </c>
      <c r="L32" s="38">
        <f t="shared" si="21"/>
        <v>201540</v>
      </c>
      <c r="M32" s="38">
        <f t="shared" si="21"/>
        <v>145530</v>
      </c>
      <c r="N32" s="38">
        <f t="shared" si="21"/>
        <v>0</v>
      </c>
      <c r="O32" s="38">
        <f t="shared" si="21"/>
        <v>360</v>
      </c>
      <c r="P32" s="38">
        <f t="shared" si="1"/>
        <v>6731550</v>
      </c>
    </row>
    <row r="33" spans="1:16" ht="15" customHeight="1">
      <c r="A33" s="35" t="s">
        <v>85</v>
      </c>
      <c r="B33" s="36" t="s">
        <v>324</v>
      </c>
      <c r="C33" s="36" t="s">
        <v>87</v>
      </c>
      <c r="D33" s="44" t="s">
        <v>325</v>
      </c>
      <c r="E33" s="46">
        <f>E34</f>
        <v>1560600</v>
      </c>
      <c r="F33" s="46">
        <f t="shared" ref="F33:O33" si="22">F34</f>
        <v>712260</v>
      </c>
      <c r="G33" s="46">
        <f t="shared" si="22"/>
        <v>721860</v>
      </c>
      <c r="H33" s="46">
        <f t="shared" si="22"/>
        <v>652300</v>
      </c>
      <c r="I33" s="46">
        <f t="shared" si="22"/>
        <v>2179020</v>
      </c>
      <c r="J33" s="46">
        <f t="shared" si="22"/>
        <v>400320</v>
      </c>
      <c r="K33" s="46">
        <f t="shared" si="22"/>
        <v>136670</v>
      </c>
      <c r="L33" s="46">
        <f t="shared" si="22"/>
        <v>199020</v>
      </c>
      <c r="M33" s="46">
        <f t="shared" si="22"/>
        <v>142920</v>
      </c>
      <c r="N33" s="46">
        <f t="shared" si="22"/>
        <v>0</v>
      </c>
      <c r="O33" s="46">
        <f t="shared" si="22"/>
        <v>0</v>
      </c>
      <c r="P33" s="38">
        <f t="shared" si="1"/>
        <v>6704970</v>
      </c>
    </row>
    <row r="34" spans="1:16" ht="15" customHeight="1">
      <c r="A34" s="35" t="s">
        <v>89</v>
      </c>
      <c r="B34" s="36" t="s">
        <v>326</v>
      </c>
      <c r="C34" s="36" t="s">
        <v>87</v>
      </c>
      <c r="D34" s="44" t="s">
        <v>325</v>
      </c>
      <c r="E34" s="40">
        <v>1560600</v>
      </c>
      <c r="F34" s="40">
        <v>712260</v>
      </c>
      <c r="G34" s="40">
        <v>721860</v>
      </c>
      <c r="H34" s="40">
        <v>652300</v>
      </c>
      <c r="I34" s="40">
        <v>2179020</v>
      </c>
      <c r="J34" s="40">
        <v>400320</v>
      </c>
      <c r="K34" s="40">
        <v>136670</v>
      </c>
      <c r="L34" s="40">
        <v>199020</v>
      </c>
      <c r="M34" s="40">
        <v>142920</v>
      </c>
      <c r="N34" s="40"/>
      <c r="O34" s="40"/>
      <c r="P34" s="38">
        <f t="shared" si="1"/>
        <v>6704970</v>
      </c>
    </row>
    <row r="35" spans="1:16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2820</v>
      </c>
      <c r="F35" s="38">
        <f t="shared" ref="F35:O35" si="23">F36</f>
        <v>3990</v>
      </c>
      <c r="G35" s="38">
        <f t="shared" si="23"/>
        <v>6210</v>
      </c>
      <c r="H35" s="38">
        <f t="shared" si="23"/>
        <v>1800</v>
      </c>
      <c r="I35" s="38">
        <f t="shared" si="23"/>
        <v>2880</v>
      </c>
      <c r="J35" s="38">
        <f t="shared" si="23"/>
        <v>1200</v>
      </c>
      <c r="K35" s="38">
        <f t="shared" si="23"/>
        <v>2190</v>
      </c>
      <c r="L35" s="38">
        <f t="shared" si="23"/>
        <v>2520</v>
      </c>
      <c r="M35" s="38">
        <f t="shared" si="23"/>
        <v>2610</v>
      </c>
      <c r="N35" s="38">
        <f t="shared" si="23"/>
        <v>0</v>
      </c>
      <c r="O35" s="38">
        <f t="shared" si="23"/>
        <v>360</v>
      </c>
      <c r="P35" s="38">
        <f t="shared" si="1"/>
        <v>26580</v>
      </c>
    </row>
    <row r="36" spans="1:16" s="3" customFormat="1" ht="15" customHeight="1">
      <c r="A36" s="35" t="s">
        <v>93</v>
      </c>
      <c r="B36" s="57" t="s">
        <v>94</v>
      </c>
      <c r="C36" s="57" t="s">
        <v>27</v>
      </c>
      <c r="D36" s="58" t="s">
        <v>28</v>
      </c>
      <c r="E36" s="55">
        <v>2820</v>
      </c>
      <c r="F36" s="55">
        <v>3990</v>
      </c>
      <c r="G36" s="55">
        <v>6210</v>
      </c>
      <c r="H36" s="55">
        <v>1800</v>
      </c>
      <c r="I36" s="55">
        <v>2880</v>
      </c>
      <c r="J36" s="55">
        <v>1200</v>
      </c>
      <c r="K36" s="55">
        <v>2190</v>
      </c>
      <c r="L36" s="55">
        <v>2520</v>
      </c>
      <c r="M36" s="55">
        <v>2610</v>
      </c>
      <c r="N36" s="55"/>
      <c r="O36" s="55">
        <v>360</v>
      </c>
      <c r="P36" s="51">
        <f t="shared" si="1"/>
        <v>26580</v>
      </c>
    </row>
    <row r="37" spans="1:16" ht="15" customHeight="1">
      <c r="A37" s="35" t="s">
        <v>95</v>
      </c>
      <c r="B37" s="36" t="s">
        <v>98</v>
      </c>
      <c r="C37" s="36"/>
      <c r="D37" s="37" t="s">
        <v>21</v>
      </c>
      <c r="E37" s="72">
        <f>E38+E40+E42+E44+E46+E49+E51+E53+E55+E57</f>
        <v>4405104.25</v>
      </c>
      <c r="F37" s="72">
        <f t="shared" ref="F37:O37" si="24">F38+F40+F42+F44+F46+F49+F51+F53+F55+F57</f>
        <v>3841506.35</v>
      </c>
      <c r="G37" s="72">
        <f t="shared" si="24"/>
        <v>5960331.7000000002</v>
      </c>
      <c r="H37" s="72">
        <f t="shared" si="24"/>
        <v>4245638.1500000004</v>
      </c>
      <c r="I37" s="72">
        <f t="shared" si="24"/>
        <v>5720184.4000000004</v>
      </c>
      <c r="J37" s="72">
        <f t="shared" si="24"/>
        <v>2294361.25</v>
      </c>
      <c r="K37" s="72">
        <f t="shared" si="24"/>
        <v>2118428.75</v>
      </c>
      <c r="L37" s="72">
        <f t="shared" si="24"/>
        <v>1760060.7</v>
      </c>
      <c r="M37" s="72">
        <f t="shared" si="24"/>
        <v>1996236.25</v>
      </c>
      <c r="N37" s="72">
        <f t="shared" si="24"/>
        <v>1063386.3999999999</v>
      </c>
      <c r="O37" s="72">
        <f t="shared" si="24"/>
        <v>100905</v>
      </c>
      <c r="P37" s="38">
        <f t="shared" si="1"/>
        <v>33506143.199999999</v>
      </c>
    </row>
    <row r="38" spans="1:16" ht="15" customHeight="1">
      <c r="A38" s="35" t="s">
        <v>96</v>
      </c>
      <c r="B38" s="36" t="s">
        <v>100</v>
      </c>
      <c r="C38" s="36"/>
      <c r="D38" s="37" t="s">
        <v>101</v>
      </c>
      <c r="E38" s="40">
        <v>3110800</v>
      </c>
      <c r="F38" s="40">
        <v>2802800</v>
      </c>
      <c r="G38" s="40">
        <v>4350980</v>
      </c>
      <c r="H38" s="40">
        <v>3174690</v>
      </c>
      <c r="I38" s="40">
        <v>4118430</v>
      </c>
      <c r="J38" s="40">
        <v>1464320</v>
      </c>
      <c r="K38" s="40">
        <v>1530000</v>
      </c>
      <c r="L38" s="40">
        <v>1287000</v>
      </c>
      <c r="M38" s="40">
        <v>1377000</v>
      </c>
      <c r="N38" s="40">
        <v>858000</v>
      </c>
      <c r="O38" s="40">
        <v>22400</v>
      </c>
      <c r="P38" s="38">
        <f t="shared" si="1"/>
        <v>24096420</v>
      </c>
    </row>
    <row r="39" spans="1:16" ht="15" customHeight="1">
      <c r="A39" s="35" t="s">
        <v>97</v>
      </c>
      <c r="B39" s="36" t="s">
        <v>327</v>
      </c>
      <c r="C39" s="36" t="s">
        <v>328</v>
      </c>
      <c r="D39" s="47" t="s">
        <v>329</v>
      </c>
      <c r="E39" s="40">
        <v>155540</v>
      </c>
      <c r="F39" s="40">
        <v>140140</v>
      </c>
      <c r="G39" s="40">
        <v>217549</v>
      </c>
      <c r="H39" s="40">
        <v>158734.5</v>
      </c>
      <c r="I39" s="40">
        <v>205921.5</v>
      </c>
      <c r="J39" s="40">
        <v>65351</v>
      </c>
      <c r="K39" s="40">
        <v>55233</v>
      </c>
      <c r="L39" s="40">
        <v>42042</v>
      </c>
      <c r="M39" s="40">
        <v>50796</v>
      </c>
      <c r="N39" s="40">
        <v>5355</v>
      </c>
      <c r="O39" s="40">
        <v>1120</v>
      </c>
      <c r="P39" s="38">
        <f t="shared" si="1"/>
        <v>1097782</v>
      </c>
    </row>
    <row r="40" spans="1:16" ht="15" customHeight="1">
      <c r="A40" s="35" t="s">
        <v>99</v>
      </c>
      <c r="B40" s="36" t="s">
        <v>107</v>
      </c>
      <c r="C40" s="36"/>
      <c r="D40" s="37"/>
      <c r="E40" s="38">
        <f>E41</f>
        <v>28000</v>
      </c>
      <c r="F40" s="38">
        <f t="shared" ref="F40:N40" si="25">F41</f>
        <v>22800</v>
      </c>
      <c r="G40" s="38">
        <f t="shared" si="25"/>
        <v>41200</v>
      </c>
      <c r="H40" s="38">
        <f t="shared" si="25"/>
        <v>27200</v>
      </c>
      <c r="I40" s="38">
        <f t="shared" si="25"/>
        <v>31600</v>
      </c>
      <c r="J40" s="38">
        <f t="shared" si="25"/>
        <v>21200</v>
      </c>
      <c r="K40" s="38">
        <f t="shared" si="25"/>
        <v>17600</v>
      </c>
      <c r="L40" s="38">
        <f t="shared" si="25"/>
        <v>14800</v>
      </c>
      <c r="M40" s="38">
        <f t="shared" si="25"/>
        <v>18000</v>
      </c>
      <c r="N40" s="38">
        <f t="shared" si="25"/>
        <v>1600</v>
      </c>
      <c r="O40" s="38">
        <f>O41</f>
        <v>400</v>
      </c>
      <c r="P40" s="38">
        <f t="shared" si="1"/>
        <v>224400</v>
      </c>
    </row>
    <row r="41" spans="1:16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 t="shared" ref="E41:O41" si="26">E60*400</f>
        <v>28000</v>
      </c>
      <c r="F41" s="38">
        <f t="shared" si="26"/>
        <v>22800</v>
      </c>
      <c r="G41" s="38">
        <f t="shared" si="26"/>
        <v>41200</v>
      </c>
      <c r="H41" s="38">
        <f t="shared" si="26"/>
        <v>27200</v>
      </c>
      <c r="I41" s="38">
        <f t="shared" si="26"/>
        <v>31600</v>
      </c>
      <c r="J41" s="38">
        <f t="shared" si="26"/>
        <v>21200</v>
      </c>
      <c r="K41" s="38">
        <f t="shared" si="26"/>
        <v>17600</v>
      </c>
      <c r="L41" s="38">
        <f t="shared" si="26"/>
        <v>14800</v>
      </c>
      <c r="M41" s="38">
        <f t="shared" si="26"/>
        <v>18000</v>
      </c>
      <c r="N41" s="38">
        <f t="shared" si="26"/>
        <v>1600</v>
      </c>
      <c r="O41" s="38">
        <f t="shared" si="26"/>
        <v>400</v>
      </c>
      <c r="P41" s="38">
        <f t="shared" si="1"/>
        <v>224400</v>
      </c>
    </row>
    <row r="42" spans="1:16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173576.25</v>
      </c>
      <c r="F42" s="38">
        <f t="shared" ref="F42:O42" si="27">F43</f>
        <v>181200.75</v>
      </c>
      <c r="G42" s="38">
        <f t="shared" si="27"/>
        <v>288657.3</v>
      </c>
      <c r="H42" s="38">
        <f t="shared" si="27"/>
        <v>179640.15</v>
      </c>
      <c r="I42" s="38">
        <f t="shared" si="27"/>
        <v>202718.4</v>
      </c>
      <c r="J42" s="38">
        <f t="shared" si="27"/>
        <v>183473.25</v>
      </c>
      <c r="K42" s="38">
        <f t="shared" si="27"/>
        <v>86520.75</v>
      </c>
      <c r="L42" s="38">
        <f t="shared" si="27"/>
        <v>41792.699999999997</v>
      </c>
      <c r="M42" s="38">
        <f t="shared" si="27"/>
        <v>97676.25</v>
      </c>
      <c r="N42" s="38">
        <f t="shared" si="27"/>
        <v>109320</v>
      </c>
      <c r="O42" s="38">
        <f t="shared" si="27"/>
        <v>64605</v>
      </c>
      <c r="P42" s="38">
        <f t="shared" si="1"/>
        <v>1609180.8</v>
      </c>
    </row>
    <row r="43" spans="1:16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 t="shared" ref="E43:O43" si="28">E71*15</f>
        <v>173576.25</v>
      </c>
      <c r="F43" s="38">
        <f t="shared" si="28"/>
        <v>181200.75</v>
      </c>
      <c r="G43" s="38">
        <f t="shared" si="28"/>
        <v>288657.3</v>
      </c>
      <c r="H43" s="38">
        <f t="shared" si="28"/>
        <v>179640.15</v>
      </c>
      <c r="I43" s="38">
        <f t="shared" si="28"/>
        <v>202718.4</v>
      </c>
      <c r="J43" s="38">
        <f t="shared" si="28"/>
        <v>183473.25</v>
      </c>
      <c r="K43" s="38">
        <f t="shared" si="28"/>
        <v>86520.75</v>
      </c>
      <c r="L43" s="38">
        <f t="shared" si="28"/>
        <v>41792.699999999997</v>
      </c>
      <c r="M43" s="38">
        <f t="shared" si="28"/>
        <v>97676.25</v>
      </c>
      <c r="N43" s="38">
        <f t="shared" si="28"/>
        <v>109320</v>
      </c>
      <c r="O43" s="38">
        <f t="shared" si="28"/>
        <v>64605</v>
      </c>
      <c r="P43" s="38">
        <f t="shared" si="1"/>
        <v>1609180.8</v>
      </c>
    </row>
    <row r="44" spans="1:16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30700</v>
      </c>
      <c r="F44" s="38">
        <f t="shared" ref="F44:O44" si="29">F45</f>
        <v>48905.599999999999</v>
      </c>
      <c r="G44" s="38">
        <f t="shared" si="29"/>
        <v>71214.399999999994</v>
      </c>
      <c r="H44" s="38">
        <f t="shared" si="29"/>
        <v>26904</v>
      </c>
      <c r="I44" s="38">
        <f t="shared" si="29"/>
        <v>63744</v>
      </c>
      <c r="J44" s="38">
        <f t="shared" si="29"/>
        <v>30240</v>
      </c>
      <c r="K44" s="38">
        <f t="shared" si="29"/>
        <v>23868</v>
      </c>
      <c r="L44" s="38">
        <f t="shared" si="29"/>
        <v>5728</v>
      </c>
      <c r="M44" s="38">
        <f t="shared" si="29"/>
        <v>28232</v>
      </c>
      <c r="N44" s="38">
        <f t="shared" si="29"/>
        <v>25698.400000000001</v>
      </c>
      <c r="O44" s="38">
        <f t="shared" si="29"/>
        <v>2240</v>
      </c>
      <c r="P44" s="38">
        <f t="shared" si="1"/>
        <v>357474.4</v>
      </c>
    </row>
    <row r="45" spans="1:16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 t="shared" ref="E45:O45" si="30">E72*8</f>
        <v>30700</v>
      </c>
      <c r="F45" s="38">
        <f t="shared" si="30"/>
        <v>48905.599999999999</v>
      </c>
      <c r="G45" s="38">
        <f t="shared" si="30"/>
        <v>71214.399999999994</v>
      </c>
      <c r="H45" s="38">
        <f t="shared" si="30"/>
        <v>26904</v>
      </c>
      <c r="I45" s="38">
        <f t="shared" si="30"/>
        <v>63744</v>
      </c>
      <c r="J45" s="38">
        <f t="shared" si="30"/>
        <v>30240</v>
      </c>
      <c r="K45" s="38">
        <f t="shared" si="30"/>
        <v>23868</v>
      </c>
      <c r="L45" s="38">
        <f t="shared" si="30"/>
        <v>5728</v>
      </c>
      <c r="M45" s="38">
        <f t="shared" si="30"/>
        <v>28232</v>
      </c>
      <c r="N45" s="38">
        <f t="shared" si="30"/>
        <v>25698.400000000001</v>
      </c>
      <c r="O45" s="38">
        <f t="shared" si="30"/>
        <v>2240</v>
      </c>
      <c r="P45" s="38">
        <f t="shared" si="1"/>
        <v>357474.4</v>
      </c>
    </row>
    <row r="46" spans="1:16" ht="15" customHeight="1">
      <c r="A46" s="35" t="s">
        <v>116</v>
      </c>
      <c r="B46" s="36" t="s">
        <v>330</v>
      </c>
      <c r="C46" s="36"/>
      <c r="D46" s="37" t="s">
        <v>21</v>
      </c>
      <c r="E46" s="38">
        <f>E47+E48</f>
        <v>639360</v>
      </c>
      <c r="F46" s="38">
        <f t="shared" ref="F46:O46" si="31">F47+F48</f>
        <v>414720</v>
      </c>
      <c r="G46" s="38">
        <f t="shared" si="31"/>
        <v>630720</v>
      </c>
      <c r="H46" s="38">
        <f t="shared" si="31"/>
        <v>453600</v>
      </c>
      <c r="I46" s="38">
        <f t="shared" si="31"/>
        <v>838080</v>
      </c>
      <c r="J46" s="38">
        <f t="shared" si="31"/>
        <v>324000</v>
      </c>
      <c r="K46" s="38">
        <f t="shared" si="31"/>
        <v>224640</v>
      </c>
      <c r="L46" s="38">
        <f t="shared" si="31"/>
        <v>211680</v>
      </c>
      <c r="M46" s="38">
        <f t="shared" si="31"/>
        <v>228960</v>
      </c>
      <c r="N46" s="38">
        <f t="shared" si="31"/>
        <v>17280</v>
      </c>
      <c r="O46" s="38">
        <f t="shared" si="31"/>
        <v>4320</v>
      </c>
      <c r="P46" s="38">
        <f t="shared" si="1"/>
        <v>3987360</v>
      </c>
    </row>
    <row r="47" spans="1:16" s="2" customFormat="1" ht="15" customHeight="1">
      <c r="A47" s="35" t="s">
        <v>118</v>
      </c>
      <c r="B47" s="42" t="s">
        <v>331</v>
      </c>
      <c r="C47" s="42" t="s">
        <v>27</v>
      </c>
      <c r="D47" s="48" t="s">
        <v>124</v>
      </c>
      <c r="E47" s="38">
        <f t="shared" ref="E47:O47" si="32">E60*4320</f>
        <v>302400</v>
      </c>
      <c r="F47" s="38">
        <f t="shared" si="32"/>
        <v>246240</v>
      </c>
      <c r="G47" s="38">
        <f t="shared" si="32"/>
        <v>444960</v>
      </c>
      <c r="H47" s="38">
        <f t="shared" si="32"/>
        <v>293760</v>
      </c>
      <c r="I47" s="38">
        <f t="shared" si="32"/>
        <v>341280</v>
      </c>
      <c r="J47" s="38">
        <f t="shared" si="32"/>
        <v>228960</v>
      </c>
      <c r="K47" s="38">
        <f t="shared" si="32"/>
        <v>190080</v>
      </c>
      <c r="L47" s="38">
        <f t="shared" si="32"/>
        <v>159840</v>
      </c>
      <c r="M47" s="38">
        <f t="shared" si="32"/>
        <v>194400</v>
      </c>
      <c r="N47" s="38">
        <f t="shared" si="32"/>
        <v>17280</v>
      </c>
      <c r="O47" s="38">
        <f t="shared" si="32"/>
        <v>4320</v>
      </c>
      <c r="P47" s="38">
        <f t="shared" si="1"/>
        <v>2423520</v>
      </c>
    </row>
    <row r="48" spans="1:16" s="2" customFormat="1" ht="15" customHeight="1">
      <c r="A48" s="35" t="s">
        <v>121</v>
      </c>
      <c r="B48" s="42" t="s">
        <v>332</v>
      </c>
      <c r="C48" s="42" t="s">
        <v>27</v>
      </c>
      <c r="D48" s="48" t="s">
        <v>333</v>
      </c>
      <c r="E48" s="38">
        <f t="shared" ref="E48:O48" si="33">E70*4320</f>
        <v>336960</v>
      </c>
      <c r="F48" s="38">
        <f t="shared" si="33"/>
        <v>168480</v>
      </c>
      <c r="G48" s="38">
        <f t="shared" si="33"/>
        <v>185760</v>
      </c>
      <c r="H48" s="38">
        <f t="shared" si="33"/>
        <v>159840</v>
      </c>
      <c r="I48" s="38">
        <f t="shared" si="33"/>
        <v>496800</v>
      </c>
      <c r="J48" s="38">
        <f t="shared" si="33"/>
        <v>95040</v>
      </c>
      <c r="K48" s="38">
        <f t="shared" si="33"/>
        <v>34560</v>
      </c>
      <c r="L48" s="38">
        <f t="shared" si="33"/>
        <v>51840</v>
      </c>
      <c r="M48" s="38">
        <f t="shared" si="33"/>
        <v>34560</v>
      </c>
      <c r="N48" s="38">
        <f t="shared" si="33"/>
        <v>0</v>
      </c>
      <c r="O48" s="38">
        <f t="shared" si="33"/>
        <v>0</v>
      </c>
      <c r="P48" s="38">
        <f t="shared" si="1"/>
        <v>1563840</v>
      </c>
    </row>
    <row r="49" spans="1:16" ht="15" customHeight="1">
      <c r="A49" s="35" t="s">
        <v>123</v>
      </c>
      <c r="B49" s="36" t="s">
        <v>334</v>
      </c>
      <c r="C49" s="36"/>
      <c r="D49" s="37" t="s">
        <v>21</v>
      </c>
      <c r="E49" s="38">
        <f>E50</f>
        <v>354968</v>
      </c>
      <c r="F49" s="38">
        <f t="shared" ref="F49:O49" si="34">F50</f>
        <v>319180</v>
      </c>
      <c r="G49" s="38">
        <f t="shared" si="34"/>
        <v>524360</v>
      </c>
      <c r="H49" s="38">
        <f t="shared" si="34"/>
        <v>334804</v>
      </c>
      <c r="I49" s="38">
        <f t="shared" si="34"/>
        <v>392112</v>
      </c>
      <c r="J49" s="38">
        <f t="shared" si="34"/>
        <v>225828</v>
      </c>
      <c r="K49" s="38">
        <f t="shared" si="34"/>
        <v>192100</v>
      </c>
      <c r="L49" s="38">
        <f t="shared" si="34"/>
        <v>159260</v>
      </c>
      <c r="M49" s="38">
        <f t="shared" si="34"/>
        <v>203668</v>
      </c>
      <c r="N49" s="38">
        <f t="shared" si="34"/>
        <v>18988</v>
      </c>
      <c r="O49" s="38">
        <f t="shared" si="34"/>
        <v>6340</v>
      </c>
      <c r="P49" s="38">
        <f t="shared" si="1"/>
        <v>2731608</v>
      </c>
    </row>
    <row r="50" spans="1:16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354968</v>
      </c>
      <c r="F50" s="38">
        <f t="shared" ref="F50:O50" si="35">ROUND(F30/0.07*0.02,2)</f>
        <v>319180</v>
      </c>
      <c r="G50" s="38">
        <f t="shared" si="35"/>
        <v>524360</v>
      </c>
      <c r="H50" s="38">
        <f t="shared" si="35"/>
        <v>334804</v>
      </c>
      <c r="I50" s="38">
        <f t="shared" si="35"/>
        <v>392112</v>
      </c>
      <c r="J50" s="38">
        <f t="shared" si="35"/>
        <v>225828</v>
      </c>
      <c r="K50" s="38">
        <f t="shared" si="35"/>
        <v>192100</v>
      </c>
      <c r="L50" s="38">
        <f t="shared" si="35"/>
        <v>159260</v>
      </c>
      <c r="M50" s="38">
        <f t="shared" si="35"/>
        <v>203668</v>
      </c>
      <c r="N50" s="38">
        <f t="shared" si="35"/>
        <v>18988</v>
      </c>
      <c r="O50" s="38">
        <f t="shared" si="35"/>
        <v>6340</v>
      </c>
      <c r="P50" s="38">
        <f t="shared" si="1"/>
        <v>2731608</v>
      </c>
    </row>
    <row r="51" spans="1:16" ht="15" customHeight="1">
      <c r="A51" s="35" t="s">
        <v>126</v>
      </c>
      <c r="B51" s="36" t="s">
        <v>335</v>
      </c>
      <c r="C51" s="36"/>
      <c r="D51" s="37" t="s">
        <v>21</v>
      </c>
      <c r="E51" s="38">
        <f>E52</f>
        <v>32000</v>
      </c>
      <c r="F51" s="38">
        <f t="shared" ref="F51:O51" si="36">F52</f>
        <v>32000</v>
      </c>
      <c r="G51" s="38">
        <f t="shared" si="36"/>
        <v>32000</v>
      </c>
      <c r="H51" s="38">
        <f t="shared" si="36"/>
        <v>32000</v>
      </c>
      <c r="I51" s="38">
        <f t="shared" si="36"/>
        <v>25000</v>
      </c>
      <c r="J51" s="38">
        <f t="shared" si="36"/>
        <v>0</v>
      </c>
      <c r="K51" s="38">
        <f t="shared" si="36"/>
        <v>32000</v>
      </c>
      <c r="L51" s="38">
        <f t="shared" si="36"/>
        <v>0</v>
      </c>
      <c r="M51" s="38">
        <f t="shared" si="36"/>
        <v>32000</v>
      </c>
      <c r="N51" s="38">
        <f t="shared" si="36"/>
        <v>0</v>
      </c>
      <c r="O51" s="38">
        <f t="shared" si="36"/>
        <v>0</v>
      </c>
      <c r="P51" s="38">
        <f t="shared" si="1"/>
        <v>217000</v>
      </c>
    </row>
    <row r="52" spans="1:16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40">
        <v>32000</v>
      </c>
      <c r="G52" s="40">
        <v>32000</v>
      </c>
      <c r="H52" s="40">
        <v>32000</v>
      </c>
      <c r="I52" s="168">
        <f>32000-7000</f>
        <v>25000</v>
      </c>
      <c r="J52" s="40"/>
      <c r="K52" s="40">
        <v>32000</v>
      </c>
      <c r="L52" s="40"/>
      <c r="M52" s="40">
        <v>32000</v>
      </c>
      <c r="N52" s="40"/>
      <c r="O52" s="40"/>
      <c r="P52" s="38">
        <f t="shared" si="1"/>
        <v>217000</v>
      </c>
    </row>
    <row r="53" spans="1:16" ht="15" customHeight="1">
      <c r="A53" s="35" t="s">
        <v>130</v>
      </c>
      <c r="B53" s="36" t="s">
        <v>449</v>
      </c>
      <c r="C53" s="36" t="s">
        <v>27</v>
      </c>
      <c r="D53" s="37" t="s">
        <v>21</v>
      </c>
      <c r="E53" s="38">
        <f>E54</f>
        <v>31200</v>
      </c>
      <c r="F53" s="38">
        <f t="shared" ref="F53:O53" si="37">F54</f>
        <v>15600</v>
      </c>
      <c r="G53" s="38">
        <f t="shared" si="37"/>
        <v>17200</v>
      </c>
      <c r="H53" s="38">
        <f t="shared" si="37"/>
        <v>14800</v>
      </c>
      <c r="I53" s="38">
        <f t="shared" si="37"/>
        <v>46000</v>
      </c>
      <c r="J53" s="38">
        <f t="shared" si="37"/>
        <v>8800</v>
      </c>
      <c r="K53" s="38">
        <f t="shared" si="37"/>
        <v>3200</v>
      </c>
      <c r="L53" s="38">
        <f t="shared" si="37"/>
        <v>4800</v>
      </c>
      <c r="M53" s="38">
        <f t="shared" si="37"/>
        <v>3200</v>
      </c>
      <c r="N53" s="38">
        <f t="shared" si="37"/>
        <v>0</v>
      </c>
      <c r="O53" s="38">
        <f t="shared" si="37"/>
        <v>0</v>
      </c>
      <c r="P53" s="38">
        <f t="shared" si="1"/>
        <v>144800</v>
      </c>
    </row>
    <row r="54" spans="1:16" s="2" customFormat="1" ht="15" customHeight="1">
      <c r="A54" s="35" t="s">
        <v>131</v>
      </c>
      <c r="B54" s="42" t="s">
        <v>137</v>
      </c>
      <c r="C54" s="42" t="s">
        <v>27</v>
      </c>
      <c r="D54" s="48" t="s">
        <v>336</v>
      </c>
      <c r="E54" s="38">
        <f t="shared" ref="E54:O54" si="38">E70*400</f>
        <v>31200</v>
      </c>
      <c r="F54" s="38">
        <f t="shared" si="38"/>
        <v>15600</v>
      </c>
      <c r="G54" s="38">
        <f t="shared" si="38"/>
        <v>17200</v>
      </c>
      <c r="H54" s="38">
        <f t="shared" si="38"/>
        <v>14800</v>
      </c>
      <c r="I54" s="38">
        <f t="shared" si="38"/>
        <v>46000</v>
      </c>
      <c r="J54" s="38">
        <f t="shared" si="38"/>
        <v>8800</v>
      </c>
      <c r="K54" s="38">
        <f t="shared" si="38"/>
        <v>3200</v>
      </c>
      <c r="L54" s="38">
        <f t="shared" si="38"/>
        <v>4800</v>
      </c>
      <c r="M54" s="38">
        <f t="shared" si="38"/>
        <v>3200</v>
      </c>
      <c r="N54" s="38">
        <f t="shared" si="38"/>
        <v>0</v>
      </c>
      <c r="O54" s="38">
        <f t="shared" si="38"/>
        <v>0</v>
      </c>
      <c r="P54" s="38">
        <f t="shared" si="1"/>
        <v>144800</v>
      </c>
    </row>
    <row r="55" spans="1:16" s="2" customFormat="1" ht="15" customHeight="1">
      <c r="A55" s="35" t="s">
        <v>134</v>
      </c>
      <c r="B55" s="36" t="s">
        <v>450</v>
      </c>
      <c r="C55" s="42"/>
      <c r="D55" s="48"/>
      <c r="E55" s="38">
        <f>E56</f>
        <v>4500</v>
      </c>
      <c r="F55" s="38">
        <f t="shared" ref="F55:O55" si="39">F56</f>
        <v>4300</v>
      </c>
      <c r="G55" s="38">
        <f t="shared" si="39"/>
        <v>4000</v>
      </c>
      <c r="H55" s="38">
        <f t="shared" si="39"/>
        <v>2000</v>
      </c>
      <c r="I55" s="38">
        <f t="shared" si="39"/>
        <v>2500</v>
      </c>
      <c r="J55" s="38">
        <f t="shared" si="39"/>
        <v>4500</v>
      </c>
      <c r="K55" s="38">
        <f t="shared" si="39"/>
        <v>3500</v>
      </c>
      <c r="L55" s="38">
        <f t="shared" si="39"/>
        <v>3000</v>
      </c>
      <c r="M55" s="38">
        <f t="shared" si="39"/>
        <v>2500</v>
      </c>
      <c r="N55" s="38">
        <f t="shared" si="39"/>
        <v>500</v>
      </c>
      <c r="O55" s="38">
        <f t="shared" si="39"/>
        <v>600</v>
      </c>
      <c r="P55" s="38">
        <f t="shared" si="1"/>
        <v>31900</v>
      </c>
    </row>
    <row r="56" spans="1:16" ht="1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4500</v>
      </c>
      <c r="F56" s="49">
        <v>4300</v>
      </c>
      <c r="G56" s="49">
        <v>4000</v>
      </c>
      <c r="H56" s="49">
        <v>2000</v>
      </c>
      <c r="I56" s="49">
        <v>2500</v>
      </c>
      <c r="J56" s="49">
        <v>4500</v>
      </c>
      <c r="K56" s="49">
        <v>3500</v>
      </c>
      <c r="L56" s="49">
        <v>3000</v>
      </c>
      <c r="M56" s="49">
        <v>2500</v>
      </c>
      <c r="N56" s="49">
        <v>500</v>
      </c>
      <c r="O56" s="49">
        <v>600</v>
      </c>
      <c r="P56" s="38">
        <f t="shared" si="1"/>
        <v>31900</v>
      </c>
    </row>
    <row r="57" spans="1:16" ht="1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0</v>
      </c>
      <c r="F57" s="38">
        <f t="shared" ref="F57:O57" si="40">F58</f>
        <v>0</v>
      </c>
      <c r="G57" s="38">
        <f t="shared" si="40"/>
        <v>0</v>
      </c>
      <c r="H57" s="38">
        <f t="shared" si="40"/>
        <v>0</v>
      </c>
      <c r="I57" s="38">
        <f t="shared" si="40"/>
        <v>0</v>
      </c>
      <c r="J57" s="38">
        <f t="shared" si="40"/>
        <v>32000</v>
      </c>
      <c r="K57" s="38">
        <f t="shared" si="40"/>
        <v>5000</v>
      </c>
      <c r="L57" s="38">
        <f t="shared" si="40"/>
        <v>32000</v>
      </c>
      <c r="M57" s="38">
        <f t="shared" si="40"/>
        <v>5000</v>
      </c>
      <c r="N57" s="38">
        <f t="shared" si="40"/>
        <v>32000</v>
      </c>
      <c r="O57" s="38">
        <f t="shared" si="40"/>
        <v>0</v>
      </c>
      <c r="P57" s="38">
        <f t="shared" si="1"/>
        <v>106000</v>
      </c>
    </row>
    <row r="58" spans="1:16" ht="15" customHeight="1" thickBot="1">
      <c r="A58" s="35" t="s">
        <v>139</v>
      </c>
      <c r="B58" s="4" t="s">
        <v>143</v>
      </c>
      <c r="C58" s="36" t="s">
        <v>27</v>
      </c>
      <c r="D58" s="5" t="s">
        <v>337</v>
      </c>
      <c r="E58" s="6"/>
      <c r="F58" s="6"/>
      <c r="G58" s="6"/>
      <c r="H58" s="6"/>
      <c r="I58" s="6"/>
      <c r="J58" s="6">
        <v>32000</v>
      </c>
      <c r="K58" s="6">
        <v>5000</v>
      </c>
      <c r="L58" s="6">
        <v>32000</v>
      </c>
      <c r="M58" s="6">
        <v>5000</v>
      </c>
      <c r="N58" s="6">
        <v>32000</v>
      </c>
      <c r="O58" s="6"/>
      <c r="P58" s="38">
        <f t="shared" si="1"/>
        <v>106000</v>
      </c>
    </row>
    <row r="59" spans="1:16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38">
        <f t="shared" si="1"/>
        <v>0</v>
      </c>
    </row>
    <row r="60" spans="1:16" ht="15" customHeight="1">
      <c r="A60" s="35" t="s">
        <v>142</v>
      </c>
      <c r="B60" s="36" t="s">
        <v>147</v>
      </c>
      <c r="C60" s="36"/>
      <c r="D60" s="37" t="s">
        <v>338</v>
      </c>
      <c r="E60" s="38">
        <f>E61+E62+E63+E64</f>
        <v>70</v>
      </c>
      <c r="F60" s="38">
        <f t="shared" ref="F60:O60" si="41">F61+F62+F63+F64</f>
        <v>57</v>
      </c>
      <c r="G60" s="38">
        <f t="shared" si="41"/>
        <v>103</v>
      </c>
      <c r="H60" s="38">
        <f t="shared" si="41"/>
        <v>68</v>
      </c>
      <c r="I60" s="38">
        <f t="shared" si="41"/>
        <v>79</v>
      </c>
      <c r="J60" s="38">
        <f t="shared" si="41"/>
        <v>53</v>
      </c>
      <c r="K60" s="38">
        <f t="shared" si="41"/>
        <v>44</v>
      </c>
      <c r="L60" s="38">
        <f t="shared" si="41"/>
        <v>37</v>
      </c>
      <c r="M60" s="38">
        <f t="shared" si="41"/>
        <v>45</v>
      </c>
      <c r="N60" s="38">
        <f t="shared" si="41"/>
        <v>4</v>
      </c>
      <c r="O60" s="38">
        <f t="shared" si="41"/>
        <v>1</v>
      </c>
      <c r="P60" s="38">
        <f t="shared" si="1"/>
        <v>561</v>
      </c>
    </row>
    <row r="61" spans="1:16" ht="15" customHeight="1">
      <c r="A61" s="35" t="s">
        <v>144</v>
      </c>
      <c r="B61" s="50" t="s">
        <v>149</v>
      </c>
      <c r="C61" s="50"/>
      <c r="D61" s="44"/>
      <c r="E61" s="45">
        <v>70</v>
      </c>
      <c r="F61" s="45">
        <v>57</v>
      </c>
      <c r="G61" s="45">
        <v>49</v>
      </c>
      <c r="H61" s="45"/>
      <c r="I61" s="45"/>
      <c r="J61" s="45"/>
      <c r="K61" s="45"/>
      <c r="L61" s="45"/>
      <c r="M61" s="45"/>
      <c r="N61" s="45"/>
      <c r="O61" s="45"/>
      <c r="P61" s="38">
        <f t="shared" si="1"/>
        <v>176</v>
      </c>
    </row>
    <row r="62" spans="1:16" ht="15" customHeight="1">
      <c r="A62" s="35" t="s">
        <v>146</v>
      </c>
      <c r="B62" s="50" t="s">
        <v>151</v>
      </c>
      <c r="C62" s="50"/>
      <c r="D62" s="37"/>
      <c r="E62" s="40"/>
      <c r="F62" s="40"/>
      <c r="G62" s="40">
        <v>54</v>
      </c>
      <c r="H62" s="40">
        <v>68</v>
      </c>
      <c r="I62" s="40">
        <v>79</v>
      </c>
      <c r="J62" s="40"/>
      <c r="K62" s="40"/>
      <c r="L62" s="40"/>
      <c r="M62" s="40"/>
      <c r="N62" s="40"/>
      <c r="O62" s="40"/>
      <c r="P62" s="38">
        <f t="shared" si="1"/>
        <v>201</v>
      </c>
    </row>
    <row r="63" spans="1:16" ht="1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/>
      <c r="J63" s="45">
        <v>53</v>
      </c>
      <c r="K63" s="45">
        <v>44</v>
      </c>
      <c r="L63" s="45">
        <v>37</v>
      </c>
      <c r="M63" s="45">
        <v>45</v>
      </c>
      <c r="N63" s="45">
        <v>4</v>
      </c>
      <c r="O63" s="45"/>
      <c r="P63" s="38">
        <f t="shared" si="1"/>
        <v>183</v>
      </c>
    </row>
    <row r="64" spans="1:16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>
        <v>1</v>
      </c>
      <c r="P64" s="38">
        <f t="shared" si="1"/>
        <v>1</v>
      </c>
    </row>
    <row r="65" spans="1:16" ht="15" customHeight="1">
      <c r="A65" s="35" t="s">
        <v>152</v>
      </c>
      <c r="B65" s="36" t="s">
        <v>157</v>
      </c>
      <c r="C65" s="36"/>
      <c r="D65" s="37" t="s">
        <v>339</v>
      </c>
      <c r="E65" s="38">
        <f>E66+E67+E68+E69</f>
        <v>808</v>
      </c>
      <c r="F65" s="38">
        <f t="shared" ref="F65:O65" si="42">F66+F67+F68+F69</f>
        <v>728</v>
      </c>
      <c r="G65" s="38">
        <f t="shared" si="42"/>
        <v>1242</v>
      </c>
      <c r="H65" s="38">
        <f t="shared" si="42"/>
        <v>989</v>
      </c>
      <c r="I65" s="38">
        <f t="shared" si="42"/>
        <v>1283</v>
      </c>
      <c r="J65" s="38">
        <f t="shared" si="42"/>
        <v>457</v>
      </c>
      <c r="K65" s="38">
        <f t="shared" si="42"/>
        <v>361</v>
      </c>
      <c r="L65" s="38">
        <f t="shared" si="42"/>
        <v>294</v>
      </c>
      <c r="M65" s="38">
        <f t="shared" si="42"/>
        <v>332</v>
      </c>
      <c r="N65" s="38">
        <f t="shared" si="42"/>
        <v>35</v>
      </c>
      <c r="O65" s="38">
        <f t="shared" si="42"/>
        <v>0</v>
      </c>
      <c r="P65" s="38">
        <f t="shared" si="1"/>
        <v>6529</v>
      </c>
    </row>
    <row r="66" spans="1:16" ht="15" customHeight="1">
      <c r="A66" s="35" t="s">
        <v>154</v>
      </c>
      <c r="B66" s="50" t="s">
        <v>149</v>
      </c>
      <c r="C66" s="50"/>
      <c r="D66" s="44"/>
      <c r="E66" s="45">
        <v>808</v>
      </c>
      <c r="F66" s="45">
        <v>728</v>
      </c>
      <c r="G66" s="45">
        <v>569</v>
      </c>
      <c r="H66" s="45"/>
      <c r="I66" s="45"/>
      <c r="J66" s="45"/>
      <c r="K66" s="45"/>
      <c r="L66" s="45"/>
      <c r="M66" s="45"/>
      <c r="N66" s="45"/>
      <c r="O66" s="45"/>
      <c r="P66" s="38">
        <f t="shared" si="1"/>
        <v>2105</v>
      </c>
    </row>
    <row r="67" spans="1:16" ht="15" customHeight="1">
      <c r="A67" s="35" t="s">
        <v>156</v>
      </c>
      <c r="B67" s="50" t="s">
        <v>151</v>
      </c>
      <c r="C67" s="50"/>
      <c r="D67" s="37"/>
      <c r="E67" s="40"/>
      <c r="F67" s="40"/>
      <c r="G67" s="40">
        <v>673</v>
      </c>
      <c r="H67" s="40">
        <v>989</v>
      </c>
      <c r="I67" s="40">
        <v>1283</v>
      </c>
      <c r="J67" s="40"/>
      <c r="K67" s="40"/>
      <c r="L67" s="40"/>
      <c r="M67" s="40"/>
      <c r="N67" s="40"/>
      <c r="O67" s="40"/>
      <c r="P67" s="38">
        <f t="shared" si="1"/>
        <v>2945</v>
      </c>
    </row>
    <row r="68" spans="1:16" ht="1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/>
      <c r="J68" s="45">
        <v>457</v>
      </c>
      <c r="K68" s="45">
        <v>361</v>
      </c>
      <c r="L68" s="45">
        <v>294</v>
      </c>
      <c r="M68" s="45">
        <v>332</v>
      </c>
      <c r="N68" s="45">
        <v>35</v>
      </c>
      <c r="O68" s="45"/>
      <c r="P68" s="38">
        <f t="shared" ref="P68:P72" si="43">SUM(E68:O68)</f>
        <v>1479</v>
      </c>
    </row>
    <row r="69" spans="1:16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38">
        <f t="shared" si="43"/>
        <v>0</v>
      </c>
    </row>
    <row r="70" spans="1:16" ht="15" customHeight="1">
      <c r="A70" s="35" t="s">
        <v>160</v>
      </c>
      <c r="B70" s="36" t="s">
        <v>340</v>
      </c>
      <c r="C70" s="36"/>
      <c r="D70" s="37"/>
      <c r="E70" s="40">
        <v>78</v>
      </c>
      <c r="F70" s="40">
        <v>39</v>
      </c>
      <c r="G70" s="40">
        <v>43</v>
      </c>
      <c r="H70" s="40">
        <v>37</v>
      </c>
      <c r="I70" s="40">
        <v>115</v>
      </c>
      <c r="J70" s="40">
        <v>22</v>
      </c>
      <c r="K70" s="40">
        <v>8</v>
      </c>
      <c r="L70" s="40">
        <v>12</v>
      </c>
      <c r="M70" s="40">
        <v>8</v>
      </c>
      <c r="N70" s="40">
        <v>0</v>
      </c>
      <c r="O70" s="40"/>
      <c r="P70" s="38">
        <f t="shared" si="43"/>
        <v>362</v>
      </c>
    </row>
    <row r="71" spans="1:16" ht="15" customHeight="1">
      <c r="A71" s="35" t="s">
        <v>161</v>
      </c>
      <c r="B71" s="50" t="s">
        <v>341</v>
      </c>
      <c r="C71" s="50"/>
      <c r="D71" s="47"/>
      <c r="E71" s="40">
        <v>11571.75</v>
      </c>
      <c r="F71" s="40">
        <v>12080.05</v>
      </c>
      <c r="G71" s="40">
        <v>19243.82</v>
      </c>
      <c r="H71" s="40">
        <v>11976.01</v>
      </c>
      <c r="I71" s="40">
        <v>13514.56</v>
      </c>
      <c r="J71" s="55">
        <v>12231.55</v>
      </c>
      <c r="K71" s="55">
        <v>5768.05</v>
      </c>
      <c r="L71" s="40">
        <v>2786.18</v>
      </c>
      <c r="M71" s="40">
        <v>6511.75</v>
      </c>
      <c r="N71" s="40">
        <v>7288</v>
      </c>
      <c r="O71" s="40">
        <v>4307</v>
      </c>
      <c r="P71" s="38">
        <f t="shared" si="43"/>
        <v>107278.72</v>
      </c>
    </row>
    <row r="72" spans="1:16" ht="15" customHeight="1">
      <c r="A72" s="35" t="s">
        <v>162</v>
      </c>
      <c r="B72" s="50" t="s">
        <v>342</v>
      </c>
      <c r="C72" s="50"/>
      <c r="D72" s="47"/>
      <c r="E72" s="40">
        <v>3837.5</v>
      </c>
      <c r="F72" s="40">
        <v>6113.2</v>
      </c>
      <c r="G72" s="40">
        <v>8901.7999999999993</v>
      </c>
      <c r="H72" s="40">
        <v>3363</v>
      </c>
      <c r="I72" s="40">
        <v>7968</v>
      </c>
      <c r="J72" s="55">
        <v>3780</v>
      </c>
      <c r="K72" s="55">
        <v>2983.5</v>
      </c>
      <c r="L72" s="40">
        <v>716</v>
      </c>
      <c r="M72" s="40">
        <v>3529</v>
      </c>
      <c r="N72" s="40">
        <v>3212.3</v>
      </c>
      <c r="O72" s="40">
        <v>280</v>
      </c>
      <c r="P72" s="38">
        <f t="shared" si="43"/>
        <v>44684.3</v>
      </c>
    </row>
    <row r="73" spans="1:16">
      <c r="E73" s="1">
        <f t="shared" ref="E73:P73" si="44">E5/E60</f>
        <v>385140.71428571426</v>
      </c>
      <c r="F73" s="1">
        <f t="shared" si="44"/>
        <v>399388.56140350876</v>
      </c>
      <c r="G73" s="1">
        <f t="shared" si="44"/>
        <v>391820.89320388349</v>
      </c>
      <c r="H73" s="1">
        <f t="shared" si="44"/>
        <v>367113.8823529412</v>
      </c>
      <c r="I73" s="1">
        <f t="shared" si="44"/>
        <v>369492.02531645569</v>
      </c>
      <c r="J73" s="1">
        <f t="shared" si="44"/>
        <v>318552.67924528301</v>
      </c>
      <c r="K73" s="1">
        <f t="shared" si="44"/>
        <v>322051.27272727271</v>
      </c>
      <c r="L73" s="1">
        <f t="shared" si="44"/>
        <v>321567.24324324325</v>
      </c>
      <c r="M73" s="1">
        <f t="shared" si="44"/>
        <v>328110.5777777778</v>
      </c>
      <c r="N73" s="1">
        <f t="shared" si="44"/>
        <v>332717</v>
      </c>
      <c r="O73" s="1">
        <f t="shared" si="44"/>
        <v>422136</v>
      </c>
      <c r="P73" s="1">
        <f t="shared" si="44"/>
        <v>363111.72905525845</v>
      </c>
    </row>
    <row r="74" spans="1:16">
      <c r="E74" s="1">
        <f t="shared" ref="E74:P74" si="45">E34/E70</f>
        <v>20007.692307692309</v>
      </c>
      <c r="F74" s="1">
        <f t="shared" si="45"/>
        <v>18263.076923076922</v>
      </c>
      <c r="G74" s="1">
        <f t="shared" si="45"/>
        <v>16787.441860465115</v>
      </c>
      <c r="H74" s="1">
        <f t="shared" si="45"/>
        <v>17629.72972972973</v>
      </c>
      <c r="I74" s="1">
        <f t="shared" si="45"/>
        <v>18948</v>
      </c>
      <c r="J74" s="1">
        <f t="shared" si="45"/>
        <v>18196.363636363636</v>
      </c>
      <c r="K74" s="1">
        <f t="shared" si="45"/>
        <v>17083.75</v>
      </c>
      <c r="L74" s="1">
        <f t="shared" si="45"/>
        <v>16585</v>
      </c>
      <c r="M74" s="1">
        <f t="shared" si="45"/>
        <v>17865</v>
      </c>
      <c r="N74" s="1" t="e">
        <f t="shared" si="45"/>
        <v>#DIV/0!</v>
      </c>
      <c r="O74" s="1" t="e">
        <f t="shared" si="45"/>
        <v>#DIV/0!</v>
      </c>
      <c r="P74" s="1">
        <f t="shared" si="45"/>
        <v>18522.016574585636</v>
      </c>
    </row>
  </sheetData>
  <protectedRanges>
    <protectedRange password="E9C1" sqref="D30 C31 A5:D6 B7:D29 P5:P72 A4:P4 B32:D72 A7:A72 P3 A3:D3 A2:P2" name="区域1_1"/>
    <protectedRange password="E9C1" sqref="B30:C30 B31" name="区域1_1_1"/>
    <protectedRange password="E9C1" sqref="D31" name="区域1_2"/>
  </protectedRanges>
  <mergeCells count="6">
    <mergeCell ref="A1:P1"/>
    <mergeCell ref="A2:A3"/>
    <mergeCell ref="B2:B3"/>
    <mergeCell ref="C2:C3"/>
    <mergeCell ref="D2:D3"/>
    <mergeCell ref="P2:P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127"/>
  <sheetViews>
    <sheetView topLeftCell="B1" workbookViewId="0">
      <pane xSplit="4" ySplit="3" topLeftCell="F88" activePane="bottomRight" state="frozen"/>
      <selection activeCell="B1" sqref="B1"/>
      <selection pane="topRight" activeCell="F1" sqref="F1"/>
      <selection pane="bottomLeft" activeCell="B4" sqref="B4"/>
      <selection pane="bottomRight" activeCell="F90" sqref="F90"/>
    </sheetView>
  </sheetViews>
  <sheetFormatPr defaultRowHeight="13.5"/>
  <cols>
    <col min="1" max="1" width="0" style="170" hidden="1" customWidth="1"/>
    <col min="2" max="2" width="25.625" style="170" customWidth="1"/>
    <col min="3" max="3" width="6.5" style="170" hidden="1" customWidth="1"/>
    <col min="4" max="5" width="0" style="170" hidden="1" customWidth="1"/>
    <col min="6" max="7" width="12.625" style="170" customWidth="1"/>
    <col min="8" max="8" width="14.125" style="170" customWidth="1"/>
    <col min="9" max="17" width="12.625" style="170" customWidth="1"/>
    <col min="18" max="16384" width="9" style="170"/>
  </cols>
  <sheetData>
    <row r="1" spans="1:17" ht="20.25">
      <c r="A1" s="365" t="s">
        <v>979</v>
      </c>
      <c r="B1" s="366"/>
      <c r="C1" s="366"/>
      <c r="D1" s="366"/>
      <c r="E1" s="366"/>
      <c r="F1" s="366"/>
      <c r="G1" s="366"/>
      <c r="H1" s="366"/>
      <c r="I1" s="366"/>
      <c r="J1" s="366"/>
      <c r="K1" s="366"/>
      <c r="L1" s="366"/>
      <c r="M1" s="366"/>
      <c r="N1" s="366"/>
      <c r="O1" s="366"/>
      <c r="P1" s="366"/>
      <c r="Q1" s="366"/>
    </row>
    <row r="2" spans="1:17">
      <c r="A2" s="367" t="s">
        <v>631</v>
      </c>
      <c r="B2" s="369" t="s">
        <v>980</v>
      </c>
      <c r="C2" s="369" t="s">
        <v>12</v>
      </c>
      <c r="D2" s="367" t="s">
        <v>981</v>
      </c>
      <c r="E2" s="370" t="s">
        <v>982</v>
      </c>
      <c r="F2" s="371" t="s">
        <v>983</v>
      </c>
      <c r="G2" s="372"/>
      <c r="H2" s="372"/>
      <c r="I2" s="372"/>
      <c r="J2" s="371" t="s">
        <v>984</v>
      </c>
      <c r="K2" s="372"/>
      <c r="L2" s="372"/>
      <c r="M2" s="372"/>
      <c r="N2" s="371" t="s">
        <v>985</v>
      </c>
      <c r="O2" s="372"/>
      <c r="P2" s="372"/>
      <c r="Q2" s="372"/>
    </row>
    <row r="3" spans="1:17" ht="22.5">
      <c r="A3" s="368"/>
      <c r="B3" s="368"/>
      <c r="C3" s="368"/>
      <c r="D3" s="368"/>
      <c r="E3" s="368"/>
      <c r="F3" s="171" t="s">
        <v>986</v>
      </c>
      <c r="G3" s="172" t="s">
        <v>987</v>
      </c>
      <c r="H3" s="173" t="s">
        <v>1058</v>
      </c>
      <c r="I3" s="173" t="s">
        <v>988</v>
      </c>
      <c r="J3" s="171" t="s">
        <v>986</v>
      </c>
      <c r="K3" s="172" t="s">
        <v>987</v>
      </c>
      <c r="L3" s="173" t="s">
        <v>989</v>
      </c>
      <c r="M3" s="173" t="s">
        <v>988</v>
      </c>
      <c r="N3" s="171" t="s">
        <v>986</v>
      </c>
      <c r="O3" s="172" t="s">
        <v>987</v>
      </c>
      <c r="P3" s="173" t="s">
        <v>1058</v>
      </c>
      <c r="Q3" s="173" t="s">
        <v>988</v>
      </c>
    </row>
    <row r="4" spans="1:17" s="175" customFormat="1" ht="20.100000000000001" customHeight="1">
      <c r="A4" s="173" t="s">
        <v>2</v>
      </c>
      <c r="B4" s="91" t="s">
        <v>244</v>
      </c>
      <c r="C4" s="91">
        <v>1</v>
      </c>
      <c r="D4" s="91" t="s">
        <v>990</v>
      </c>
      <c r="E4" s="91" t="s">
        <v>991</v>
      </c>
      <c r="F4" s="86">
        <v>22974032</v>
      </c>
      <c r="G4" s="86">
        <v>670949</v>
      </c>
      <c r="H4" s="121">
        <v>1254943.5</v>
      </c>
      <c r="I4" s="121">
        <f>F4+H4</f>
        <v>24228975.5</v>
      </c>
      <c r="J4" s="174">
        <v>23865314</v>
      </c>
      <c r="K4" s="174">
        <v>622899</v>
      </c>
      <c r="L4" s="174">
        <v>1265957.75</v>
      </c>
      <c r="M4" s="174">
        <f>J4+L4</f>
        <v>25131271.75</v>
      </c>
      <c r="N4" s="174">
        <f>F4-J4</f>
        <v>-891282</v>
      </c>
      <c r="O4" s="174">
        <f t="shared" ref="O4:Q20" si="0">G4-K4</f>
        <v>48050</v>
      </c>
      <c r="P4" s="174">
        <f t="shared" si="0"/>
        <v>-11014.25</v>
      </c>
      <c r="Q4" s="174">
        <f t="shared" si="0"/>
        <v>-902296.25</v>
      </c>
    </row>
    <row r="5" spans="1:17" s="175" customFormat="1" ht="20.100000000000001" customHeight="1">
      <c r="A5" s="176" t="s">
        <v>2</v>
      </c>
      <c r="B5" s="91" t="s">
        <v>744</v>
      </c>
      <c r="C5" s="91">
        <v>2</v>
      </c>
      <c r="D5" s="91" t="s">
        <v>992</v>
      </c>
      <c r="E5" s="91" t="s">
        <v>993</v>
      </c>
      <c r="F5" s="86">
        <v>1229490</v>
      </c>
      <c r="G5" s="86">
        <v>0</v>
      </c>
      <c r="H5" s="121"/>
      <c r="I5" s="121">
        <f t="shared" ref="I5:I68" si="1">F5+H5</f>
        <v>1229490</v>
      </c>
      <c r="J5" s="174">
        <v>1191156</v>
      </c>
      <c r="K5" s="174"/>
      <c r="L5" s="174"/>
      <c r="M5" s="174">
        <f t="shared" ref="M5:M68" si="2">J5+L5</f>
        <v>1191156</v>
      </c>
      <c r="N5" s="174">
        <f t="shared" ref="N5:Q68" si="3">F5-J5</f>
        <v>38334</v>
      </c>
      <c r="O5" s="174">
        <f t="shared" si="0"/>
        <v>0</v>
      </c>
      <c r="P5" s="174">
        <f t="shared" si="0"/>
        <v>0</v>
      </c>
      <c r="Q5" s="174">
        <f t="shared" si="0"/>
        <v>38334</v>
      </c>
    </row>
    <row r="6" spans="1:17" s="175" customFormat="1" ht="20.100000000000001" customHeight="1">
      <c r="A6" s="176" t="s">
        <v>2</v>
      </c>
      <c r="B6" s="91" t="s">
        <v>716</v>
      </c>
      <c r="C6" s="91">
        <v>3</v>
      </c>
      <c r="D6" s="91" t="s">
        <v>992</v>
      </c>
      <c r="E6" s="91" t="s">
        <v>994</v>
      </c>
      <c r="F6" s="86">
        <v>11234264</v>
      </c>
      <c r="G6" s="86">
        <v>532544</v>
      </c>
      <c r="H6" s="121"/>
      <c r="I6" s="121">
        <f t="shared" si="1"/>
        <v>11234264</v>
      </c>
      <c r="J6" s="174">
        <v>11192216</v>
      </c>
      <c r="K6" s="174">
        <v>484544</v>
      </c>
      <c r="L6" s="174"/>
      <c r="M6" s="174">
        <f t="shared" si="2"/>
        <v>11192216</v>
      </c>
      <c r="N6" s="174">
        <f t="shared" si="3"/>
        <v>42048</v>
      </c>
      <c r="O6" s="174">
        <f t="shared" si="0"/>
        <v>48000</v>
      </c>
      <c r="P6" s="174">
        <f t="shared" si="0"/>
        <v>0</v>
      </c>
      <c r="Q6" s="174">
        <f t="shared" si="0"/>
        <v>42048</v>
      </c>
    </row>
    <row r="7" spans="1:17" s="175" customFormat="1" ht="20.100000000000001" customHeight="1">
      <c r="A7" s="176" t="s">
        <v>2</v>
      </c>
      <c r="B7" s="91" t="s">
        <v>995</v>
      </c>
      <c r="C7" s="91">
        <v>4</v>
      </c>
      <c r="D7" s="91" t="s">
        <v>992</v>
      </c>
      <c r="E7" s="91" t="s">
        <v>994</v>
      </c>
      <c r="F7" s="86">
        <v>7810466</v>
      </c>
      <c r="G7" s="86">
        <v>249104</v>
      </c>
      <c r="H7" s="121"/>
      <c r="I7" s="121">
        <f t="shared" si="1"/>
        <v>7810466</v>
      </c>
      <c r="J7" s="174">
        <v>7910288</v>
      </c>
      <c r="K7" s="174">
        <v>225104</v>
      </c>
      <c r="L7" s="174"/>
      <c r="M7" s="174">
        <f t="shared" si="2"/>
        <v>7910288</v>
      </c>
      <c r="N7" s="174">
        <f t="shared" si="3"/>
        <v>-99822</v>
      </c>
      <c r="O7" s="174">
        <f t="shared" si="0"/>
        <v>24000</v>
      </c>
      <c r="P7" s="174">
        <f t="shared" si="0"/>
        <v>0</v>
      </c>
      <c r="Q7" s="174">
        <f t="shared" si="0"/>
        <v>-99822</v>
      </c>
    </row>
    <row r="8" spans="1:17" s="175" customFormat="1" ht="20.100000000000001" customHeight="1">
      <c r="A8" s="176" t="s">
        <v>2</v>
      </c>
      <c r="B8" s="171" t="s">
        <v>996</v>
      </c>
      <c r="C8" s="91">
        <v>5</v>
      </c>
      <c r="D8" s="91" t="s">
        <v>992</v>
      </c>
      <c r="E8" s="91" t="s">
        <v>994</v>
      </c>
      <c r="F8" s="86">
        <v>4528810</v>
      </c>
      <c r="G8" s="86">
        <v>0</v>
      </c>
      <c r="H8" s="121"/>
      <c r="I8" s="121">
        <f t="shared" si="1"/>
        <v>4528810</v>
      </c>
      <c r="J8" s="174">
        <v>4544208</v>
      </c>
      <c r="K8" s="174"/>
      <c r="L8" s="174"/>
      <c r="M8" s="174">
        <f t="shared" si="2"/>
        <v>4544208</v>
      </c>
      <c r="N8" s="174">
        <f t="shared" si="3"/>
        <v>-15398</v>
      </c>
      <c r="O8" s="174">
        <f t="shared" si="0"/>
        <v>0</v>
      </c>
      <c r="P8" s="174">
        <f t="shared" si="0"/>
        <v>0</v>
      </c>
      <c r="Q8" s="174">
        <f t="shared" si="0"/>
        <v>-15398</v>
      </c>
    </row>
    <row r="9" spans="1:17" s="175" customFormat="1" ht="20.100000000000001" customHeight="1">
      <c r="A9" s="176"/>
      <c r="B9" s="171" t="s">
        <v>997</v>
      </c>
      <c r="C9" s="91"/>
      <c r="D9" s="91"/>
      <c r="E9" s="91"/>
      <c r="F9" s="86">
        <f>SUM(F4:F8)</f>
        <v>47777062</v>
      </c>
      <c r="G9" s="86">
        <f t="shared" ref="G9:Q9" si="4">SUM(G4:G8)</f>
        <v>1452597</v>
      </c>
      <c r="H9" s="86">
        <f t="shared" si="4"/>
        <v>1254943.5</v>
      </c>
      <c r="I9" s="86">
        <f t="shared" si="4"/>
        <v>49032005.5</v>
      </c>
      <c r="J9" s="86">
        <f t="shared" si="4"/>
        <v>48703182</v>
      </c>
      <c r="K9" s="86">
        <f t="shared" si="4"/>
        <v>1332547</v>
      </c>
      <c r="L9" s="86">
        <f t="shared" si="4"/>
        <v>1265957.75</v>
      </c>
      <c r="M9" s="86">
        <f t="shared" si="4"/>
        <v>49969139.75</v>
      </c>
      <c r="N9" s="86">
        <f t="shared" si="4"/>
        <v>-926120</v>
      </c>
      <c r="O9" s="86">
        <f t="shared" si="4"/>
        <v>120050</v>
      </c>
      <c r="P9" s="86">
        <f t="shared" si="4"/>
        <v>-11014.25</v>
      </c>
      <c r="Q9" s="86">
        <f t="shared" si="4"/>
        <v>-937134.25</v>
      </c>
    </row>
    <row r="10" spans="1:17" s="175" customFormat="1" ht="20.100000000000001" customHeight="1">
      <c r="A10" s="176" t="s">
        <v>3</v>
      </c>
      <c r="B10" s="91" t="s">
        <v>165</v>
      </c>
      <c r="C10" s="91">
        <v>2</v>
      </c>
      <c r="D10" s="91" t="s">
        <v>990</v>
      </c>
      <c r="E10" s="91" t="s">
        <v>998</v>
      </c>
      <c r="F10" s="86">
        <v>12404858</v>
      </c>
      <c r="G10" s="86">
        <v>530480</v>
      </c>
      <c r="H10" s="121">
        <v>589792.5</v>
      </c>
      <c r="I10" s="121">
        <f t="shared" si="1"/>
        <v>12994650.5</v>
      </c>
      <c r="J10" s="174">
        <v>12315468</v>
      </c>
      <c r="K10" s="174">
        <v>453486</v>
      </c>
      <c r="L10" s="174">
        <v>683465.25</v>
      </c>
      <c r="M10" s="174">
        <f t="shared" si="2"/>
        <v>12998933.25</v>
      </c>
      <c r="N10" s="174">
        <f t="shared" si="3"/>
        <v>89390</v>
      </c>
      <c r="O10" s="174">
        <f t="shared" si="0"/>
        <v>76994</v>
      </c>
      <c r="P10" s="174">
        <f t="shared" si="0"/>
        <v>-93672.75</v>
      </c>
      <c r="Q10" s="174">
        <f t="shared" si="0"/>
        <v>-4282.75</v>
      </c>
    </row>
    <row r="11" spans="1:17" s="175" customFormat="1" ht="20.100000000000001" customHeight="1">
      <c r="A11" s="176" t="s">
        <v>3</v>
      </c>
      <c r="B11" s="91" t="s">
        <v>999</v>
      </c>
      <c r="C11" s="91">
        <v>3</v>
      </c>
      <c r="D11" s="91" t="s">
        <v>990</v>
      </c>
      <c r="E11" s="91" t="s">
        <v>998</v>
      </c>
      <c r="F11" s="86">
        <v>8331088</v>
      </c>
      <c r="G11" s="86">
        <v>514984</v>
      </c>
      <c r="H11" s="121">
        <v>592380</v>
      </c>
      <c r="I11" s="121">
        <f t="shared" si="1"/>
        <v>8923468</v>
      </c>
      <c r="J11" s="174">
        <v>8396910</v>
      </c>
      <c r="K11" s="174">
        <v>466984</v>
      </c>
      <c r="L11" s="174">
        <v>717184.75</v>
      </c>
      <c r="M11" s="174">
        <f t="shared" si="2"/>
        <v>9114094.75</v>
      </c>
      <c r="N11" s="174">
        <f t="shared" si="3"/>
        <v>-65822</v>
      </c>
      <c r="O11" s="174">
        <f t="shared" si="0"/>
        <v>48000</v>
      </c>
      <c r="P11" s="174">
        <f t="shared" si="0"/>
        <v>-124804.75</v>
      </c>
      <c r="Q11" s="174">
        <f t="shared" si="0"/>
        <v>-190626.75</v>
      </c>
    </row>
    <row r="12" spans="1:17" s="175" customFormat="1" ht="20.100000000000001" customHeight="1">
      <c r="A12" s="176" t="s">
        <v>3</v>
      </c>
      <c r="B12" s="91" t="s">
        <v>169</v>
      </c>
      <c r="C12" s="91">
        <v>4</v>
      </c>
      <c r="D12" s="91" t="s">
        <v>992</v>
      </c>
      <c r="E12" s="91" t="s">
        <v>993</v>
      </c>
      <c r="F12" s="86">
        <v>863604</v>
      </c>
      <c r="G12" s="86">
        <v>0</v>
      </c>
      <c r="H12" s="121"/>
      <c r="I12" s="121">
        <f t="shared" si="1"/>
        <v>863604</v>
      </c>
      <c r="J12" s="174">
        <v>794104</v>
      </c>
      <c r="K12" s="174"/>
      <c r="L12" s="174"/>
      <c r="M12" s="174">
        <f t="shared" si="2"/>
        <v>794104</v>
      </c>
      <c r="N12" s="174">
        <f t="shared" si="3"/>
        <v>69500</v>
      </c>
      <c r="O12" s="174">
        <f t="shared" si="0"/>
        <v>0</v>
      </c>
      <c r="P12" s="174">
        <f t="shared" si="0"/>
        <v>0</v>
      </c>
      <c r="Q12" s="174">
        <f t="shared" si="0"/>
        <v>69500</v>
      </c>
    </row>
    <row r="13" spans="1:17" s="175" customFormat="1" ht="20.100000000000001" customHeight="1">
      <c r="A13" s="176" t="s">
        <v>3</v>
      </c>
      <c r="B13" s="91" t="s">
        <v>166</v>
      </c>
      <c r="C13" s="91">
        <v>5</v>
      </c>
      <c r="D13" s="91" t="s">
        <v>992</v>
      </c>
      <c r="E13" s="91" t="s">
        <v>994</v>
      </c>
      <c r="F13" s="86">
        <v>2522250</v>
      </c>
      <c r="G13" s="86">
        <v>0</v>
      </c>
      <c r="H13" s="121"/>
      <c r="I13" s="121">
        <f t="shared" si="1"/>
        <v>2522250</v>
      </c>
      <c r="J13" s="174">
        <v>2524560</v>
      </c>
      <c r="K13" s="174"/>
      <c r="L13" s="174"/>
      <c r="M13" s="174">
        <f t="shared" si="2"/>
        <v>2524560</v>
      </c>
      <c r="N13" s="174">
        <f t="shared" si="3"/>
        <v>-2310</v>
      </c>
      <c r="O13" s="174">
        <f t="shared" si="0"/>
        <v>0</v>
      </c>
      <c r="P13" s="174">
        <f t="shared" si="0"/>
        <v>0</v>
      </c>
      <c r="Q13" s="174">
        <f t="shared" si="0"/>
        <v>-2310</v>
      </c>
    </row>
    <row r="14" spans="1:17" s="175" customFormat="1" ht="20.100000000000001" customHeight="1">
      <c r="A14" s="176" t="s">
        <v>3</v>
      </c>
      <c r="B14" s="91" t="s">
        <v>167</v>
      </c>
      <c r="C14" s="91">
        <v>6</v>
      </c>
      <c r="D14" s="91" t="s">
        <v>992</v>
      </c>
      <c r="E14" s="91" t="s">
        <v>994</v>
      </c>
      <c r="F14" s="86">
        <v>5607146</v>
      </c>
      <c r="G14" s="86">
        <v>284216</v>
      </c>
      <c r="H14" s="121"/>
      <c r="I14" s="121">
        <f t="shared" si="1"/>
        <v>5607146</v>
      </c>
      <c r="J14" s="174">
        <v>5385728</v>
      </c>
      <c r="K14" s="174">
        <v>260216</v>
      </c>
      <c r="L14" s="174"/>
      <c r="M14" s="174">
        <f t="shared" si="2"/>
        <v>5385728</v>
      </c>
      <c r="N14" s="174">
        <f t="shared" si="3"/>
        <v>221418</v>
      </c>
      <c r="O14" s="174">
        <f t="shared" si="0"/>
        <v>24000</v>
      </c>
      <c r="P14" s="174">
        <f t="shared" si="0"/>
        <v>0</v>
      </c>
      <c r="Q14" s="174">
        <f t="shared" si="0"/>
        <v>221418</v>
      </c>
    </row>
    <row r="15" spans="1:17" s="175" customFormat="1" ht="20.100000000000001" customHeight="1">
      <c r="A15" s="176" t="s">
        <v>3</v>
      </c>
      <c r="B15" s="91" t="s">
        <v>168</v>
      </c>
      <c r="C15" s="91">
        <v>7</v>
      </c>
      <c r="D15" s="91" t="s">
        <v>992</v>
      </c>
      <c r="E15" s="91" t="s">
        <v>994</v>
      </c>
      <c r="F15" s="86">
        <v>8728942</v>
      </c>
      <c r="G15" s="86">
        <v>306224</v>
      </c>
      <c r="H15" s="121"/>
      <c r="I15" s="121">
        <f t="shared" si="1"/>
        <v>8728942</v>
      </c>
      <c r="J15" s="174">
        <v>8499352</v>
      </c>
      <c r="K15" s="174">
        <v>262571</v>
      </c>
      <c r="L15" s="174"/>
      <c r="M15" s="174">
        <f t="shared" si="2"/>
        <v>8499352</v>
      </c>
      <c r="N15" s="174">
        <f t="shared" si="3"/>
        <v>229590</v>
      </c>
      <c r="O15" s="174">
        <f t="shared" si="0"/>
        <v>43653</v>
      </c>
      <c r="P15" s="174">
        <f t="shared" si="0"/>
        <v>0</v>
      </c>
      <c r="Q15" s="174">
        <f t="shared" si="0"/>
        <v>229590</v>
      </c>
    </row>
    <row r="16" spans="1:17" s="175" customFormat="1" ht="20.100000000000001" customHeight="1">
      <c r="A16" s="176"/>
      <c r="B16" s="91" t="s">
        <v>1000</v>
      </c>
      <c r="C16" s="91"/>
      <c r="D16" s="91"/>
      <c r="E16" s="91"/>
      <c r="F16" s="86">
        <f t="shared" ref="F16:Q16" si="5">SUM(F10:F15)</f>
        <v>38457888</v>
      </c>
      <c r="G16" s="86">
        <f t="shared" si="5"/>
        <v>1635904</v>
      </c>
      <c r="H16" s="86">
        <f t="shared" si="5"/>
        <v>1182172.5</v>
      </c>
      <c r="I16" s="86">
        <f t="shared" si="5"/>
        <v>39640060.5</v>
      </c>
      <c r="J16" s="86">
        <f t="shared" si="5"/>
        <v>37916122</v>
      </c>
      <c r="K16" s="86">
        <f t="shared" si="5"/>
        <v>1443257</v>
      </c>
      <c r="L16" s="86">
        <f t="shared" si="5"/>
        <v>1400650</v>
      </c>
      <c r="M16" s="86">
        <f t="shared" si="5"/>
        <v>39316772</v>
      </c>
      <c r="N16" s="86">
        <f t="shared" si="5"/>
        <v>541766</v>
      </c>
      <c r="O16" s="86">
        <f t="shared" si="5"/>
        <v>192647</v>
      </c>
      <c r="P16" s="86">
        <f t="shared" si="5"/>
        <v>-218477.5</v>
      </c>
      <c r="Q16" s="86">
        <f t="shared" si="5"/>
        <v>323288.5</v>
      </c>
    </row>
    <row r="17" spans="1:17" s="175" customFormat="1" ht="20.100000000000001" customHeight="1">
      <c r="A17" s="176" t="s">
        <v>4</v>
      </c>
      <c r="B17" s="91" t="s">
        <v>236</v>
      </c>
      <c r="C17" s="91">
        <v>1</v>
      </c>
      <c r="D17" s="91" t="s">
        <v>990</v>
      </c>
      <c r="E17" s="91" t="s">
        <v>1001</v>
      </c>
      <c r="F17" s="86">
        <v>14843507</v>
      </c>
      <c r="G17" s="86">
        <v>526464</v>
      </c>
      <c r="H17" s="121">
        <v>1192503</v>
      </c>
      <c r="I17" s="121">
        <f t="shared" si="1"/>
        <v>16036010</v>
      </c>
      <c r="J17" s="174">
        <v>15187018</v>
      </c>
      <c r="K17" s="174">
        <v>478464</v>
      </c>
      <c r="L17" s="174">
        <v>1285859.25</v>
      </c>
      <c r="M17" s="174">
        <f t="shared" si="2"/>
        <v>16472877.25</v>
      </c>
      <c r="N17" s="174">
        <f t="shared" si="3"/>
        <v>-343511</v>
      </c>
      <c r="O17" s="174">
        <f t="shared" si="0"/>
        <v>48000</v>
      </c>
      <c r="P17" s="174">
        <f t="shared" si="0"/>
        <v>-93356.25</v>
      </c>
      <c r="Q17" s="174">
        <f t="shared" si="0"/>
        <v>-436867.25</v>
      </c>
    </row>
    <row r="18" spans="1:17" s="175" customFormat="1" ht="20.100000000000001" customHeight="1">
      <c r="A18" s="176" t="s">
        <v>4</v>
      </c>
      <c r="B18" s="91" t="s">
        <v>237</v>
      </c>
      <c r="C18" s="91">
        <v>2</v>
      </c>
      <c r="D18" s="91" t="s">
        <v>990</v>
      </c>
      <c r="E18" s="91" t="s">
        <v>1001</v>
      </c>
      <c r="F18" s="86">
        <v>51814138</v>
      </c>
      <c r="G18" s="86">
        <v>716578</v>
      </c>
      <c r="H18" s="121">
        <v>4058729</v>
      </c>
      <c r="I18" s="121">
        <f t="shared" si="1"/>
        <v>55872867</v>
      </c>
      <c r="J18" s="174">
        <v>53154563</v>
      </c>
      <c r="K18" s="174">
        <v>651624</v>
      </c>
      <c r="L18" s="174">
        <v>5187203.7</v>
      </c>
      <c r="M18" s="174">
        <f t="shared" si="2"/>
        <v>58341766.700000003</v>
      </c>
      <c r="N18" s="174">
        <f t="shared" si="3"/>
        <v>-1340425</v>
      </c>
      <c r="O18" s="174">
        <f t="shared" si="0"/>
        <v>64954</v>
      </c>
      <c r="P18" s="174">
        <f t="shared" si="0"/>
        <v>-1128474.7000000002</v>
      </c>
      <c r="Q18" s="174">
        <f t="shared" si="0"/>
        <v>-2468899.700000003</v>
      </c>
    </row>
    <row r="19" spans="1:17" s="175" customFormat="1" ht="20.100000000000001" customHeight="1">
      <c r="A19" s="176" t="s">
        <v>4</v>
      </c>
      <c r="B19" s="91" t="s">
        <v>238</v>
      </c>
      <c r="C19" s="91">
        <v>3</v>
      </c>
      <c r="D19" s="91" t="s">
        <v>990</v>
      </c>
      <c r="E19" s="91" t="s">
        <v>1001</v>
      </c>
      <c r="F19" s="86">
        <v>17888471</v>
      </c>
      <c r="G19" s="86">
        <v>279216</v>
      </c>
      <c r="H19" s="121">
        <v>1036842.75</v>
      </c>
      <c r="I19" s="121">
        <f t="shared" si="1"/>
        <v>18925313.75</v>
      </c>
      <c r="J19" s="174">
        <v>18046911</v>
      </c>
      <c r="K19" s="174">
        <v>255216</v>
      </c>
      <c r="L19" s="174">
        <v>1114783.5</v>
      </c>
      <c r="M19" s="174">
        <f t="shared" si="2"/>
        <v>19161694.5</v>
      </c>
      <c r="N19" s="174">
        <f t="shared" si="3"/>
        <v>-158440</v>
      </c>
      <c r="O19" s="174">
        <f t="shared" si="0"/>
        <v>24000</v>
      </c>
      <c r="P19" s="174">
        <f t="shared" si="0"/>
        <v>-77940.75</v>
      </c>
      <c r="Q19" s="174">
        <f t="shared" si="0"/>
        <v>-236380.75</v>
      </c>
    </row>
    <row r="20" spans="1:17" s="175" customFormat="1" ht="20.100000000000001" customHeight="1">
      <c r="A20" s="176" t="s">
        <v>4</v>
      </c>
      <c r="B20" s="91" t="s">
        <v>239</v>
      </c>
      <c r="C20" s="91">
        <v>4</v>
      </c>
      <c r="D20" s="91" t="s">
        <v>990</v>
      </c>
      <c r="E20" s="91" t="s">
        <v>1001</v>
      </c>
      <c r="F20" s="86">
        <v>20403273</v>
      </c>
      <c r="G20" s="86">
        <v>328268</v>
      </c>
      <c r="H20" s="121">
        <v>1690566</v>
      </c>
      <c r="I20" s="121">
        <f t="shared" si="1"/>
        <v>22093839</v>
      </c>
      <c r="J20" s="174">
        <v>20315102</v>
      </c>
      <c r="K20" s="174">
        <v>304268</v>
      </c>
      <c r="L20" s="174">
        <v>2067699</v>
      </c>
      <c r="M20" s="174">
        <f t="shared" si="2"/>
        <v>22382801</v>
      </c>
      <c r="N20" s="174">
        <f t="shared" si="3"/>
        <v>88171</v>
      </c>
      <c r="O20" s="174">
        <f t="shared" si="0"/>
        <v>24000</v>
      </c>
      <c r="P20" s="174">
        <f t="shared" si="0"/>
        <v>-377133</v>
      </c>
      <c r="Q20" s="174">
        <f t="shared" si="0"/>
        <v>-288962</v>
      </c>
    </row>
    <row r="21" spans="1:17" s="175" customFormat="1" ht="20.100000000000001" customHeight="1">
      <c r="A21" s="176" t="s">
        <v>4</v>
      </c>
      <c r="B21" s="91" t="s">
        <v>265</v>
      </c>
      <c r="C21" s="91">
        <v>5</v>
      </c>
      <c r="D21" s="91" t="s">
        <v>990</v>
      </c>
      <c r="E21" s="91" t="s">
        <v>991</v>
      </c>
      <c r="F21" s="86">
        <v>18912243</v>
      </c>
      <c r="G21" s="86">
        <v>273028</v>
      </c>
      <c r="H21" s="121">
        <v>1449794.5</v>
      </c>
      <c r="I21" s="121">
        <f t="shared" si="1"/>
        <v>20362037.5</v>
      </c>
      <c r="J21" s="174">
        <v>19920634</v>
      </c>
      <c r="K21" s="174">
        <v>248428</v>
      </c>
      <c r="L21" s="174">
        <v>1313589.75</v>
      </c>
      <c r="M21" s="174">
        <f t="shared" si="2"/>
        <v>21234223.75</v>
      </c>
      <c r="N21" s="174">
        <f t="shared" si="3"/>
        <v>-1008391</v>
      </c>
      <c r="O21" s="174">
        <f t="shared" si="3"/>
        <v>24600</v>
      </c>
      <c r="P21" s="174">
        <f t="shared" si="3"/>
        <v>136204.75</v>
      </c>
      <c r="Q21" s="174">
        <f t="shared" si="3"/>
        <v>-872186.25</v>
      </c>
    </row>
    <row r="22" spans="1:17" s="175" customFormat="1" ht="20.100000000000001" customHeight="1">
      <c r="A22" s="176" t="s">
        <v>4</v>
      </c>
      <c r="B22" s="91" t="s">
        <v>240</v>
      </c>
      <c r="C22" s="91">
        <v>6</v>
      </c>
      <c r="D22" s="91" t="s">
        <v>990</v>
      </c>
      <c r="E22" s="91" t="s">
        <v>998</v>
      </c>
      <c r="F22" s="86">
        <v>10160836</v>
      </c>
      <c r="G22" s="86">
        <v>275535</v>
      </c>
      <c r="H22" s="121">
        <v>474534.5</v>
      </c>
      <c r="I22" s="121">
        <f t="shared" si="1"/>
        <v>10635370.5</v>
      </c>
      <c r="J22" s="174">
        <v>10542787</v>
      </c>
      <c r="K22" s="174">
        <v>251535</v>
      </c>
      <c r="L22" s="174">
        <v>543674.5</v>
      </c>
      <c r="M22" s="174">
        <f t="shared" si="2"/>
        <v>11086461.5</v>
      </c>
      <c r="N22" s="174">
        <f t="shared" si="3"/>
        <v>-381951</v>
      </c>
      <c r="O22" s="174">
        <f t="shared" si="3"/>
        <v>24000</v>
      </c>
      <c r="P22" s="174">
        <f t="shared" si="3"/>
        <v>-69140</v>
      </c>
      <c r="Q22" s="174">
        <f t="shared" si="3"/>
        <v>-451091</v>
      </c>
    </row>
    <row r="23" spans="1:17" s="175" customFormat="1" ht="20.100000000000001" customHeight="1">
      <c r="A23" s="176" t="s">
        <v>4</v>
      </c>
      <c r="B23" s="91" t="s">
        <v>241</v>
      </c>
      <c r="C23" s="91">
        <v>7</v>
      </c>
      <c r="D23" s="91" t="s">
        <v>990</v>
      </c>
      <c r="E23" s="91" t="s">
        <v>998</v>
      </c>
      <c r="F23" s="86">
        <v>65891003</v>
      </c>
      <c r="G23" s="86">
        <v>746384</v>
      </c>
      <c r="H23" s="121">
        <v>3084066</v>
      </c>
      <c r="I23" s="121">
        <f t="shared" si="1"/>
        <v>68975069</v>
      </c>
      <c r="J23" s="174">
        <v>66708785</v>
      </c>
      <c r="K23" s="174">
        <v>678708</v>
      </c>
      <c r="L23" s="174">
        <v>3251283</v>
      </c>
      <c r="M23" s="174">
        <f t="shared" si="2"/>
        <v>69960068</v>
      </c>
      <c r="N23" s="174">
        <f t="shared" si="3"/>
        <v>-817782</v>
      </c>
      <c r="O23" s="174">
        <f t="shared" si="3"/>
        <v>67676</v>
      </c>
      <c r="P23" s="174">
        <f t="shared" si="3"/>
        <v>-167217</v>
      </c>
      <c r="Q23" s="174">
        <f t="shared" si="3"/>
        <v>-984999</v>
      </c>
    </row>
    <row r="24" spans="1:17" s="175" customFormat="1" ht="20.100000000000001" customHeight="1">
      <c r="A24" s="176" t="s">
        <v>4</v>
      </c>
      <c r="B24" s="91" t="s">
        <v>242</v>
      </c>
      <c r="C24" s="91">
        <v>8</v>
      </c>
      <c r="D24" s="91" t="s">
        <v>990</v>
      </c>
      <c r="E24" s="91" t="s">
        <v>998</v>
      </c>
      <c r="F24" s="86">
        <v>11053527</v>
      </c>
      <c r="G24" s="86">
        <v>535352</v>
      </c>
      <c r="H24" s="121">
        <v>444975</v>
      </c>
      <c r="I24" s="121">
        <f t="shared" si="1"/>
        <v>11498502</v>
      </c>
      <c r="J24" s="174">
        <v>11102581</v>
      </c>
      <c r="K24" s="174">
        <v>448352</v>
      </c>
      <c r="L24" s="174">
        <v>446696.25</v>
      </c>
      <c r="M24" s="174">
        <f t="shared" si="2"/>
        <v>11549277.25</v>
      </c>
      <c r="N24" s="174">
        <f t="shared" si="3"/>
        <v>-49054</v>
      </c>
      <c r="O24" s="174">
        <f t="shared" si="3"/>
        <v>87000</v>
      </c>
      <c r="P24" s="174">
        <f t="shared" si="3"/>
        <v>-1721.25</v>
      </c>
      <c r="Q24" s="174">
        <f t="shared" si="3"/>
        <v>-50775.25</v>
      </c>
    </row>
    <row r="25" spans="1:17" s="175" customFormat="1" ht="20.100000000000001" customHeight="1">
      <c r="A25" s="176" t="s">
        <v>4</v>
      </c>
      <c r="B25" s="91" t="s">
        <v>243</v>
      </c>
      <c r="C25" s="91">
        <v>9</v>
      </c>
      <c r="D25" s="91" t="s">
        <v>990</v>
      </c>
      <c r="E25" s="91" t="s">
        <v>998</v>
      </c>
      <c r="F25" s="86">
        <v>24991005</v>
      </c>
      <c r="G25" s="86">
        <v>642084</v>
      </c>
      <c r="H25" s="121">
        <v>1562176</v>
      </c>
      <c r="I25" s="121">
        <f t="shared" si="1"/>
        <v>26553181</v>
      </c>
      <c r="J25" s="174">
        <v>25004132</v>
      </c>
      <c r="K25" s="174">
        <v>594084</v>
      </c>
      <c r="L25" s="174">
        <v>1723843.25</v>
      </c>
      <c r="M25" s="174">
        <f t="shared" si="2"/>
        <v>26727975.25</v>
      </c>
      <c r="N25" s="174">
        <f t="shared" si="3"/>
        <v>-13127</v>
      </c>
      <c r="O25" s="174">
        <f t="shared" si="3"/>
        <v>48000</v>
      </c>
      <c r="P25" s="174">
        <f t="shared" si="3"/>
        <v>-161667.25</v>
      </c>
      <c r="Q25" s="174">
        <f t="shared" si="3"/>
        <v>-174794.25</v>
      </c>
    </row>
    <row r="26" spans="1:17" s="175" customFormat="1" ht="20.100000000000001" customHeight="1">
      <c r="A26" s="176" t="s">
        <v>4</v>
      </c>
      <c r="B26" s="91" t="s">
        <v>747</v>
      </c>
      <c r="C26" s="91">
        <v>10</v>
      </c>
      <c r="D26" s="91" t="s">
        <v>990</v>
      </c>
      <c r="E26" s="91" t="s">
        <v>998</v>
      </c>
      <c r="F26" s="86">
        <v>23648221</v>
      </c>
      <c r="G26" s="86">
        <v>293636</v>
      </c>
      <c r="H26" s="121">
        <v>1122814.5</v>
      </c>
      <c r="I26" s="121">
        <f t="shared" si="1"/>
        <v>24771035.5</v>
      </c>
      <c r="J26" s="174">
        <v>24071142</v>
      </c>
      <c r="K26" s="174">
        <v>269636</v>
      </c>
      <c r="L26" s="174">
        <v>1748827.5</v>
      </c>
      <c r="M26" s="174">
        <f t="shared" si="2"/>
        <v>25819969.5</v>
      </c>
      <c r="N26" s="174">
        <f t="shared" si="3"/>
        <v>-422921</v>
      </c>
      <c r="O26" s="174">
        <f t="shared" si="3"/>
        <v>24000</v>
      </c>
      <c r="P26" s="174">
        <f t="shared" si="3"/>
        <v>-626013</v>
      </c>
      <c r="Q26" s="174">
        <f t="shared" si="3"/>
        <v>-1048934</v>
      </c>
    </row>
    <row r="27" spans="1:17" s="175" customFormat="1" ht="20.100000000000001" customHeight="1">
      <c r="A27" s="176" t="s">
        <v>4</v>
      </c>
      <c r="B27" s="91" t="s">
        <v>757</v>
      </c>
      <c r="C27" s="91">
        <v>11</v>
      </c>
      <c r="D27" s="91" t="s">
        <v>992</v>
      </c>
      <c r="E27" s="91" t="s">
        <v>993</v>
      </c>
      <c r="F27" s="86">
        <v>1417780</v>
      </c>
      <c r="G27" s="86">
        <v>0</v>
      </c>
      <c r="H27" s="121"/>
      <c r="I27" s="121">
        <f t="shared" si="1"/>
        <v>1417780</v>
      </c>
      <c r="J27" s="174">
        <v>1389682</v>
      </c>
      <c r="K27" s="174"/>
      <c r="L27" s="174"/>
      <c r="M27" s="174">
        <f t="shared" si="2"/>
        <v>1389682</v>
      </c>
      <c r="N27" s="174">
        <f t="shared" si="3"/>
        <v>28098</v>
      </c>
      <c r="O27" s="174">
        <f t="shared" si="3"/>
        <v>0</v>
      </c>
      <c r="P27" s="174">
        <f t="shared" si="3"/>
        <v>0</v>
      </c>
      <c r="Q27" s="174">
        <f t="shared" si="3"/>
        <v>28098</v>
      </c>
    </row>
    <row r="28" spans="1:17" s="175" customFormat="1" ht="20.100000000000001" customHeight="1">
      <c r="A28" s="176" t="s">
        <v>4</v>
      </c>
      <c r="B28" s="91" t="s">
        <v>1002</v>
      </c>
      <c r="C28" s="91">
        <v>12</v>
      </c>
      <c r="D28" s="91" t="s">
        <v>992</v>
      </c>
      <c r="E28" s="91" t="s">
        <v>994</v>
      </c>
      <c r="F28" s="86">
        <v>6793861</v>
      </c>
      <c r="G28" s="86">
        <v>246704</v>
      </c>
      <c r="H28" s="121"/>
      <c r="I28" s="121">
        <f t="shared" si="1"/>
        <v>6793861</v>
      </c>
      <c r="J28" s="174">
        <v>6984616</v>
      </c>
      <c r="K28" s="174">
        <v>222704</v>
      </c>
      <c r="L28" s="174"/>
      <c r="M28" s="174">
        <f t="shared" si="2"/>
        <v>6984616</v>
      </c>
      <c r="N28" s="174">
        <f t="shared" si="3"/>
        <v>-190755</v>
      </c>
      <c r="O28" s="174">
        <f t="shared" si="3"/>
        <v>24000</v>
      </c>
      <c r="P28" s="174">
        <f t="shared" si="3"/>
        <v>0</v>
      </c>
      <c r="Q28" s="174">
        <f t="shared" si="3"/>
        <v>-190755</v>
      </c>
    </row>
    <row r="29" spans="1:17" s="175" customFormat="1" ht="20.100000000000001" customHeight="1">
      <c r="A29" s="176" t="s">
        <v>4</v>
      </c>
      <c r="B29" s="91" t="s">
        <v>701</v>
      </c>
      <c r="C29" s="91">
        <v>13</v>
      </c>
      <c r="D29" s="91" t="s">
        <v>992</v>
      </c>
      <c r="E29" s="91" t="s">
        <v>994</v>
      </c>
      <c r="F29" s="86">
        <v>15953411</v>
      </c>
      <c r="G29" s="86">
        <v>330427</v>
      </c>
      <c r="H29" s="121"/>
      <c r="I29" s="121">
        <f t="shared" si="1"/>
        <v>15953411</v>
      </c>
      <c r="J29" s="174">
        <v>15820576</v>
      </c>
      <c r="K29" s="174">
        <v>290684</v>
      </c>
      <c r="L29" s="174"/>
      <c r="M29" s="174">
        <f t="shared" si="2"/>
        <v>15820576</v>
      </c>
      <c r="N29" s="174">
        <f t="shared" si="3"/>
        <v>132835</v>
      </c>
      <c r="O29" s="174">
        <f t="shared" si="3"/>
        <v>39743</v>
      </c>
      <c r="P29" s="174">
        <f t="shared" si="3"/>
        <v>0</v>
      </c>
      <c r="Q29" s="174">
        <f t="shared" si="3"/>
        <v>132835</v>
      </c>
    </row>
    <row r="30" spans="1:17" s="175" customFormat="1" ht="20.100000000000001" customHeight="1">
      <c r="A30" s="176" t="s">
        <v>4</v>
      </c>
      <c r="B30" s="91" t="s">
        <v>1003</v>
      </c>
      <c r="C30" s="91">
        <v>14</v>
      </c>
      <c r="D30" s="91" t="s">
        <v>992</v>
      </c>
      <c r="E30" s="91" t="s">
        <v>994</v>
      </c>
      <c r="F30" s="86">
        <v>6966087</v>
      </c>
      <c r="G30" s="86">
        <v>246116</v>
      </c>
      <c r="H30" s="121"/>
      <c r="I30" s="121">
        <f t="shared" si="1"/>
        <v>6966087</v>
      </c>
      <c r="J30" s="174">
        <v>7152920</v>
      </c>
      <c r="K30" s="174">
        <v>222116</v>
      </c>
      <c r="L30" s="174"/>
      <c r="M30" s="174">
        <f t="shared" si="2"/>
        <v>7152920</v>
      </c>
      <c r="N30" s="174">
        <f t="shared" si="3"/>
        <v>-186833</v>
      </c>
      <c r="O30" s="174">
        <f t="shared" si="3"/>
        <v>24000</v>
      </c>
      <c r="P30" s="174">
        <f t="shared" si="3"/>
        <v>0</v>
      </c>
      <c r="Q30" s="174">
        <f t="shared" si="3"/>
        <v>-186833</v>
      </c>
    </row>
    <row r="31" spans="1:17" s="175" customFormat="1" ht="20.100000000000001" customHeight="1">
      <c r="A31" s="176" t="s">
        <v>4</v>
      </c>
      <c r="B31" s="91" t="s">
        <v>1004</v>
      </c>
      <c r="C31" s="91">
        <v>15</v>
      </c>
      <c r="D31" s="91" t="s">
        <v>992</v>
      </c>
      <c r="E31" s="91" t="s">
        <v>994</v>
      </c>
      <c r="F31" s="86">
        <v>7984864</v>
      </c>
      <c r="G31" s="86">
        <v>246104</v>
      </c>
      <c r="H31" s="121"/>
      <c r="I31" s="121">
        <f t="shared" si="1"/>
        <v>7984864</v>
      </c>
      <c r="J31" s="174">
        <v>8078592</v>
      </c>
      <c r="K31" s="174">
        <v>222104</v>
      </c>
      <c r="L31" s="174"/>
      <c r="M31" s="174">
        <f t="shared" si="2"/>
        <v>8078592</v>
      </c>
      <c r="N31" s="174">
        <f t="shared" si="3"/>
        <v>-93728</v>
      </c>
      <c r="O31" s="174">
        <f t="shared" si="3"/>
        <v>24000</v>
      </c>
      <c r="P31" s="174">
        <f t="shared" si="3"/>
        <v>0</v>
      </c>
      <c r="Q31" s="174">
        <f t="shared" si="3"/>
        <v>-93728</v>
      </c>
    </row>
    <row r="32" spans="1:17" s="175" customFormat="1" ht="20.100000000000001" customHeight="1">
      <c r="A32" s="176" t="s">
        <v>4</v>
      </c>
      <c r="B32" s="91" t="s">
        <v>1005</v>
      </c>
      <c r="C32" s="91">
        <v>16</v>
      </c>
      <c r="D32" s="91" t="s">
        <v>992</v>
      </c>
      <c r="E32" s="91" t="s">
        <v>994</v>
      </c>
      <c r="F32" s="86">
        <v>4742916</v>
      </c>
      <c r="G32" s="86">
        <v>246476</v>
      </c>
      <c r="H32" s="121"/>
      <c r="I32" s="121">
        <f t="shared" si="1"/>
        <v>4742916</v>
      </c>
      <c r="J32" s="174">
        <v>4880816</v>
      </c>
      <c r="K32" s="174">
        <v>221276</v>
      </c>
      <c r="L32" s="174"/>
      <c r="M32" s="174">
        <f t="shared" si="2"/>
        <v>4880816</v>
      </c>
      <c r="N32" s="174">
        <f t="shared" si="3"/>
        <v>-137900</v>
      </c>
      <c r="O32" s="174">
        <f t="shared" si="3"/>
        <v>25200</v>
      </c>
      <c r="P32" s="174">
        <f t="shared" si="3"/>
        <v>0</v>
      </c>
      <c r="Q32" s="174">
        <f t="shared" si="3"/>
        <v>-137900</v>
      </c>
    </row>
    <row r="33" spans="1:17" s="175" customFormat="1" ht="20.100000000000001" customHeight="1">
      <c r="A33" s="176" t="s">
        <v>4</v>
      </c>
      <c r="B33" s="171" t="s">
        <v>1006</v>
      </c>
      <c r="C33" s="91">
        <v>17</v>
      </c>
      <c r="D33" s="91" t="s">
        <v>992</v>
      </c>
      <c r="E33" s="91" t="s">
        <v>994</v>
      </c>
      <c r="F33" s="86">
        <v>5107831</v>
      </c>
      <c r="G33" s="86">
        <v>88852</v>
      </c>
      <c r="H33" s="121"/>
      <c r="I33" s="121">
        <f t="shared" si="1"/>
        <v>5107831</v>
      </c>
      <c r="J33" s="174">
        <v>5554032</v>
      </c>
      <c r="K33" s="174">
        <v>58052</v>
      </c>
      <c r="L33" s="174"/>
      <c r="M33" s="174">
        <f t="shared" si="2"/>
        <v>5554032</v>
      </c>
      <c r="N33" s="174">
        <f t="shared" si="3"/>
        <v>-446201</v>
      </c>
      <c r="O33" s="174">
        <f t="shared" si="3"/>
        <v>30800</v>
      </c>
      <c r="P33" s="174">
        <f t="shared" si="3"/>
        <v>0</v>
      </c>
      <c r="Q33" s="174">
        <f t="shared" si="3"/>
        <v>-446201</v>
      </c>
    </row>
    <row r="34" spans="1:17" s="175" customFormat="1" ht="20.100000000000001" customHeight="1">
      <c r="A34" s="176" t="s">
        <v>4</v>
      </c>
      <c r="B34" s="171" t="s">
        <v>1007</v>
      </c>
      <c r="C34" s="91">
        <v>18</v>
      </c>
      <c r="D34" s="91" t="s">
        <v>992</v>
      </c>
      <c r="E34" s="91" t="s">
        <v>994</v>
      </c>
      <c r="F34" s="86">
        <v>3218756</v>
      </c>
      <c r="G34" s="86">
        <v>229316</v>
      </c>
      <c r="H34" s="121"/>
      <c r="I34" s="121">
        <f t="shared" si="1"/>
        <v>3218756</v>
      </c>
      <c r="J34" s="174">
        <v>3197776</v>
      </c>
      <c r="K34" s="174">
        <v>205316</v>
      </c>
      <c r="L34" s="174"/>
      <c r="M34" s="174">
        <f t="shared" si="2"/>
        <v>3197776</v>
      </c>
      <c r="N34" s="174">
        <f t="shared" si="3"/>
        <v>20980</v>
      </c>
      <c r="O34" s="174">
        <f t="shared" si="3"/>
        <v>24000</v>
      </c>
      <c r="P34" s="174">
        <f t="shared" si="3"/>
        <v>0</v>
      </c>
      <c r="Q34" s="174">
        <f t="shared" si="3"/>
        <v>20980</v>
      </c>
    </row>
    <row r="35" spans="1:17" s="175" customFormat="1" ht="20.100000000000001" customHeight="1">
      <c r="A35" s="176" t="s">
        <v>4</v>
      </c>
      <c r="B35" s="171" t="s">
        <v>1008</v>
      </c>
      <c r="C35" s="91">
        <v>19</v>
      </c>
      <c r="D35" s="91" t="s">
        <v>992</v>
      </c>
      <c r="E35" s="91" t="s">
        <v>994</v>
      </c>
      <c r="F35" s="86">
        <v>12298585</v>
      </c>
      <c r="G35" s="86">
        <v>0</v>
      </c>
      <c r="H35" s="121"/>
      <c r="I35" s="121">
        <f t="shared" si="1"/>
        <v>12298585</v>
      </c>
      <c r="J35" s="174">
        <v>12622800</v>
      </c>
      <c r="K35" s="174"/>
      <c r="L35" s="174"/>
      <c r="M35" s="174">
        <f t="shared" si="2"/>
        <v>12622800</v>
      </c>
      <c r="N35" s="174">
        <f t="shared" si="3"/>
        <v>-324215</v>
      </c>
      <c r="O35" s="174">
        <f t="shared" si="3"/>
        <v>0</v>
      </c>
      <c r="P35" s="174">
        <f t="shared" si="3"/>
        <v>0</v>
      </c>
      <c r="Q35" s="174">
        <f t="shared" si="3"/>
        <v>-324215</v>
      </c>
    </row>
    <row r="36" spans="1:17" s="175" customFormat="1" ht="20.100000000000001" customHeight="1">
      <c r="A36" s="176" t="s">
        <v>4</v>
      </c>
      <c r="B36" s="171" t="s">
        <v>1009</v>
      </c>
      <c r="C36" s="91">
        <v>20</v>
      </c>
      <c r="D36" s="91" t="s">
        <v>992</v>
      </c>
      <c r="E36" s="91" t="s">
        <v>994</v>
      </c>
      <c r="F36" s="86">
        <v>2009279</v>
      </c>
      <c r="G36" s="86">
        <v>230756</v>
      </c>
      <c r="H36" s="121"/>
      <c r="I36" s="121">
        <f t="shared" si="1"/>
        <v>2009279</v>
      </c>
      <c r="J36" s="174">
        <v>2019648</v>
      </c>
      <c r="K36" s="174">
        <v>206756</v>
      </c>
      <c r="L36" s="174"/>
      <c r="M36" s="174">
        <f t="shared" si="2"/>
        <v>2019648</v>
      </c>
      <c r="N36" s="174">
        <f t="shared" si="3"/>
        <v>-10369</v>
      </c>
      <c r="O36" s="174">
        <f t="shared" si="3"/>
        <v>24000</v>
      </c>
      <c r="P36" s="174">
        <f t="shared" si="3"/>
        <v>0</v>
      </c>
      <c r="Q36" s="174">
        <f t="shared" si="3"/>
        <v>-10369</v>
      </c>
    </row>
    <row r="37" spans="1:17" s="175" customFormat="1" ht="20.100000000000001" customHeight="1">
      <c r="A37" s="176"/>
      <c r="B37" s="171" t="s">
        <v>1010</v>
      </c>
      <c r="C37" s="91"/>
      <c r="D37" s="91"/>
      <c r="E37" s="91"/>
      <c r="F37" s="86">
        <f>SUM(F17:F36)</f>
        <v>326099594</v>
      </c>
      <c r="G37" s="86">
        <f t="shared" ref="G37:Q37" si="6">SUM(G17:G36)</f>
        <v>6481296</v>
      </c>
      <c r="H37" s="86">
        <f t="shared" si="6"/>
        <v>16117001.25</v>
      </c>
      <c r="I37" s="86">
        <f t="shared" si="6"/>
        <v>342216595.25</v>
      </c>
      <c r="J37" s="86">
        <f t="shared" si="6"/>
        <v>331755113</v>
      </c>
      <c r="K37" s="86">
        <f t="shared" si="6"/>
        <v>5829323</v>
      </c>
      <c r="L37" s="86">
        <f t="shared" si="6"/>
        <v>18683459.699999999</v>
      </c>
      <c r="M37" s="86">
        <f t="shared" si="6"/>
        <v>350438572.69999999</v>
      </c>
      <c r="N37" s="86">
        <f t="shared" si="6"/>
        <v>-5655519</v>
      </c>
      <c r="O37" s="86">
        <f t="shared" si="6"/>
        <v>651973</v>
      </c>
      <c r="P37" s="86">
        <f t="shared" si="6"/>
        <v>-2566458.4500000002</v>
      </c>
      <c r="Q37" s="86">
        <f t="shared" si="6"/>
        <v>-8221977.450000003</v>
      </c>
    </row>
    <row r="38" spans="1:17" s="175" customFormat="1" ht="20.100000000000001" customHeight="1">
      <c r="A38" s="176" t="s">
        <v>5</v>
      </c>
      <c r="B38" s="91" t="s">
        <v>227</v>
      </c>
      <c r="C38" s="91">
        <v>1</v>
      </c>
      <c r="D38" s="91" t="s">
        <v>990</v>
      </c>
      <c r="E38" s="91" t="s">
        <v>1001</v>
      </c>
      <c r="F38" s="86">
        <v>15853699</v>
      </c>
      <c r="G38" s="86">
        <v>304239</v>
      </c>
      <c r="H38" s="121">
        <v>1265430.5</v>
      </c>
      <c r="I38" s="121">
        <f t="shared" si="1"/>
        <v>17119129.5</v>
      </c>
      <c r="J38" s="174">
        <v>16173188</v>
      </c>
      <c r="K38" s="174">
        <v>280089</v>
      </c>
      <c r="L38" s="174">
        <v>1458671.5</v>
      </c>
      <c r="M38" s="174">
        <f t="shared" si="2"/>
        <v>17631859.5</v>
      </c>
      <c r="N38" s="174">
        <f t="shared" si="3"/>
        <v>-319489</v>
      </c>
      <c r="O38" s="174">
        <f t="shared" si="3"/>
        <v>24150</v>
      </c>
      <c r="P38" s="174">
        <f t="shared" si="3"/>
        <v>-193241</v>
      </c>
      <c r="Q38" s="174">
        <f t="shared" si="3"/>
        <v>-512730</v>
      </c>
    </row>
    <row r="39" spans="1:17" s="175" customFormat="1" ht="20.100000000000001" customHeight="1">
      <c r="A39" s="176" t="s">
        <v>5</v>
      </c>
      <c r="B39" s="91" t="s">
        <v>228</v>
      </c>
      <c r="C39" s="91">
        <v>2</v>
      </c>
      <c r="D39" s="91" t="s">
        <v>990</v>
      </c>
      <c r="E39" s="91" t="s">
        <v>1001</v>
      </c>
      <c r="F39" s="86">
        <v>16019621</v>
      </c>
      <c r="G39" s="86">
        <v>282996</v>
      </c>
      <c r="H39" s="121">
        <v>1469123.5</v>
      </c>
      <c r="I39" s="121">
        <f t="shared" si="1"/>
        <v>17488744.5</v>
      </c>
      <c r="J39" s="174">
        <v>16074571</v>
      </c>
      <c r="K39" s="174">
        <v>258996</v>
      </c>
      <c r="L39" s="174">
        <v>1775126.25</v>
      </c>
      <c r="M39" s="174">
        <f t="shared" si="2"/>
        <v>17849697.25</v>
      </c>
      <c r="N39" s="174">
        <f t="shared" si="3"/>
        <v>-54950</v>
      </c>
      <c r="O39" s="174">
        <f t="shared" si="3"/>
        <v>24000</v>
      </c>
      <c r="P39" s="174">
        <f t="shared" si="3"/>
        <v>-306002.75</v>
      </c>
      <c r="Q39" s="174">
        <f t="shared" si="3"/>
        <v>-360952.75</v>
      </c>
    </row>
    <row r="40" spans="1:17" s="175" customFormat="1" ht="20.100000000000001" customHeight="1">
      <c r="A40" s="176" t="s">
        <v>5</v>
      </c>
      <c r="B40" s="171" t="s">
        <v>229</v>
      </c>
      <c r="C40" s="91">
        <v>3</v>
      </c>
      <c r="D40" s="91" t="s">
        <v>990</v>
      </c>
      <c r="E40" s="91" t="s">
        <v>1001</v>
      </c>
      <c r="F40" s="86">
        <v>16338146</v>
      </c>
      <c r="G40" s="86">
        <v>275492</v>
      </c>
      <c r="H40" s="121">
        <v>1360175</v>
      </c>
      <c r="I40" s="121">
        <f t="shared" si="1"/>
        <v>17698321</v>
      </c>
      <c r="J40" s="174">
        <v>16173188</v>
      </c>
      <c r="K40" s="174">
        <v>251492</v>
      </c>
      <c r="L40" s="174">
        <v>1428525.75</v>
      </c>
      <c r="M40" s="174">
        <f t="shared" si="2"/>
        <v>17601713.75</v>
      </c>
      <c r="N40" s="174">
        <f t="shared" si="3"/>
        <v>164958</v>
      </c>
      <c r="O40" s="174">
        <f t="shared" si="3"/>
        <v>24000</v>
      </c>
      <c r="P40" s="174">
        <f t="shared" si="3"/>
        <v>-68350.75</v>
      </c>
      <c r="Q40" s="174">
        <f t="shared" si="3"/>
        <v>96607.25</v>
      </c>
    </row>
    <row r="41" spans="1:17" s="175" customFormat="1" ht="20.100000000000001" customHeight="1">
      <c r="A41" s="176" t="s">
        <v>5</v>
      </c>
      <c r="B41" s="91" t="s">
        <v>230</v>
      </c>
      <c r="C41" s="91">
        <v>4</v>
      </c>
      <c r="D41" s="91" t="s">
        <v>990</v>
      </c>
      <c r="E41" s="91" t="s">
        <v>991</v>
      </c>
      <c r="F41" s="86">
        <v>16827218</v>
      </c>
      <c r="G41" s="86">
        <v>290008</v>
      </c>
      <c r="H41" s="121">
        <v>1733829</v>
      </c>
      <c r="I41" s="121">
        <f t="shared" si="1"/>
        <v>18561047</v>
      </c>
      <c r="J41" s="174">
        <v>17553826</v>
      </c>
      <c r="K41" s="174">
        <v>266008</v>
      </c>
      <c r="L41" s="174">
        <v>1781931.25</v>
      </c>
      <c r="M41" s="174">
        <f t="shared" si="2"/>
        <v>19335757.25</v>
      </c>
      <c r="N41" s="174">
        <f t="shared" si="3"/>
        <v>-726608</v>
      </c>
      <c r="O41" s="174">
        <f t="shared" si="3"/>
        <v>24000</v>
      </c>
      <c r="P41" s="174">
        <f t="shared" si="3"/>
        <v>-48102.25</v>
      </c>
      <c r="Q41" s="174">
        <f t="shared" si="3"/>
        <v>-774710.25</v>
      </c>
    </row>
    <row r="42" spans="1:17" s="175" customFormat="1" ht="20.100000000000001" customHeight="1">
      <c r="A42" s="176" t="s">
        <v>5</v>
      </c>
      <c r="B42" s="176" t="s">
        <v>235</v>
      </c>
      <c r="C42" s="91">
        <v>5</v>
      </c>
      <c r="D42" s="91" t="s">
        <v>990</v>
      </c>
      <c r="E42" s="91" t="s">
        <v>991</v>
      </c>
      <c r="F42" s="86">
        <v>5484721</v>
      </c>
      <c r="G42" s="86">
        <v>0</v>
      </c>
      <c r="H42" s="121">
        <v>426266.5</v>
      </c>
      <c r="I42" s="121">
        <f t="shared" si="1"/>
        <v>5910987.5</v>
      </c>
      <c r="J42" s="174">
        <v>5818403</v>
      </c>
      <c r="K42" s="174">
        <v>0</v>
      </c>
      <c r="L42" s="174">
        <v>540024.5</v>
      </c>
      <c r="M42" s="174">
        <f t="shared" si="2"/>
        <v>6358427.5</v>
      </c>
      <c r="N42" s="174">
        <f t="shared" si="3"/>
        <v>-333682</v>
      </c>
      <c r="O42" s="174">
        <f t="shared" si="3"/>
        <v>0</v>
      </c>
      <c r="P42" s="174">
        <f t="shared" si="3"/>
        <v>-113758</v>
      </c>
      <c r="Q42" s="174">
        <f t="shared" si="3"/>
        <v>-447440</v>
      </c>
    </row>
    <row r="43" spans="1:17" s="175" customFormat="1" ht="20.100000000000001" customHeight="1">
      <c r="A43" s="176" t="s">
        <v>5</v>
      </c>
      <c r="B43" s="91" t="s">
        <v>231</v>
      </c>
      <c r="C43" s="91">
        <v>6</v>
      </c>
      <c r="D43" s="91" t="s">
        <v>990</v>
      </c>
      <c r="E43" s="91" t="s">
        <v>998</v>
      </c>
      <c r="F43" s="86">
        <v>17973398</v>
      </c>
      <c r="G43" s="86">
        <v>612058</v>
      </c>
      <c r="H43" s="121">
        <v>1003496.5</v>
      </c>
      <c r="I43" s="121">
        <f t="shared" si="1"/>
        <v>18976894.5</v>
      </c>
      <c r="J43" s="174">
        <v>18006707</v>
      </c>
      <c r="K43" s="174">
        <v>564058</v>
      </c>
      <c r="L43" s="174">
        <v>1069892.5</v>
      </c>
      <c r="M43" s="174">
        <f t="shared" si="2"/>
        <v>19076599.5</v>
      </c>
      <c r="N43" s="174">
        <f t="shared" si="3"/>
        <v>-33309</v>
      </c>
      <c r="O43" s="174">
        <f t="shared" si="3"/>
        <v>48000</v>
      </c>
      <c r="P43" s="174">
        <f t="shared" si="3"/>
        <v>-66396</v>
      </c>
      <c r="Q43" s="174">
        <f t="shared" si="3"/>
        <v>-99705</v>
      </c>
    </row>
    <row r="44" spans="1:17" s="175" customFormat="1" ht="20.100000000000001" customHeight="1">
      <c r="A44" s="176" t="s">
        <v>5</v>
      </c>
      <c r="B44" s="91" t="s">
        <v>232</v>
      </c>
      <c r="C44" s="91">
        <v>7</v>
      </c>
      <c r="D44" s="91" t="s">
        <v>990</v>
      </c>
      <c r="E44" s="91" t="s">
        <v>998</v>
      </c>
      <c r="F44" s="86">
        <v>14414268</v>
      </c>
      <c r="G44" s="86">
        <v>287836</v>
      </c>
      <c r="H44" s="121">
        <v>845636</v>
      </c>
      <c r="I44" s="121">
        <f t="shared" si="1"/>
        <v>15259904</v>
      </c>
      <c r="J44" s="174">
        <v>14461345</v>
      </c>
      <c r="K44" s="174">
        <v>263836</v>
      </c>
      <c r="L44" s="174">
        <v>1078468.5</v>
      </c>
      <c r="M44" s="174">
        <f t="shared" si="2"/>
        <v>15539813.5</v>
      </c>
      <c r="N44" s="174">
        <f t="shared" si="3"/>
        <v>-47077</v>
      </c>
      <c r="O44" s="174">
        <f t="shared" si="3"/>
        <v>24000</v>
      </c>
      <c r="P44" s="174">
        <f t="shared" si="3"/>
        <v>-232832.5</v>
      </c>
      <c r="Q44" s="174">
        <f t="shared" si="3"/>
        <v>-279909.5</v>
      </c>
    </row>
    <row r="45" spans="1:17" s="175" customFormat="1" ht="20.100000000000001" customHeight="1">
      <c r="A45" s="176" t="s">
        <v>5</v>
      </c>
      <c r="B45" s="91" t="s">
        <v>233</v>
      </c>
      <c r="C45" s="91">
        <v>8</v>
      </c>
      <c r="D45" s="91" t="s">
        <v>990</v>
      </c>
      <c r="E45" s="91" t="s">
        <v>998</v>
      </c>
      <c r="F45" s="86">
        <v>16638593</v>
      </c>
      <c r="G45" s="86">
        <v>323204</v>
      </c>
      <c r="H45" s="121">
        <v>1036896.63</v>
      </c>
      <c r="I45" s="121">
        <f t="shared" si="1"/>
        <v>17675489.629999999</v>
      </c>
      <c r="J45" s="174">
        <v>16420624</v>
      </c>
      <c r="K45" s="174">
        <v>299204</v>
      </c>
      <c r="L45" s="174">
        <v>1298048</v>
      </c>
      <c r="M45" s="174">
        <f t="shared" si="2"/>
        <v>17718672</v>
      </c>
      <c r="N45" s="174">
        <f t="shared" si="3"/>
        <v>217969</v>
      </c>
      <c r="O45" s="174">
        <f t="shared" si="3"/>
        <v>24000</v>
      </c>
      <c r="P45" s="174">
        <f t="shared" si="3"/>
        <v>-261151.37</v>
      </c>
      <c r="Q45" s="174">
        <f t="shared" si="3"/>
        <v>-43182.370000001043</v>
      </c>
    </row>
    <row r="46" spans="1:17" s="175" customFormat="1" ht="20.100000000000001" customHeight="1">
      <c r="A46" s="176" t="s">
        <v>5</v>
      </c>
      <c r="B46" s="91" t="s">
        <v>234</v>
      </c>
      <c r="C46" s="91">
        <v>9</v>
      </c>
      <c r="D46" s="91" t="s">
        <v>990</v>
      </c>
      <c r="E46" s="91" t="s">
        <v>998</v>
      </c>
      <c r="F46" s="86">
        <v>10777924</v>
      </c>
      <c r="G46" s="86">
        <v>384912</v>
      </c>
      <c r="H46" s="121">
        <v>702676</v>
      </c>
      <c r="I46" s="121">
        <f t="shared" si="1"/>
        <v>11480600</v>
      </c>
      <c r="J46" s="174">
        <v>10542787</v>
      </c>
      <c r="K46" s="174">
        <v>360912</v>
      </c>
      <c r="L46" s="174">
        <v>956048.75</v>
      </c>
      <c r="M46" s="174">
        <f t="shared" si="2"/>
        <v>11498835.75</v>
      </c>
      <c r="N46" s="174">
        <f t="shared" si="3"/>
        <v>235137</v>
      </c>
      <c r="O46" s="174">
        <f t="shared" si="3"/>
        <v>24000</v>
      </c>
      <c r="P46" s="174">
        <f t="shared" si="3"/>
        <v>-253372.75</v>
      </c>
      <c r="Q46" s="174">
        <f t="shared" si="3"/>
        <v>-18235.75</v>
      </c>
    </row>
    <row r="47" spans="1:17" s="175" customFormat="1" ht="20.100000000000001" customHeight="1">
      <c r="A47" s="176" t="s">
        <v>5</v>
      </c>
      <c r="B47" s="91" t="s">
        <v>1011</v>
      </c>
      <c r="C47" s="91">
        <v>10</v>
      </c>
      <c r="D47" s="91" t="s">
        <v>990</v>
      </c>
      <c r="E47" s="91" t="s">
        <v>998</v>
      </c>
      <c r="F47" s="86">
        <v>12263202</v>
      </c>
      <c r="G47" s="86">
        <v>278180</v>
      </c>
      <c r="H47" s="121">
        <v>666225.25</v>
      </c>
      <c r="I47" s="121">
        <f t="shared" si="1"/>
        <v>12929427.25</v>
      </c>
      <c r="J47" s="174">
        <v>12408767</v>
      </c>
      <c r="K47" s="174">
        <v>254180</v>
      </c>
      <c r="L47" s="174">
        <v>749453.75</v>
      </c>
      <c r="M47" s="174">
        <f t="shared" si="2"/>
        <v>13158220.75</v>
      </c>
      <c r="N47" s="174">
        <f t="shared" si="3"/>
        <v>-145565</v>
      </c>
      <c r="O47" s="174">
        <f t="shared" si="3"/>
        <v>24000</v>
      </c>
      <c r="P47" s="174">
        <f t="shared" si="3"/>
        <v>-83228.5</v>
      </c>
      <c r="Q47" s="174">
        <f t="shared" si="3"/>
        <v>-228793.5</v>
      </c>
    </row>
    <row r="48" spans="1:17" s="175" customFormat="1" ht="20.100000000000001" customHeight="1">
      <c r="A48" s="176" t="s">
        <v>5</v>
      </c>
      <c r="B48" s="91" t="s">
        <v>768</v>
      </c>
      <c r="C48" s="91">
        <v>11</v>
      </c>
      <c r="D48" s="91" t="s">
        <v>992</v>
      </c>
      <c r="E48" s="91" t="s">
        <v>993</v>
      </c>
      <c r="F48" s="86">
        <v>1057184</v>
      </c>
      <c r="G48" s="86">
        <v>0</v>
      </c>
      <c r="H48" s="121"/>
      <c r="I48" s="121">
        <f t="shared" si="1"/>
        <v>1057184</v>
      </c>
      <c r="J48" s="174">
        <v>1191156</v>
      </c>
      <c r="K48" s="174"/>
      <c r="L48" s="174"/>
      <c r="M48" s="174">
        <f t="shared" si="2"/>
        <v>1191156</v>
      </c>
      <c r="N48" s="174">
        <f t="shared" si="3"/>
        <v>-133972</v>
      </c>
      <c r="O48" s="174">
        <f t="shared" si="3"/>
        <v>0</v>
      </c>
      <c r="P48" s="174">
        <f t="shared" si="3"/>
        <v>0</v>
      </c>
      <c r="Q48" s="174">
        <f t="shared" si="3"/>
        <v>-133972</v>
      </c>
    </row>
    <row r="49" spans="1:17" s="175" customFormat="1" ht="20.100000000000001" customHeight="1">
      <c r="A49" s="176" t="s">
        <v>5</v>
      </c>
      <c r="B49" s="91" t="s">
        <v>1012</v>
      </c>
      <c r="C49" s="91">
        <v>12</v>
      </c>
      <c r="D49" s="91" t="s">
        <v>992</v>
      </c>
      <c r="E49" s="91" t="s">
        <v>994</v>
      </c>
      <c r="F49" s="86">
        <v>9991452</v>
      </c>
      <c r="G49" s="86">
        <v>372752</v>
      </c>
      <c r="H49" s="121"/>
      <c r="I49" s="121">
        <f t="shared" si="1"/>
        <v>9991452</v>
      </c>
      <c r="J49" s="174">
        <v>9677480</v>
      </c>
      <c r="K49" s="174">
        <v>325472</v>
      </c>
      <c r="L49" s="174"/>
      <c r="M49" s="174">
        <f t="shared" si="2"/>
        <v>9677480</v>
      </c>
      <c r="N49" s="174">
        <f t="shared" si="3"/>
        <v>313972</v>
      </c>
      <c r="O49" s="174">
        <f t="shared" si="3"/>
        <v>47280</v>
      </c>
      <c r="P49" s="174">
        <f t="shared" si="3"/>
        <v>0</v>
      </c>
      <c r="Q49" s="174">
        <f t="shared" si="3"/>
        <v>313972</v>
      </c>
    </row>
    <row r="50" spans="1:17" s="175" customFormat="1" ht="20.100000000000001" customHeight="1">
      <c r="A50" s="176" t="s">
        <v>5</v>
      </c>
      <c r="B50" s="91" t="s">
        <v>684</v>
      </c>
      <c r="C50" s="91">
        <v>13</v>
      </c>
      <c r="D50" s="91" t="s">
        <v>992</v>
      </c>
      <c r="E50" s="91" t="s">
        <v>994</v>
      </c>
      <c r="F50" s="86">
        <v>10402615</v>
      </c>
      <c r="G50" s="86">
        <v>269132</v>
      </c>
      <c r="H50" s="121"/>
      <c r="I50" s="121">
        <f t="shared" si="1"/>
        <v>10402615</v>
      </c>
      <c r="J50" s="174">
        <v>10098240</v>
      </c>
      <c r="K50" s="174">
        <v>245132</v>
      </c>
      <c r="L50" s="174"/>
      <c r="M50" s="174">
        <f t="shared" si="2"/>
        <v>10098240</v>
      </c>
      <c r="N50" s="174">
        <f t="shared" si="3"/>
        <v>304375</v>
      </c>
      <c r="O50" s="174">
        <f t="shared" si="3"/>
        <v>24000</v>
      </c>
      <c r="P50" s="174">
        <f t="shared" si="3"/>
        <v>0</v>
      </c>
      <c r="Q50" s="174">
        <f t="shared" si="3"/>
        <v>304375</v>
      </c>
    </row>
    <row r="51" spans="1:17" s="175" customFormat="1" ht="20.100000000000001" customHeight="1">
      <c r="A51" s="176" t="s">
        <v>5</v>
      </c>
      <c r="B51" s="91" t="s">
        <v>1013</v>
      </c>
      <c r="C51" s="91">
        <v>14</v>
      </c>
      <c r="D51" s="91" t="s">
        <v>992</v>
      </c>
      <c r="E51" s="91" t="s">
        <v>994</v>
      </c>
      <c r="F51" s="86">
        <v>9698932</v>
      </c>
      <c r="G51" s="86">
        <v>284528</v>
      </c>
      <c r="H51" s="121"/>
      <c r="I51" s="121">
        <f t="shared" si="1"/>
        <v>9698932</v>
      </c>
      <c r="J51" s="174">
        <v>9425024</v>
      </c>
      <c r="K51" s="174">
        <v>260528</v>
      </c>
      <c r="L51" s="174"/>
      <c r="M51" s="174">
        <f t="shared" si="2"/>
        <v>9425024</v>
      </c>
      <c r="N51" s="174">
        <f t="shared" si="3"/>
        <v>273908</v>
      </c>
      <c r="O51" s="174">
        <f t="shared" si="3"/>
        <v>24000</v>
      </c>
      <c r="P51" s="174">
        <f t="shared" si="3"/>
        <v>0</v>
      </c>
      <c r="Q51" s="174">
        <f t="shared" si="3"/>
        <v>273908</v>
      </c>
    </row>
    <row r="52" spans="1:17" s="175" customFormat="1" ht="20.100000000000001" customHeight="1">
      <c r="A52" s="176" t="s">
        <v>5</v>
      </c>
      <c r="B52" s="91" t="s">
        <v>1014</v>
      </c>
      <c r="C52" s="91">
        <v>15</v>
      </c>
      <c r="D52" s="91" t="s">
        <v>992</v>
      </c>
      <c r="E52" s="91" t="s">
        <v>994</v>
      </c>
      <c r="F52" s="86">
        <v>6865690</v>
      </c>
      <c r="G52" s="86">
        <v>267580</v>
      </c>
      <c r="H52" s="121"/>
      <c r="I52" s="121">
        <f t="shared" si="1"/>
        <v>6865690</v>
      </c>
      <c r="J52" s="174">
        <v>6648008</v>
      </c>
      <c r="K52" s="174">
        <v>243580</v>
      </c>
      <c r="L52" s="174"/>
      <c r="M52" s="174">
        <f t="shared" si="2"/>
        <v>6648008</v>
      </c>
      <c r="N52" s="174">
        <f t="shared" si="3"/>
        <v>217682</v>
      </c>
      <c r="O52" s="174">
        <f t="shared" si="3"/>
        <v>24000</v>
      </c>
      <c r="P52" s="174">
        <f t="shared" si="3"/>
        <v>0</v>
      </c>
      <c r="Q52" s="174">
        <f t="shared" si="3"/>
        <v>217682</v>
      </c>
    </row>
    <row r="53" spans="1:17" s="175" customFormat="1" ht="20.100000000000001" customHeight="1">
      <c r="A53" s="176" t="s">
        <v>5</v>
      </c>
      <c r="B53" s="91" t="s">
        <v>1015</v>
      </c>
      <c r="C53" s="91">
        <v>16</v>
      </c>
      <c r="D53" s="91" t="s">
        <v>992</v>
      </c>
      <c r="E53" s="91" t="s">
        <v>994</v>
      </c>
      <c r="F53" s="86">
        <v>6640343</v>
      </c>
      <c r="G53" s="86">
        <v>252064</v>
      </c>
      <c r="H53" s="121"/>
      <c r="I53" s="121">
        <f t="shared" si="1"/>
        <v>6640343</v>
      </c>
      <c r="J53" s="174">
        <v>6479704</v>
      </c>
      <c r="K53" s="174">
        <v>228064</v>
      </c>
      <c r="L53" s="174"/>
      <c r="M53" s="174">
        <f t="shared" si="2"/>
        <v>6479704</v>
      </c>
      <c r="N53" s="174">
        <f t="shared" si="3"/>
        <v>160639</v>
      </c>
      <c r="O53" s="174">
        <f t="shared" si="3"/>
        <v>24000</v>
      </c>
      <c r="P53" s="174">
        <f t="shared" si="3"/>
        <v>0</v>
      </c>
      <c r="Q53" s="174">
        <f t="shared" si="3"/>
        <v>160639</v>
      </c>
    </row>
    <row r="54" spans="1:17" s="175" customFormat="1" ht="20.100000000000001" customHeight="1">
      <c r="A54" s="176" t="s">
        <v>5</v>
      </c>
      <c r="B54" s="91" t="s">
        <v>542</v>
      </c>
      <c r="C54" s="91">
        <v>17</v>
      </c>
      <c r="D54" s="91" t="s">
        <v>992</v>
      </c>
      <c r="E54" s="91" t="s">
        <v>994</v>
      </c>
      <c r="F54" s="86">
        <v>4273588</v>
      </c>
      <c r="G54" s="86">
        <v>255704</v>
      </c>
      <c r="H54" s="121"/>
      <c r="I54" s="121">
        <f t="shared" si="1"/>
        <v>4273588</v>
      </c>
      <c r="J54" s="174">
        <v>4207600</v>
      </c>
      <c r="K54" s="174">
        <v>231704</v>
      </c>
      <c r="L54" s="174"/>
      <c r="M54" s="174">
        <f t="shared" si="2"/>
        <v>4207600</v>
      </c>
      <c r="N54" s="174">
        <f t="shared" si="3"/>
        <v>65988</v>
      </c>
      <c r="O54" s="174">
        <f t="shared" si="3"/>
        <v>24000</v>
      </c>
      <c r="P54" s="174">
        <f t="shared" si="3"/>
        <v>0</v>
      </c>
      <c r="Q54" s="174">
        <f t="shared" si="3"/>
        <v>65988</v>
      </c>
    </row>
    <row r="55" spans="1:17" s="175" customFormat="1" ht="20.100000000000001" customHeight="1">
      <c r="A55" s="176" t="s">
        <v>5</v>
      </c>
      <c r="B55" s="171" t="s">
        <v>1016</v>
      </c>
      <c r="C55" s="91">
        <v>18</v>
      </c>
      <c r="D55" s="91" t="s">
        <v>992</v>
      </c>
      <c r="E55" s="91" t="s">
        <v>994</v>
      </c>
      <c r="F55" s="86">
        <v>3417791</v>
      </c>
      <c r="G55" s="86">
        <v>243556</v>
      </c>
      <c r="H55" s="121"/>
      <c r="I55" s="121">
        <f t="shared" si="1"/>
        <v>3417791</v>
      </c>
      <c r="J55" s="174">
        <v>3366080</v>
      </c>
      <c r="K55" s="174">
        <v>219556</v>
      </c>
      <c r="L55" s="174"/>
      <c r="M55" s="174">
        <f t="shared" si="2"/>
        <v>3366080</v>
      </c>
      <c r="N55" s="174">
        <f t="shared" si="3"/>
        <v>51711</v>
      </c>
      <c r="O55" s="174">
        <f t="shared" si="3"/>
        <v>24000</v>
      </c>
      <c r="P55" s="174">
        <f t="shared" si="3"/>
        <v>0</v>
      </c>
      <c r="Q55" s="174">
        <f t="shared" si="3"/>
        <v>51711</v>
      </c>
    </row>
    <row r="56" spans="1:17" s="175" customFormat="1" ht="20.100000000000001" customHeight="1">
      <c r="A56" s="176" t="s">
        <v>5</v>
      </c>
      <c r="B56" s="171" t="s">
        <v>1017</v>
      </c>
      <c r="C56" s="91">
        <v>19</v>
      </c>
      <c r="D56" s="91" t="s">
        <v>992</v>
      </c>
      <c r="E56" s="91" t="s">
        <v>994</v>
      </c>
      <c r="F56" s="86">
        <v>4417698</v>
      </c>
      <c r="G56" s="86">
        <v>244916</v>
      </c>
      <c r="H56" s="121"/>
      <c r="I56" s="121">
        <f t="shared" si="1"/>
        <v>4417698</v>
      </c>
      <c r="J56" s="174">
        <v>4291752</v>
      </c>
      <c r="K56" s="174">
        <v>220916</v>
      </c>
      <c r="L56" s="174"/>
      <c r="M56" s="174">
        <f t="shared" si="2"/>
        <v>4291752</v>
      </c>
      <c r="N56" s="174">
        <f t="shared" si="3"/>
        <v>125946</v>
      </c>
      <c r="O56" s="174">
        <f t="shared" si="3"/>
        <v>24000</v>
      </c>
      <c r="P56" s="174">
        <f t="shared" si="3"/>
        <v>0</v>
      </c>
      <c r="Q56" s="174">
        <f t="shared" si="3"/>
        <v>125946</v>
      </c>
    </row>
    <row r="57" spans="1:17" s="175" customFormat="1" ht="20.100000000000001" customHeight="1">
      <c r="A57" s="176"/>
      <c r="B57" s="171" t="s">
        <v>1018</v>
      </c>
      <c r="C57" s="91"/>
      <c r="D57" s="91"/>
      <c r="E57" s="91"/>
      <c r="F57" s="86">
        <f>SUM(F38:F56)</f>
        <v>199356083</v>
      </c>
      <c r="G57" s="86">
        <f t="shared" ref="G57:Q57" si="7">SUM(G38:G56)</f>
        <v>5229157</v>
      </c>
      <c r="H57" s="86">
        <f t="shared" si="7"/>
        <v>10509754.880000001</v>
      </c>
      <c r="I57" s="86">
        <f t="shared" si="7"/>
        <v>209865837.88</v>
      </c>
      <c r="J57" s="86">
        <f t="shared" si="7"/>
        <v>199018450</v>
      </c>
      <c r="K57" s="86">
        <f t="shared" si="7"/>
        <v>4773727</v>
      </c>
      <c r="L57" s="86">
        <f t="shared" si="7"/>
        <v>12136190.75</v>
      </c>
      <c r="M57" s="86">
        <f t="shared" si="7"/>
        <v>211154640.75</v>
      </c>
      <c r="N57" s="86">
        <f t="shared" si="7"/>
        <v>337633</v>
      </c>
      <c r="O57" s="86">
        <f t="shared" si="7"/>
        <v>455430</v>
      </c>
      <c r="P57" s="86">
        <f t="shared" si="7"/>
        <v>-1626435.87</v>
      </c>
      <c r="Q57" s="86">
        <f t="shared" si="7"/>
        <v>-1288802.870000001</v>
      </c>
    </row>
    <row r="58" spans="1:17" s="175" customFormat="1" ht="20.100000000000001" customHeight="1">
      <c r="A58" s="176" t="s">
        <v>6</v>
      </c>
      <c r="B58" s="177" t="s">
        <v>1019</v>
      </c>
      <c r="C58" s="91">
        <v>1</v>
      </c>
      <c r="D58" s="91" t="s">
        <v>990</v>
      </c>
      <c r="E58" s="91" t="s">
        <v>991</v>
      </c>
      <c r="F58" s="86">
        <v>24425446</v>
      </c>
      <c r="G58" s="86">
        <v>663592</v>
      </c>
      <c r="H58" s="121">
        <v>1525431.5</v>
      </c>
      <c r="I58" s="121">
        <f t="shared" si="1"/>
        <v>25950877.5</v>
      </c>
      <c r="J58" s="174">
        <v>25443186</v>
      </c>
      <c r="K58" s="174">
        <v>615592</v>
      </c>
      <c r="L58" s="174">
        <v>1717989.25</v>
      </c>
      <c r="M58" s="174">
        <f t="shared" si="2"/>
        <v>27161175.25</v>
      </c>
      <c r="N58" s="174">
        <f t="shared" si="3"/>
        <v>-1017740</v>
      </c>
      <c r="O58" s="174">
        <f t="shared" si="3"/>
        <v>48000</v>
      </c>
      <c r="P58" s="174">
        <f t="shared" si="3"/>
        <v>-192557.75</v>
      </c>
      <c r="Q58" s="174">
        <f t="shared" si="3"/>
        <v>-1210297.75</v>
      </c>
    </row>
    <row r="59" spans="1:17" s="175" customFormat="1" ht="20.100000000000001" customHeight="1">
      <c r="A59" s="176" t="s">
        <v>6</v>
      </c>
      <c r="B59" s="91" t="s">
        <v>226</v>
      </c>
      <c r="C59" s="91">
        <v>2</v>
      </c>
      <c r="D59" s="91" t="s">
        <v>990</v>
      </c>
      <c r="E59" s="91" t="s">
        <v>1001</v>
      </c>
      <c r="F59" s="86">
        <v>13749547</v>
      </c>
      <c r="G59" s="86">
        <v>740608</v>
      </c>
      <c r="H59" s="121">
        <v>1043255.5</v>
      </c>
      <c r="I59" s="121">
        <f t="shared" si="1"/>
        <v>14792802.5</v>
      </c>
      <c r="J59" s="174">
        <v>13806380</v>
      </c>
      <c r="K59" s="174">
        <v>664608</v>
      </c>
      <c r="L59" s="174">
        <v>1226664.25</v>
      </c>
      <c r="M59" s="174">
        <f t="shared" si="2"/>
        <v>15033044.25</v>
      </c>
      <c r="N59" s="174">
        <f t="shared" si="3"/>
        <v>-56833</v>
      </c>
      <c r="O59" s="174">
        <f t="shared" si="3"/>
        <v>76000</v>
      </c>
      <c r="P59" s="174">
        <f t="shared" si="3"/>
        <v>-183408.75</v>
      </c>
      <c r="Q59" s="174">
        <f t="shared" si="3"/>
        <v>-240241.75</v>
      </c>
    </row>
    <row r="60" spans="1:17" s="175" customFormat="1" ht="20.100000000000001" customHeight="1">
      <c r="A60" s="176" t="s">
        <v>6</v>
      </c>
      <c r="B60" s="91" t="s">
        <v>466</v>
      </c>
      <c r="C60" s="91">
        <v>3</v>
      </c>
      <c r="D60" s="91" t="s">
        <v>990</v>
      </c>
      <c r="E60" s="91" t="s">
        <v>1001</v>
      </c>
      <c r="F60" s="86">
        <v>13281169</v>
      </c>
      <c r="G60" s="86">
        <v>257912</v>
      </c>
      <c r="H60" s="121">
        <v>1066420</v>
      </c>
      <c r="I60" s="121">
        <f t="shared" si="1"/>
        <v>14347589</v>
      </c>
      <c r="J60" s="174">
        <v>13707763</v>
      </c>
      <c r="K60" s="174">
        <v>233912</v>
      </c>
      <c r="L60" s="174">
        <v>1233887</v>
      </c>
      <c r="M60" s="174">
        <f t="shared" si="2"/>
        <v>14941650</v>
      </c>
      <c r="N60" s="174">
        <f t="shared" si="3"/>
        <v>-426594</v>
      </c>
      <c r="O60" s="174">
        <f t="shared" si="3"/>
        <v>24000</v>
      </c>
      <c r="P60" s="174">
        <f t="shared" si="3"/>
        <v>-167467</v>
      </c>
      <c r="Q60" s="174">
        <f t="shared" si="3"/>
        <v>-594061</v>
      </c>
    </row>
    <row r="61" spans="1:17" s="175" customFormat="1" ht="20.100000000000001" customHeight="1">
      <c r="A61" s="176" t="s">
        <v>6</v>
      </c>
      <c r="B61" s="91" t="s">
        <v>1020</v>
      </c>
      <c r="C61" s="91">
        <v>4</v>
      </c>
      <c r="D61" s="91" t="s">
        <v>990</v>
      </c>
      <c r="E61" s="91" t="s">
        <v>1001</v>
      </c>
      <c r="F61" s="86">
        <v>16449656</v>
      </c>
      <c r="G61" s="86">
        <v>288656</v>
      </c>
      <c r="H61" s="121">
        <v>1546522</v>
      </c>
      <c r="I61" s="121">
        <f t="shared" si="1"/>
        <v>17996178</v>
      </c>
      <c r="J61" s="174">
        <v>16567656</v>
      </c>
      <c r="K61" s="174">
        <v>263936</v>
      </c>
      <c r="L61" s="174">
        <v>1690881.5</v>
      </c>
      <c r="M61" s="174">
        <f t="shared" si="2"/>
        <v>18258537.5</v>
      </c>
      <c r="N61" s="174">
        <f t="shared" si="3"/>
        <v>-118000</v>
      </c>
      <c r="O61" s="174">
        <f t="shared" si="3"/>
        <v>24720</v>
      </c>
      <c r="P61" s="174">
        <f t="shared" si="3"/>
        <v>-144359.5</v>
      </c>
      <c r="Q61" s="174">
        <f t="shared" si="3"/>
        <v>-262359.5</v>
      </c>
    </row>
    <row r="62" spans="1:17" s="175" customFormat="1" ht="20.100000000000001" customHeight="1">
      <c r="A62" s="176" t="s">
        <v>6</v>
      </c>
      <c r="B62" s="91" t="s">
        <v>468</v>
      </c>
      <c r="C62" s="91">
        <v>5</v>
      </c>
      <c r="D62" s="91" t="s">
        <v>990</v>
      </c>
      <c r="E62" s="91" t="s">
        <v>998</v>
      </c>
      <c r="F62" s="86">
        <v>11214422</v>
      </c>
      <c r="G62" s="86">
        <v>370192</v>
      </c>
      <c r="H62" s="121">
        <v>580294</v>
      </c>
      <c r="I62" s="121">
        <f t="shared" si="1"/>
        <v>11794716</v>
      </c>
      <c r="J62" s="174">
        <v>11662375</v>
      </c>
      <c r="K62" s="174">
        <v>334467</v>
      </c>
      <c r="L62" s="174">
        <v>622688.25</v>
      </c>
      <c r="M62" s="174">
        <f t="shared" si="2"/>
        <v>12285063.25</v>
      </c>
      <c r="N62" s="174">
        <f t="shared" si="3"/>
        <v>-447953</v>
      </c>
      <c r="O62" s="174">
        <f t="shared" si="3"/>
        <v>35725</v>
      </c>
      <c r="P62" s="174">
        <f t="shared" si="3"/>
        <v>-42394.25</v>
      </c>
      <c r="Q62" s="174">
        <f t="shared" si="3"/>
        <v>-490347.25</v>
      </c>
    </row>
    <row r="63" spans="1:17" s="175" customFormat="1" ht="20.100000000000001" customHeight="1">
      <c r="A63" s="176" t="s">
        <v>6</v>
      </c>
      <c r="B63" s="91" t="s">
        <v>1021</v>
      </c>
      <c r="C63" s="91">
        <v>6</v>
      </c>
      <c r="D63" s="91" t="s">
        <v>990</v>
      </c>
      <c r="E63" s="91" t="s">
        <v>998</v>
      </c>
      <c r="F63" s="86">
        <v>21458676</v>
      </c>
      <c r="G63" s="86">
        <v>607800</v>
      </c>
      <c r="H63" s="121">
        <v>1239336</v>
      </c>
      <c r="I63" s="121">
        <f t="shared" si="1"/>
        <v>22698012</v>
      </c>
      <c r="J63" s="174">
        <v>21738667</v>
      </c>
      <c r="K63" s="174">
        <v>559800</v>
      </c>
      <c r="L63" s="174">
        <v>1449430</v>
      </c>
      <c r="M63" s="174">
        <f t="shared" si="2"/>
        <v>23188097</v>
      </c>
      <c r="N63" s="174">
        <f t="shared" si="3"/>
        <v>-279991</v>
      </c>
      <c r="O63" s="174">
        <f t="shared" si="3"/>
        <v>48000</v>
      </c>
      <c r="P63" s="174">
        <f t="shared" si="3"/>
        <v>-210094</v>
      </c>
      <c r="Q63" s="174">
        <f t="shared" si="3"/>
        <v>-490085</v>
      </c>
    </row>
    <row r="64" spans="1:17" s="175" customFormat="1" ht="20.100000000000001" customHeight="1">
      <c r="A64" s="176" t="s">
        <v>6</v>
      </c>
      <c r="B64" s="91" t="s">
        <v>467</v>
      </c>
      <c r="C64" s="91">
        <v>7</v>
      </c>
      <c r="D64" s="91" t="s">
        <v>990</v>
      </c>
      <c r="E64" s="91" t="s">
        <v>998</v>
      </c>
      <c r="F64" s="86">
        <v>13062034</v>
      </c>
      <c r="G64" s="86">
        <v>264707</v>
      </c>
      <c r="H64" s="121">
        <v>561411</v>
      </c>
      <c r="I64" s="121">
        <f t="shared" si="1"/>
        <v>13623445</v>
      </c>
      <c r="J64" s="174">
        <v>13714953</v>
      </c>
      <c r="K64" s="174">
        <v>240707</v>
      </c>
      <c r="L64" s="174">
        <v>624178.75</v>
      </c>
      <c r="M64" s="174">
        <f t="shared" si="2"/>
        <v>14339131.75</v>
      </c>
      <c r="N64" s="174">
        <f t="shared" si="3"/>
        <v>-652919</v>
      </c>
      <c r="O64" s="174">
        <f t="shared" si="3"/>
        <v>24000</v>
      </c>
      <c r="P64" s="174">
        <f t="shared" si="3"/>
        <v>-62767.75</v>
      </c>
      <c r="Q64" s="174">
        <f t="shared" si="3"/>
        <v>-715686.75</v>
      </c>
    </row>
    <row r="65" spans="1:17" s="175" customFormat="1" ht="20.100000000000001" customHeight="1">
      <c r="A65" s="176" t="s">
        <v>6</v>
      </c>
      <c r="B65" s="91" t="s">
        <v>1022</v>
      </c>
      <c r="C65" s="91">
        <v>8</v>
      </c>
      <c r="D65" s="91" t="s">
        <v>992</v>
      </c>
      <c r="E65" s="91" t="s">
        <v>993</v>
      </c>
      <c r="F65" s="86">
        <v>851160</v>
      </c>
      <c r="G65" s="86">
        <v>0</v>
      </c>
      <c r="H65" s="121"/>
      <c r="I65" s="121">
        <f t="shared" si="1"/>
        <v>851160</v>
      </c>
      <c r="J65" s="174">
        <v>893367</v>
      </c>
      <c r="K65" s="174">
        <v>0</v>
      </c>
      <c r="L65" s="174">
        <v>0</v>
      </c>
      <c r="M65" s="174">
        <f t="shared" si="2"/>
        <v>893367</v>
      </c>
      <c r="N65" s="174">
        <f t="shared" si="3"/>
        <v>-42207</v>
      </c>
      <c r="O65" s="174">
        <f t="shared" si="3"/>
        <v>0</v>
      </c>
      <c r="P65" s="174">
        <f t="shared" si="3"/>
        <v>0</v>
      </c>
      <c r="Q65" s="174">
        <f t="shared" si="3"/>
        <v>-42207</v>
      </c>
    </row>
    <row r="66" spans="1:17" s="175" customFormat="1" ht="20.100000000000001" customHeight="1">
      <c r="A66" s="176" t="s">
        <v>6</v>
      </c>
      <c r="B66" s="91" t="s">
        <v>469</v>
      </c>
      <c r="C66" s="91">
        <v>9</v>
      </c>
      <c r="D66" s="91" t="s">
        <v>992</v>
      </c>
      <c r="E66" s="91" t="s">
        <v>994</v>
      </c>
      <c r="F66" s="86">
        <v>9383634</v>
      </c>
      <c r="G66" s="86">
        <v>273188</v>
      </c>
      <c r="H66" s="121"/>
      <c r="I66" s="121">
        <f t="shared" si="1"/>
        <v>9383634</v>
      </c>
      <c r="J66" s="174">
        <v>9340872</v>
      </c>
      <c r="K66" s="174">
        <v>249188</v>
      </c>
      <c r="L66" s="174">
        <v>0</v>
      </c>
      <c r="M66" s="174">
        <f t="shared" si="2"/>
        <v>9340872</v>
      </c>
      <c r="N66" s="174">
        <f t="shared" si="3"/>
        <v>42762</v>
      </c>
      <c r="O66" s="174">
        <f t="shared" si="3"/>
        <v>24000</v>
      </c>
      <c r="P66" s="174">
        <f t="shared" si="3"/>
        <v>0</v>
      </c>
      <c r="Q66" s="174">
        <f t="shared" si="3"/>
        <v>42762</v>
      </c>
    </row>
    <row r="67" spans="1:17" s="175" customFormat="1" ht="20.100000000000001" customHeight="1">
      <c r="A67" s="176" t="s">
        <v>6</v>
      </c>
      <c r="B67" s="91" t="s">
        <v>470</v>
      </c>
      <c r="C67" s="91">
        <v>10</v>
      </c>
      <c r="D67" s="91" t="s">
        <v>992</v>
      </c>
      <c r="E67" s="91" t="s">
        <v>994</v>
      </c>
      <c r="F67" s="86">
        <v>6933758</v>
      </c>
      <c r="G67" s="86">
        <v>225428</v>
      </c>
      <c r="H67" s="121"/>
      <c r="I67" s="121">
        <f t="shared" si="1"/>
        <v>6933758</v>
      </c>
      <c r="J67" s="174">
        <v>7068768</v>
      </c>
      <c r="K67" s="174">
        <v>217428</v>
      </c>
      <c r="L67" s="174">
        <v>0</v>
      </c>
      <c r="M67" s="174">
        <f t="shared" si="2"/>
        <v>7068768</v>
      </c>
      <c r="N67" s="174">
        <f t="shared" si="3"/>
        <v>-135010</v>
      </c>
      <c r="O67" s="174">
        <f t="shared" si="3"/>
        <v>8000</v>
      </c>
      <c r="P67" s="174">
        <f t="shared" si="3"/>
        <v>0</v>
      </c>
      <c r="Q67" s="174">
        <f t="shared" si="3"/>
        <v>-135010</v>
      </c>
    </row>
    <row r="68" spans="1:17" s="175" customFormat="1" ht="20.100000000000001" customHeight="1">
      <c r="A68" s="176" t="s">
        <v>6</v>
      </c>
      <c r="B68" s="91" t="s">
        <v>1023</v>
      </c>
      <c r="C68" s="91">
        <v>11</v>
      </c>
      <c r="D68" s="91" t="s">
        <v>992</v>
      </c>
      <c r="E68" s="91" t="s">
        <v>994</v>
      </c>
      <c r="F68" s="86">
        <v>11556583</v>
      </c>
      <c r="G68" s="86">
        <v>310628</v>
      </c>
      <c r="H68" s="121"/>
      <c r="I68" s="121">
        <f t="shared" si="1"/>
        <v>11556583</v>
      </c>
      <c r="J68" s="174">
        <v>11697128</v>
      </c>
      <c r="K68" s="174">
        <v>286628</v>
      </c>
      <c r="L68" s="174">
        <v>0</v>
      </c>
      <c r="M68" s="174">
        <f t="shared" si="2"/>
        <v>11697128</v>
      </c>
      <c r="N68" s="174">
        <f t="shared" si="3"/>
        <v>-140545</v>
      </c>
      <c r="O68" s="174">
        <f t="shared" si="3"/>
        <v>24000</v>
      </c>
      <c r="P68" s="174">
        <f t="shared" si="3"/>
        <v>0</v>
      </c>
      <c r="Q68" s="174">
        <f t="shared" si="3"/>
        <v>-140545</v>
      </c>
    </row>
    <row r="69" spans="1:17" s="175" customFormat="1" ht="20.100000000000001" customHeight="1">
      <c r="A69" s="176" t="s">
        <v>6</v>
      </c>
      <c r="B69" s="91" t="s">
        <v>1024</v>
      </c>
      <c r="C69" s="91">
        <v>12</v>
      </c>
      <c r="D69" s="91" t="s">
        <v>992</v>
      </c>
      <c r="E69" s="91" t="s">
        <v>994</v>
      </c>
      <c r="F69" s="86">
        <v>7949699</v>
      </c>
      <c r="G69" s="86">
        <v>247424</v>
      </c>
      <c r="H69" s="121"/>
      <c r="I69" s="121">
        <f t="shared" ref="I69:I124" si="8">F69+H69</f>
        <v>7949699</v>
      </c>
      <c r="J69" s="174">
        <v>7994440</v>
      </c>
      <c r="K69" s="174">
        <v>223424</v>
      </c>
      <c r="L69" s="174">
        <v>0</v>
      </c>
      <c r="M69" s="174">
        <f t="shared" ref="M69:M124" si="9">J69+L69</f>
        <v>7994440</v>
      </c>
      <c r="N69" s="174">
        <f t="shared" ref="N69:Q124" si="10">F69-J69</f>
        <v>-44741</v>
      </c>
      <c r="O69" s="174">
        <f t="shared" si="10"/>
        <v>24000</v>
      </c>
      <c r="P69" s="174">
        <f t="shared" si="10"/>
        <v>0</v>
      </c>
      <c r="Q69" s="174">
        <f t="shared" si="10"/>
        <v>-44741</v>
      </c>
    </row>
    <row r="70" spans="1:17" s="175" customFormat="1" ht="20.100000000000001" customHeight="1">
      <c r="A70" s="176" t="s">
        <v>6</v>
      </c>
      <c r="B70" s="91" t="s">
        <v>1025</v>
      </c>
      <c r="C70" s="91">
        <v>13</v>
      </c>
      <c r="D70" s="91" t="s">
        <v>992</v>
      </c>
      <c r="E70" s="91" t="s">
        <v>994</v>
      </c>
      <c r="F70" s="86">
        <v>7655654</v>
      </c>
      <c r="G70" s="86">
        <v>246104</v>
      </c>
      <c r="H70" s="121"/>
      <c r="I70" s="121">
        <f t="shared" si="8"/>
        <v>7655654</v>
      </c>
      <c r="J70" s="174">
        <v>7741984</v>
      </c>
      <c r="K70" s="174">
        <v>222104</v>
      </c>
      <c r="L70" s="174">
        <v>0</v>
      </c>
      <c r="M70" s="174">
        <f t="shared" si="9"/>
        <v>7741984</v>
      </c>
      <c r="N70" s="174">
        <f t="shared" si="10"/>
        <v>-86330</v>
      </c>
      <c r="O70" s="174">
        <f t="shared" si="10"/>
        <v>24000</v>
      </c>
      <c r="P70" s="174">
        <f t="shared" si="10"/>
        <v>0</v>
      </c>
      <c r="Q70" s="174">
        <f t="shared" si="10"/>
        <v>-86330</v>
      </c>
    </row>
    <row r="71" spans="1:17" s="175" customFormat="1" ht="20.100000000000001" customHeight="1">
      <c r="A71" s="176" t="s">
        <v>6</v>
      </c>
      <c r="B71" s="171" t="s">
        <v>1026</v>
      </c>
      <c r="C71" s="91">
        <v>14</v>
      </c>
      <c r="D71" s="91" t="s">
        <v>992</v>
      </c>
      <c r="E71" s="91" t="s">
        <v>994</v>
      </c>
      <c r="F71" s="86">
        <v>6440234</v>
      </c>
      <c r="G71" s="86">
        <v>243644</v>
      </c>
      <c r="H71" s="121"/>
      <c r="I71" s="121">
        <f t="shared" si="8"/>
        <v>6440234</v>
      </c>
      <c r="J71" s="174">
        <v>6479704</v>
      </c>
      <c r="K71" s="174">
        <v>219644</v>
      </c>
      <c r="L71" s="174">
        <v>0</v>
      </c>
      <c r="M71" s="174">
        <f t="shared" si="9"/>
        <v>6479704</v>
      </c>
      <c r="N71" s="174">
        <f t="shared" si="10"/>
        <v>-39470</v>
      </c>
      <c r="O71" s="174">
        <f t="shared" si="10"/>
        <v>24000</v>
      </c>
      <c r="P71" s="174">
        <f t="shared" si="10"/>
        <v>0</v>
      </c>
      <c r="Q71" s="174">
        <f t="shared" si="10"/>
        <v>-39470</v>
      </c>
    </row>
    <row r="72" spans="1:17" s="175" customFormat="1" ht="20.100000000000001" customHeight="1">
      <c r="A72" s="176" t="s">
        <v>6</v>
      </c>
      <c r="B72" s="171" t="s">
        <v>1027</v>
      </c>
      <c r="C72" s="91">
        <v>15</v>
      </c>
      <c r="D72" s="91" t="s">
        <v>992</v>
      </c>
      <c r="E72" s="91" t="s">
        <v>994</v>
      </c>
      <c r="F72" s="86">
        <v>2710277</v>
      </c>
      <c r="G72" s="86">
        <v>241277</v>
      </c>
      <c r="H72" s="121"/>
      <c r="I72" s="121">
        <f t="shared" si="8"/>
        <v>2710277</v>
      </c>
      <c r="J72" s="174">
        <v>2692864</v>
      </c>
      <c r="K72" s="174">
        <v>217277</v>
      </c>
      <c r="L72" s="174">
        <v>0</v>
      </c>
      <c r="M72" s="174">
        <f t="shared" si="9"/>
        <v>2692864</v>
      </c>
      <c r="N72" s="174">
        <f t="shared" si="10"/>
        <v>17413</v>
      </c>
      <c r="O72" s="174">
        <f t="shared" si="10"/>
        <v>24000</v>
      </c>
      <c r="P72" s="174">
        <f t="shared" si="10"/>
        <v>0</v>
      </c>
      <c r="Q72" s="174">
        <f t="shared" si="10"/>
        <v>17413</v>
      </c>
    </row>
    <row r="73" spans="1:17" s="175" customFormat="1" ht="20.100000000000001" customHeight="1">
      <c r="A73" s="176" t="s">
        <v>6</v>
      </c>
      <c r="B73" s="171" t="s">
        <v>1028</v>
      </c>
      <c r="C73" s="91">
        <v>16</v>
      </c>
      <c r="D73" s="91" t="s">
        <v>992</v>
      </c>
      <c r="E73" s="91" t="s">
        <v>994</v>
      </c>
      <c r="F73" s="86">
        <v>1439007</v>
      </c>
      <c r="G73" s="86">
        <v>69509</v>
      </c>
      <c r="H73" s="121"/>
      <c r="I73" s="121">
        <f t="shared" si="8"/>
        <v>1439007</v>
      </c>
      <c r="J73" s="174">
        <v>1514736</v>
      </c>
      <c r="K73" s="174">
        <v>69509</v>
      </c>
      <c r="L73" s="174">
        <v>0</v>
      </c>
      <c r="M73" s="174">
        <f t="shared" si="9"/>
        <v>1514736</v>
      </c>
      <c r="N73" s="174">
        <f t="shared" si="10"/>
        <v>-75729</v>
      </c>
      <c r="O73" s="174">
        <f t="shared" si="10"/>
        <v>0</v>
      </c>
      <c r="P73" s="174">
        <f t="shared" si="10"/>
        <v>0</v>
      </c>
      <c r="Q73" s="174">
        <f t="shared" si="10"/>
        <v>-75729</v>
      </c>
    </row>
    <row r="74" spans="1:17" s="175" customFormat="1" ht="20.100000000000001" customHeight="1">
      <c r="A74" s="176"/>
      <c r="B74" s="171" t="s">
        <v>1029</v>
      </c>
      <c r="C74" s="91"/>
      <c r="D74" s="91"/>
      <c r="E74" s="91"/>
      <c r="F74" s="86">
        <f>SUM(F58:F73)</f>
        <v>168560956</v>
      </c>
      <c r="G74" s="86">
        <f t="shared" ref="G74:Q74" si="11">SUM(G58:G73)</f>
        <v>5050669</v>
      </c>
      <c r="H74" s="86">
        <f t="shared" si="11"/>
        <v>7562670</v>
      </c>
      <c r="I74" s="86">
        <f t="shared" si="11"/>
        <v>176123626</v>
      </c>
      <c r="J74" s="86">
        <f t="shared" si="11"/>
        <v>172064843</v>
      </c>
      <c r="K74" s="86">
        <f t="shared" si="11"/>
        <v>4618224</v>
      </c>
      <c r="L74" s="86">
        <f t="shared" si="11"/>
        <v>8565719</v>
      </c>
      <c r="M74" s="86">
        <f t="shared" si="11"/>
        <v>180630562</v>
      </c>
      <c r="N74" s="86">
        <f t="shared" si="11"/>
        <v>-3503887</v>
      </c>
      <c r="O74" s="86">
        <f t="shared" si="11"/>
        <v>432445</v>
      </c>
      <c r="P74" s="86">
        <f t="shared" si="11"/>
        <v>-1003049</v>
      </c>
      <c r="Q74" s="86">
        <f t="shared" si="11"/>
        <v>-4506936</v>
      </c>
    </row>
    <row r="75" spans="1:17" s="175" customFormat="1" ht="20.100000000000001" customHeight="1">
      <c r="A75" s="176" t="s">
        <v>7</v>
      </c>
      <c r="B75" s="91" t="s">
        <v>1030</v>
      </c>
      <c r="C75" s="91">
        <v>1</v>
      </c>
      <c r="D75" s="91" t="s">
        <v>990</v>
      </c>
      <c r="E75" s="91" t="s">
        <v>1001</v>
      </c>
      <c r="F75" s="86">
        <v>15404722</v>
      </c>
      <c r="G75" s="86">
        <v>284192</v>
      </c>
      <c r="H75" s="121">
        <v>1439824.5</v>
      </c>
      <c r="I75" s="121">
        <f t="shared" si="8"/>
        <v>16844546.5</v>
      </c>
      <c r="J75" s="174">
        <v>15285635</v>
      </c>
      <c r="K75" s="174">
        <v>260192</v>
      </c>
      <c r="L75" s="174">
        <v>1620100.5</v>
      </c>
      <c r="M75" s="174">
        <f t="shared" si="9"/>
        <v>16905735.5</v>
      </c>
      <c r="N75" s="174">
        <f t="shared" si="10"/>
        <v>119087</v>
      </c>
      <c r="O75" s="174">
        <f t="shared" si="10"/>
        <v>24000</v>
      </c>
      <c r="P75" s="174">
        <f t="shared" si="10"/>
        <v>-180276</v>
      </c>
      <c r="Q75" s="174">
        <f t="shared" si="10"/>
        <v>-61189</v>
      </c>
    </row>
    <row r="76" spans="1:17" s="175" customFormat="1" ht="20.100000000000001" customHeight="1">
      <c r="A76" s="176" t="s">
        <v>7</v>
      </c>
      <c r="B76" s="91" t="s">
        <v>1031</v>
      </c>
      <c r="C76" s="91">
        <v>2</v>
      </c>
      <c r="D76" s="91" t="s">
        <v>990</v>
      </c>
      <c r="E76" s="91" t="s">
        <v>991</v>
      </c>
      <c r="F76" s="86">
        <v>29679558</v>
      </c>
      <c r="G76" s="86">
        <v>601620</v>
      </c>
      <c r="H76" s="121">
        <v>1622574</v>
      </c>
      <c r="I76" s="121">
        <f t="shared" si="8"/>
        <v>31302132</v>
      </c>
      <c r="J76" s="174">
        <v>30275419</v>
      </c>
      <c r="K76" s="174">
        <v>552960</v>
      </c>
      <c r="L76" s="174">
        <v>1846255</v>
      </c>
      <c r="M76" s="174">
        <f t="shared" si="9"/>
        <v>32121674</v>
      </c>
      <c r="N76" s="174">
        <f t="shared" si="10"/>
        <v>-595861</v>
      </c>
      <c r="O76" s="174">
        <f t="shared" si="10"/>
        <v>48660</v>
      </c>
      <c r="P76" s="174">
        <f t="shared" si="10"/>
        <v>-223681</v>
      </c>
      <c r="Q76" s="174">
        <f t="shared" si="10"/>
        <v>-819542</v>
      </c>
    </row>
    <row r="77" spans="1:17" s="175" customFormat="1" ht="20.100000000000001" customHeight="1">
      <c r="A77" s="176" t="s">
        <v>7</v>
      </c>
      <c r="B77" s="91" t="s">
        <v>266</v>
      </c>
      <c r="C77" s="91">
        <v>3</v>
      </c>
      <c r="D77" s="91" t="s">
        <v>990</v>
      </c>
      <c r="E77" s="91" t="s">
        <v>991</v>
      </c>
      <c r="F77" s="86">
        <v>20751323</v>
      </c>
      <c r="G77" s="86">
        <v>289880</v>
      </c>
      <c r="H77" s="121">
        <v>1807998.5</v>
      </c>
      <c r="I77" s="121">
        <f t="shared" si="8"/>
        <v>22559321.5</v>
      </c>
      <c r="J77" s="174">
        <v>20709570</v>
      </c>
      <c r="K77" s="174">
        <v>265880</v>
      </c>
      <c r="L77" s="174">
        <v>1965797.25</v>
      </c>
      <c r="M77" s="174">
        <f t="shared" si="9"/>
        <v>22675367.25</v>
      </c>
      <c r="N77" s="174">
        <f t="shared" si="10"/>
        <v>41753</v>
      </c>
      <c r="O77" s="174">
        <f t="shared" si="10"/>
        <v>24000</v>
      </c>
      <c r="P77" s="174">
        <f t="shared" si="10"/>
        <v>-157798.75</v>
      </c>
      <c r="Q77" s="174">
        <f t="shared" si="10"/>
        <v>-116045.75</v>
      </c>
    </row>
    <row r="78" spans="1:17" s="175" customFormat="1" ht="20.100000000000001" customHeight="1">
      <c r="A78" s="176" t="s">
        <v>7</v>
      </c>
      <c r="B78" s="91" t="s">
        <v>1032</v>
      </c>
      <c r="C78" s="91">
        <v>4</v>
      </c>
      <c r="D78" s="91" t="s">
        <v>990</v>
      </c>
      <c r="E78" s="91" t="s">
        <v>998</v>
      </c>
      <c r="F78" s="86">
        <v>32055253</v>
      </c>
      <c r="G78" s="86">
        <v>719170</v>
      </c>
      <c r="H78" s="121">
        <v>1553226.75</v>
      </c>
      <c r="I78" s="121">
        <f t="shared" si="8"/>
        <v>33608479.75</v>
      </c>
      <c r="J78" s="174">
        <v>32001557</v>
      </c>
      <c r="K78" s="174">
        <v>668544</v>
      </c>
      <c r="L78" s="174">
        <v>1723273</v>
      </c>
      <c r="M78" s="174">
        <f t="shared" si="9"/>
        <v>33724830</v>
      </c>
      <c r="N78" s="174">
        <f t="shared" si="10"/>
        <v>53696</v>
      </c>
      <c r="O78" s="174">
        <f t="shared" si="10"/>
        <v>50626</v>
      </c>
      <c r="P78" s="174">
        <f t="shared" si="10"/>
        <v>-170046.25</v>
      </c>
      <c r="Q78" s="174">
        <f t="shared" si="10"/>
        <v>-116350.25</v>
      </c>
    </row>
    <row r="79" spans="1:17" s="175" customFormat="1" ht="20.100000000000001" customHeight="1">
      <c r="A79" s="176" t="s">
        <v>7</v>
      </c>
      <c r="B79" s="91" t="s">
        <v>787</v>
      </c>
      <c r="C79" s="91">
        <v>5</v>
      </c>
      <c r="D79" s="91" t="s">
        <v>992</v>
      </c>
      <c r="E79" s="91" t="s">
        <v>993</v>
      </c>
      <c r="F79" s="86">
        <v>1714656</v>
      </c>
      <c r="G79" s="86">
        <v>0</v>
      </c>
      <c r="H79" s="121"/>
      <c r="I79" s="121">
        <f t="shared" si="8"/>
        <v>1714656</v>
      </c>
      <c r="J79" s="174">
        <v>1786734</v>
      </c>
      <c r="K79" s="174"/>
      <c r="L79" s="174"/>
      <c r="M79" s="174">
        <f t="shared" si="9"/>
        <v>1786734</v>
      </c>
      <c r="N79" s="174">
        <f t="shared" si="10"/>
        <v>-72078</v>
      </c>
      <c r="O79" s="174">
        <f t="shared" si="10"/>
        <v>0</v>
      </c>
      <c r="P79" s="174">
        <f t="shared" si="10"/>
        <v>0</v>
      </c>
      <c r="Q79" s="174">
        <f t="shared" si="10"/>
        <v>-72078</v>
      </c>
    </row>
    <row r="80" spans="1:17" s="175" customFormat="1" ht="20.100000000000001" customHeight="1">
      <c r="A80" s="176" t="s">
        <v>7</v>
      </c>
      <c r="B80" s="91" t="s">
        <v>471</v>
      </c>
      <c r="C80" s="91">
        <v>6</v>
      </c>
      <c r="D80" s="91" t="s">
        <v>992</v>
      </c>
      <c r="E80" s="91" t="s">
        <v>994</v>
      </c>
      <c r="F80" s="86">
        <v>4954356</v>
      </c>
      <c r="G80" s="86">
        <v>235916</v>
      </c>
      <c r="H80" s="121"/>
      <c r="I80" s="121">
        <f t="shared" si="8"/>
        <v>4954356</v>
      </c>
      <c r="J80" s="174">
        <v>4880816</v>
      </c>
      <c r="K80" s="174">
        <v>211916</v>
      </c>
      <c r="L80" s="174">
        <v>0</v>
      </c>
      <c r="M80" s="174">
        <f t="shared" si="9"/>
        <v>4880816</v>
      </c>
      <c r="N80" s="174">
        <f t="shared" si="10"/>
        <v>73540</v>
      </c>
      <c r="O80" s="174">
        <f t="shared" si="10"/>
        <v>24000</v>
      </c>
      <c r="P80" s="174">
        <f t="shared" si="10"/>
        <v>0</v>
      </c>
      <c r="Q80" s="174">
        <f t="shared" si="10"/>
        <v>73540</v>
      </c>
    </row>
    <row r="81" spans="1:17" s="175" customFormat="1" ht="20.100000000000001" customHeight="1">
      <c r="A81" s="176" t="s">
        <v>7</v>
      </c>
      <c r="B81" s="91" t="s">
        <v>1033</v>
      </c>
      <c r="C81" s="91">
        <v>7</v>
      </c>
      <c r="D81" s="91" t="s">
        <v>992</v>
      </c>
      <c r="E81" s="91" t="s">
        <v>994</v>
      </c>
      <c r="F81" s="86">
        <v>3713510</v>
      </c>
      <c r="G81" s="86">
        <v>234356</v>
      </c>
      <c r="H81" s="121"/>
      <c r="I81" s="121">
        <f t="shared" si="8"/>
        <v>3713510</v>
      </c>
      <c r="J81" s="174">
        <v>3618536</v>
      </c>
      <c r="K81" s="174">
        <v>210356</v>
      </c>
      <c r="L81" s="174">
        <v>0</v>
      </c>
      <c r="M81" s="174">
        <f t="shared" si="9"/>
        <v>3618536</v>
      </c>
      <c r="N81" s="174">
        <f t="shared" si="10"/>
        <v>94974</v>
      </c>
      <c r="O81" s="174">
        <f t="shared" si="10"/>
        <v>24000</v>
      </c>
      <c r="P81" s="174">
        <f t="shared" si="10"/>
        <v>0</v>
      </c>
      <c r="Q81" s="174">
        <f t="shared" si="10"/>
        <v>94974</v>
      </c>
    </row>
    <row r="82" spans="1:17" s="175" customFormat="1" ht="20.100000000000001" customHeight="1">
      <c r="A82" s="176" t="s">
        <v>7</v>
      </c>
      <c r="B82" s="91" t="s">
        <v>1034</v>
      </c>
      <c r="C82" s="91">
        <v>8</v>
      </c>
      <c r="D82" s="91" t="s">
        <v>992</v>
      </c>
      <c r="E82" s="91" t="s">
        <v>994</v>
      </c>
      <c r="F82" s="86">
        <v>4562666</v>
      </c>
      <c r="G82" s="86">
        <v>239066</v>
      </c>
      <c r="H82" s="121"/>
      <c r="I82" s="121">
        <f t="shared" si="8"/>
        <v>4562666</v>
      </c>
      <c r="J82" s="174">
        <v>4375904</v>
      </c>
      <c r="K82" s="174">
        <v>221066</v>
      </c>
      <c r="L82" s="174">
        <v>0</v>
      </c>
      <c r="M82" s="174">
        <f t="shared" si="9"/>
        <v>4375904</v>
      </c>
      <c r="N82" s="174">
        <f t="shared" si="10"/>
        <v>186762</v>
      </c>
      <c r="O82" s="174">
        <f t="shared" si="10"/>
        <v>18000</v>
      </c>
      <c r="P82" s="174">
        <f t="shared" si="10"/>
        <v>0</v>
      </c>
      <c r="Q82" s="174">
        <f t="shared" si="10"/>
        <v>186762</v>
      </c>
    </row>
    <row r="83" spans="1:17" s="175" customFormat="1" ht="20.100000000000001" customHeight="1">
      <c r="A83" s="176" t="s">
        <v>7</v>
      </c>
      <c r="B83" s="91" t="s">
        <v>1035</v>
      </c>
      <c r="C83" s="91">
        <v>9</v>
      </c>
      <c r="D83" s="91" t="s">
        <v>992</v>
      </c>
      <c r="E83" s="91" t="s">
        <v>994</v>
      </c>
      <c r="F83" s="86">
        <v>8530465</v>
      </c>
      <c r="G83" s="86">
        <v>257024</v>
      </c>
      <c r="H83" s="121"/>
      <c r="I83" s="121">
        <f t="shared" si="8"/>
        <v>8530465</v>
      </c>
      <c r="J83" s="174">
        <v>8331048</v>
      </c>
      <c r="K83" s="174">
        <v>233024</v>
      </c>
      <c r="L83" s="174">
        <v>0</v>
      </c>
      <c r="M83" s="174">
        <f t="shared" si="9"/>
        <v>8331048</v>
      </c>
      <c r="N83" s="174">
        <f t="shared" si="10"/>
        <v>199417</v>
      </c>
      <c r="O83" s="174">
        <f t="shared" si="10"/>
        <v>24000</v>
      </c>
      <c r="P83" s="174">
        <f t="shared" si="10"/>
        <v>0</v>
      </c>
      <c r="Q83" s="174">
        <f t="shared" si="10"/>
        <v>199417</v>
      </c>
    </row>
    <row r="84" spans="1:17" s="175" customFormat="1" ht="20.100000000000001" customHeight="1">
      <c r="A84" s="176" t="s">
        <v>7</v>
      </c>
      <c r="B84" s="91" t="s">
        <v>1036</v>
      </c>
      <c r="C84" s="91">
        <v>10</v>
      </c>
      <c r="D84" s="91" t="s">
        <v>992</v>
      </c>
      <c r="E84" s="91" t="s">
        <v>994</v>
      </c>
      <c r="F84" s="86">
        <v>4169033</v>
      </c>
      <c r="G84" s="86">
        <v>252676</v>
      </c>
      <c r="H84" s="121"/>
      <c r="I84" s="121">
        <f t="shared" si="8"/>
        <v>4169033</v>
      </c>
      <c r="J84" s="174">
        <v>4123448</v>
      </c>
      <c r="K84" s="174">
        <v>228676</v>
      </c>
      <c r="L84" s="174">
        <v>0</v>
      </c>
      <c r="M84" s="174">
        <f t="shared" si="9"/>
        <v>4123448</v>
      </c>
      <c r="N84" s="174">
        <f t="shared" si="10"/>
        <v>45585</v>
      </c>
      <c r="O84" s="174">
        <f t="shared" si="10"/>
        <v>24000</v>
      </c>
      <c r="P84" s="174">
        <f t="shared" si="10"/>
        <v>0</v>
      </c>
      <c r="Q84" s="174">
        <f t="shared" si="10"/>
        <v>45585</v>
      </c>
    </row>
    <row r="85" spans="1:17" s="175" customFormat="1" ht="20.100000000000001" customHeight="1">
      <c r="A85" s="176" t="s">
        <v>7</v>
      </c>
      <c r="B85" s="171" t="s">
        <v>1037</v>
      </c>
      <c r="C85" s="91">
        <v>11</v>
      </c>
      <c r="D85" s="91" t="s">
        <v>992</v>
      </c>
      <c r="E85" s="91" t="s">
        <v>994</v>
      </c>
      <c r="F85" s="86">
        <v>3949391</v>
      </c>
      <c r="G85" s="86">
        <v>236106</v>
      </c>
      <c r="H85" s="121"/>
      <c r="I85" s="121">
        <f t="shared" si="8"/>
        <v>3949391</v>
      </c>
      <c r="J85" s="174">
        <v>3870992</v>
      </c>
      <c r="K85" s="174">
        <v>212106</v>
      </c>
      <c r="L85" s="174">
        <v>0</v>
      </c>
      <c r="M85" s="174">
        <f t="shared" si="9"/>
        <v>3870992</v>
      </c>
      <c r="N85" s="174">
        <f t="shared" si="10"/>
        <v>78399</v>
      </c>
      <c r="O85" s="174">
        <f t="shared" si="10"/>
        <v>24000</v>
      </c>
      <c r="P85" s="174">
        <f t="shared" si="10"/>
        <v>0</v>
      </c>
      <c r="Q85" s="174">
        <f t="shared" si="10"/>
        <v>78399</v>
      </c>
    </row>
    <row r="86" spans="1:17" s="175" customFormat="1" ht="20.100000000000001" customHeight="1">
      <c r="A86" s="176" t="s">
        <v>7</v>
      </c>
      <c r="B86" s="171" t="s">
        <v>1038</v>
      </c>
      <c r="C86" s="91">
        <v>12</v>
      </c>
      <c r="D86" s="91" t="s">
        <v>992</v>
      </c>
      <c r="E86" s="91" t="s">
        <v>994</v>
      </c>
      <c r="F86" s="86">
        <v>4469887</v>
      </c>
      <c r="G86" s="86">
        <v>249716</v>
      </c>
      <c r="H86" s="121"/>
      <c r="I86" s="121">
        <f t="shared" si="8"/>
        <v>4469887</v>
      </c>
      <c r="J86" s="174">
        <v>4375904</v>
      </c>
      <c r="K86" s="174">
        <v>225716</v>
      </c>
      <c r="L86" s="174">
        <v>0</v>
      </c>
      <c r="M86" s="174">
        <f t="shared" si="9"/>
        <v>4375904</v>
      </c>
      <c r="N86" s="174">
        <f t="shared" si="10"/>
        <v>93983</v>
      </c>
      <c r="O86" s="174">
        <f t="shared" si="10"/>
        <v>24000</v>
      </c>
      <c r="P86" s="174">
        <f t="shared" si="10"/>
        <v>0</v>
      </c>
      <c r="Q86" s="174">
        <f t="shared" si="10"/>
        <v>93983</v>
      </c>
    </row>
    <row r="87" spans="1:17" s="175" customFormat="1" ht="20.100000000000001" customHeight="1">
      <c r="A87" s="176"/>
      <c r="B87" s="171" t="s">
        <v>1039</v>
      </c>
      <c r="C87" s="91"/>
      <c r="D87" s="91"/>
      <c r="E87" s="91"/>
      <c r="F87" s="86">
        <f>SUM(F75:F86)</f>
        <v>133954820</v>
      </c>
      <c r="G87" s="86">
        <f t="shared" ref="G87:Q87" si="12">SUM(G75:G86)</f>
        <v>3599722</v>
      </c>
      <c r="H87" s="86">
        <f t="shared" si="12"/>
        <v>6423623.75</v>
      </c>
      <c r="I87" s="86">
        <f t="shared" si="12"/>
        <v>140378443.75</v>
      </c>
      <c r="J87" s="86">
        <f t="shared" si="12"/>
        <v>133635563</v>
      </c>
      <c r="K87" s="86">
        <f t="shared" si="12"/>
        <v>3290436</v>
      </c>
      <c r="L87" s="86">
        <f t="shared" si="12"/>
        <v>7155425.75</v>
      </c>
      <c r="M87" s="86">
        <f t="shared" si="12"/>
        <v>140790988.75</v>
      </c>
      <c r="N87" s="86">
        <f t="shared" si="12"/>
        <v>319257</v>
      </c>
      <c r="O87" s="86">
        <f t="shared" si="12"/>
        <v>309286</v>
      </c>
      <c r="P87" s="86">
        <f t="shared" si="12"/>
        <v>-731802</v>
      </c>
      <c r="Q87" s="86">
        <f t="shared" si="12"/>
        <v>-412545</v>
      </c>
    </row>
    <row r="88" spans="1:17" s="175" customFormat="1" ht="20.100000000000001" customHeight="1">
      <c r="A88" s="176" t="s">
        <v>8</v>
      </c>
      <c r="B88" s="91" t="s">
        <v>1040</v>
      </c>
      <c r="C88" s="91">
        <v>1</v>
      </c>
      <c r="D88" s="91" t="s">
        <v>990</v>
      </c>
      <c r="E88" s="91" t="s">
        <v>991</v>
      </c>
      <c r="F88" s="86">
        <v>22493075</v>
      </c>
      <c r="G88" s="86">
        <v>566372</v>
      </c>
      <c r="H88" s="121">
        <v>1540509.5</v>
      </c>
      <c r="I88" s="121">
        <f t="shared" si="8"/>
        <v>24033584.5</v>
      </c>
      <c r="J88" s="174">
        <v>22977761</v>
      </c>
      <c r="K88" s="174">
        <v>518112</v>
      </c>
      <c r="L88" s="174">
        <v>1627687.5</v>
      </c>
      <c r="M88" s="174">
        <f t="shared" si="9"/>
        <v>24605448.5</v>
      </c>
      <c r="N88" s="174">
        <f t="shared" si="10"/>
        <v>-484686</v>
      </c>
      <c r="O88" s="174">
        <f t="shared" si="10"/>
        <v>48260</v>
      </c>
      <c r="P88" s="174">
        <f t="shared" si="10"/>
        <v>-87178</v>
      </c>
      <c r="Q88" s="174">
        <f t="shared" si="10"/>
        <v>-571864</v>
      </c>
    </row>
    <row r="89" spans="1:17" s="175" customFormat="1" ht="20.100000000000001" customHeight="1">
      <c r="A89" s="176" t="s">
        <v>8</v>
      </c>
      <c r="B89" s="91" t="s">
        <v>224</v>
      </c>
      <c r="C89" s="91">
        <v>2</v>
      </c>
      <c r="D89" s="91" t="s">
        <v>990</v>
      </c>
      <c r="E89" s="91" t="s">
        <v>991</v>
      </c>
      <c r="F89" s="86">
        <v>27972239</v>
      </c>
      <c r="G89" s="86">
        <v>535577</v>
      </c>
      <c r="H89" s="121">
        <v>1860422.25</v>
      </c>
      <c r="I89" s="121">
        <f t="shared" si="8"/>
        <v>29832661.25</v>
      </c>
      <c r="J89" s="174">
        <v>28993398</v>
      </c>
      <c r="K89" s="174">
        <v>487577</v>
      </c>
      <c r="L89" s="174">
        <v>1894224.75</v>
      </c>
      <c r="M89" s="174">
        <f t="shared" si="9"/>
        <v>30887622.75</v>
      </c>
      <c r="N89" s="174">
        <f t="shared" si="10"/>
        <v>-1021159</v>
      </c>
      <c r="O89" s="174">
        <f t="shared" si="10"/>
        <v>48000</v>
      </c>
      <c r="P89" s="174">
        <f t="shared" si="10"/>
        <v>-33802.5</v>
      </c>
      <c r="Q89" s="174">
        <f t="shared" si="10"/>
        <v>-1054961.5</v>
      </c>
    </row>
    <row r="90" spans="1:17" s="175" customFormat="1" ht="20.100000000000001" customHeight="1">
      <c r="A90" s="176" t="s">
        <v>8</v>
      </c>
      <c r="B90" s="91" t="s">
        <v>225</v>
      </c>
      <c r="C90" s="91">
        <v>3</v>
      </c>
      <c r="D90" s="91" t="s">
        <v>990</v>
      </c>
      <c r="E90" s="91" t="s">
        <v>991</v>
      </c>
      <c r="F90" s="221">
        <f>28370306-40000</f>
        <v>28330306</v>
      </c>
      <c r="G90" s="86">
        <v>403745</v>
      </c>
      <c r="H90" s="121">
        <v>1889870</v>
      </c>
      <c r="I90" s="121">
        <f t="shared" si="8"/>
        <v>30220176</v>
      </c>
      <c r="J90" s="174">
        <v>28401696</v>
      </c>
      <c r="K90" s="174">
        <v>365841</v>
      </c>
      <c r="L90" s="174">
        <v>2098896.5</v>
      </c>
      <c r="M90" s="174">
        <f t="shared" si="9"/>
        <v>30500592.5</v>
      </c>
      <c r="N90" s="174">
        <f t="shared" si="10"/>
        <v>-71390</v>
      </c>
      <c r="O90" s="174">
        <f t="shared" si="10"/>
        <v>37904</v>
      </c>
      <c r="P90" s="174">
        <f t="shared" si="10"/>
        <v>-209026.5</v>
      </c>
      <c r="Q90" s="174">
        <f t="shared" si="10"/>
        <v>-280416.5</v>
      </c>
    </row>
    <row r="91" spans="1:17" s="175" customFormat="1" ht="20.100000000000001" customHeight="1">
      <c r="A91" s="176" t="s">
        <v>8</v>
      </c>
      <c r="B91" s="91" t="s">
        <v>1041</v>
      </c>
      <c r="C91" s="91">
        <v>4</v>
      </c>
      <c r="D91" s="91" t="s">
        <v>992</v>
      </c>
      <c r="E91" s="91" t="s">
        <v>993</v>
      </c>
      <c r="F91" s="86">
        <v>1380580</v>
      </c>
      <c r="G91" s="86">
        <v>0</v>
      </c>
      <c r="H91" s="121"/>
      <c r="I91" s="121">
        <f t="shared" si="8"/>
        <v>1380580</v>
      </c>
      <c r="J91" s="174">
        <v>1389682</v>
      </c>
      <c r="K91" s="174">
        <v>0</v>
      </c>
      <c r="L91" s="174">
        <v>0</v>
      </c>
      <c r="M91" s="174">
        <f t="shared" si="9"/>
        <v>1389682</v>
      </c>
      <c r="N91" s="174">
        <f>F91-J91</f>
        <v>-9102</v>
      </c>
      <c r="O91" s="174">
        <f t="shared" si="10"/>
        <v>0</v>
      </c>
      <c r="P91" s="174">
        <f t="shared" si="10"/>
        <v>0</v>
      </c>
      <c r="Q91" s="174">
        <f t="shared" si="10"/>
        <v>-9102</v>
      </c>
    </row>
    <row r="92" spans="1:17" s="175" customFormat="1" ht="20.100000000000001" customHeight="1">
      <c r="A92" s="176"/>
      <c r="B92" s="91" t="s">
        <v>1042</v>
      </c>
      <c r="C92" s="91"/>
      <c r="D92" s="91"/>
      <c r="E92" s="91"/>
      <c r="F92" s="86">
        <v>439504</v>
      </c>
      <c r="G92" s="86">
        <v>86065</v>
      </c>
      <c r="H92" s="121"/>
      <c r="I92" s="121">
        <f t="shared" si="8"/>
        <v>439504</v>
      </c>
      <c r="J92" s="174">
        <v>504912</v>
      </c>
      <c r="K92" s="174">
        <v>76065</v>
      </c>
      <c r="L92" s="174">
        <v>0</v>
      </c>
      <c r="M92" s="174">
        <f t="shared" si="9"/>
        <v>504912</v>
      </c>
      <c r="N92" s="174">
        <f>F92-J92</f>
        <v>-65408</v>
      </c>
      <c r="O92" s="174">
        <f t="shared" si="10"/>
        <v>10000</v>
      </c>
      <c r="P92" s="174">
        <f t="shared" si="10"/>
        <v>0</v>
      </c>
      <c r="Q92" s="174">
        <f t="shared" si="10"/>
        <v>-65408</v>
      </c>
    </row>
    <row r="93" spans="1:17" s="175" customFormat="1" ht="20.100000000000001" customHeight="1">
      <c r="A93" s="176" t="s">
        <v>8</v>
      </c>
      <c r="B93" s="91" t="s">
        <v>659</v>
      </c>
      <c r="C93" s="91">
        <v>5</v>
      </c>
      <c r="D93" s="91" t="s">
        <v>992</v>
      </c>
      <c r="E93" s="91" t="s">
        <v>994</v>
      </c>
      <c r="F93" s="86">
        <v>6129444</v>
      </c>
      <c r="G93" s="86">
        <v>240244</v>
      </c>
      <c r="H93" s="121"/>
      <c r="I93" s="121">
        <f t="shared" si="8"/>
        <v>6129444</v>
      </c>
      <c r="J93" s="174">
        <v>6058944</v>
      </c>
      <c r="K93" s="174">
        <v>203044</v>
      </c>
      <c r="L93" s="174">
        <v>0</v>
      </c>
      <c r="M93" s="174">
        <f t="shared" si="9"/>
        <v>6058944</v>
      </c>
      <c r="N93" s="174">
        <f t="shared" si="10"/>
        <v>70500</v>
      </c>
      <c r="O93" s="174">
        <f t="shared" si="10"/>
        <v>37200</v>
      </c>
      <c r="P93" s="174">
        <f t="shared" si="10"/>
        <v>0</v>
      </c>
      <c r="Q93" s="174">
        <f t="shared" si="10"/>
        <v>70500</v>
      </c>
    </row>
    <row r="94" spans="1:17" s="175" customFormat="1" ht="20.100000000000001" customHeight="1">
      <c r="A94" s="176" t="s">
        <v>8</v>
      </c>
      <c r="B94" s="91" t="s">
        <v>1043</v>
      </c>
      <c r="C94" s="91">
        <v>6</v>
      </c>
      <c r="D94" s="91" t="s">
        <v>992</v>
      </c>
      <c r="E94" s="91" t="s">
        <v>994</v>
      </c>
      <c r="F94" s="86">
        <v>10279648</v>
      </c>
      <c r="G94" s="86">
        <v>318193</v>
      </c>
      <c r="H94" s="121"/>
      <c r="I94" s="121">
        <f t="shared" si="8"/>
        <v>10279648</v>
      </c>
      <c r="J94" s="174">
        <v>10014088</v>
      </c>
      <c r="K94" s="174">
        <v>250943</v>
      </c>
      <c r="L94" s="174">
        <v>0</v>
      </c>
      <c r="M94" s="174">
        <f t="shared" si="9"/>
        <v>10014088</v>
      </c>
      <c r="N94" s="174">
        <f t="shared" si="10"/>
        <v>265560</v>
      </c>
      <c r="O94" s="174">
        <f t="shared" si="10"/>
        <v>67250</v>
      </c>
      <c r="P94" s="174">
        <f t="shared" si="10"/>
        <v>0</v>
      </c>
      <c r="Q94" s="174">
        <f t="shared" si="10"/>
        <v>265560</v>
      </c>
    </row>
    <row r="95" spans="1:17" s="175" customFormat="1" ht="20.100000000000001" customHeight="1">
      <c r="A95" s="176" t="s">
        <v>8</v>
      </c>
      <c r="B95" s="91" t="s">
        <v>657</v>
      </c>
      <c r="C95" s="91">
        <v>7</v>
      </c>
      <c r="D95" s="91" t="s">
        <v>992</v>
      </c>
      <c r="E95" s="91" t="s">
        <v>994</v>
      </c>
      <c r="F95" s="86">
        <v>4745672</v>
      </c>
      <c r="G95" s="86">
        <v>239636</v>
      </c>
      <c r="H95" s="121"/>
      <c r="I95" s="121">
        <f t="shared" si="8"/>
        <v>4745672</v>
      </c>
      <c r="J95" s="174">
        <v>4712512</v>
      </c>
      <c r="K95" s="174">
        <v>215636</v>
      </c>
      <c r="L95" s="174">
        <v>0</v>
      </c>
      <c r="M95" s="174">
        <f t="shared" si="9"/>
        <v>4712512</v>
      </c>
      <c r="N95" s="174">
        <f t="shared" si="10"/>
        <v>33160</v>
      </c>
      <c r="O95" s="174">
        <f t="shared" si="10"/>
        <v>24000</v>
      </c>
      <c r="P95" s="174">
        <f t="shared" si="10"/>
        <v>0</v>
      </c>
      <c r="Q95" s="174">
        <f t="shared" si="10"/>
        <v>33160</v>
      </c>
    </row>
    <row r="96" spans="1:17" s="175" customFormat="1" ht="20.100000000000001" customHeight="1">
      <c r="A96" s="176" t="s">
        <v>8</v>
      </c>
      <c r="B96" s="91" t="s">
        <v>1044</v>
      </c>
      <c r="C96" s="91">
        <v>8</v>
      </c>
      <c r="D96" s="91" t="s">
        <v>992</v>
      </c>
      <c r="E96" s="91" t="s">
        <v>994</v>
      </c>
      <c r="F96" s="86">
        <v>7470439</v>
      </c>
      <c r="G96" s="86">
        <v>247004</v>
      </c>
      <c r="H96" s="121"/>
      <c r="I96" s="121">
        <f t="shared" si="8"/>
        <v>7470439</v>
      </c>
      <c r="J96" s="174">
        <v>7237072</v>
      </c>
      <c r="K96" s="174">
        <v>223004</v>
      </c>
      <c r="L96" s="174">
        <v>0</v>
      </c>
      <c r="M96" s="174">
        <f t="shared" si="9"/>
        <v>7237072</v>
      </c>
      <c r="N96" s="174">
        <f t="shared" si="10"/>
        <v>233367</v>
      </c>
      <c r="O96" s="174">
        <f t="shared" si="10"/>
        <v>24000</v>
      </c>
      <c r="P96" s="174">
        <f t="shared" si="10"/>
        <v>0</v>
      </c>
      <c r="Q96" s="174">
        <f t="shared" si="10"/>
        <v>233367</v>
      </c>
    </row>
    <row r="97" spans="1:17" s="175" customFormat="1" ht="20.100000000000001" customHeight="1">
      <c r="A97" s="176"/>
      <c r="B97" s="91" t="s">
        <v>1045</v>
      </c>
      <c r="C97" s="91"/>
      <c r="D97" s="91"/>
      <c r="E97" s="91"/>
      <c r="F97" s="86">
        <f>SUM(F88:F96)</f>
        <v>109240907</v>
      </c>
      <c r="G97" s="86">
        <f t="shared" ref="G97:Q97" si="13">SUM(G88:G96)</f>
        <v>2636836</v>
      </c>
      <c r="H97" s="86">
        <f t="shared" si="13"/>
        <v>5290801.75</v>
      </c>
      <c r="I97" s="86">
        <f t="shared" si="13"/>
        <v>114531708.75</v>
      </c>
      <c r="J97" s="86">
        <f t="shared" si="13"/>
        <v>110290065</v>
      </c>
      <c r="K97" s="86">
        <f t="shared" si="13"/>
        <v>2340222</v>
      </c>
      <c r="L97" s="86">
        <f t="shared" si="13"/>
        <v>5620808.75</v>
      </c>
      <c r="M97" s="86">
        <f t="shared" si="13"/>
        <v>115910873.75</v>
      </c>
      <c r="N97" s="86">
        <f t="shared" si="13"/>
        <v>-1049158</v>
      </c>
      <c r="O97" s="86">
        <f t="shared" si="13"/>
        <v>296614</v>
      </c>
      <c r="P97" s="86">
        <f t="shared" si="13"/>
        <v>-330007</v>
      </c>
      <c r="Q97" s="86">
        <f t="shared" si="13"/>
        <v>-1379165</v>
      </c>
    </row>
    <row r="98" spans="1:17" s="175" customFormat="1" ht="20.100000000000001" customHeight="1">
      <c r="A98" s="176" t="s">
        <v>9</v>
      </c>
      <c r="B98" s="91" t="s">
        <v>245</v>
      </c>
      <c r="C98" s="91">
        <v>1</v>
      </c>
      <c r="D98" s="91" t="s">
        <v>990</v>
      </c>
      <c r="E98" s="91" t="s">
        <v>1001</v>
      </c>
      <c r="F98" s="86">
        <v>22255808</v>
      </c>
      <c r="G98" s="86">
        <v>642076</v>
      </c>
      <c r="H98" s="121">
        <v>1718217.5</v>
      </c>
      <c r="I98" s="121">
        <f t="shared" si="8"/>
        <v>23974025.5</v>
      </c>
      <c r="J98" s="174">
        <v>22287442</v>
      </c>
      <c r="K98" s="174">
        <v>593276</v>
      </c>
      <c r="L98" s="174">
        <v>1854201.5</v>
      </c>
      <c r="M98" s="174">
        <f t="shared" si="9"/>
        <v>24141643.5</v>
      </c>
      <c r="N98" s="174">
        <f t="shared" si="10"/>
        <v>-31634</v>
      </c>
      <c r="O98" s="174">
        <f t="shared" si="10"/>
        <v>48800</v>
      </c>
      <c r="P98" s="174">
        <f t="shared" si="10"/>
        <v>-135984</v>
      </c>
      <c r="Q98" s="174">
        <f t="shared" si="10"/>
        <v>-167618</v>
      </c>
    </row>
    <row r="99" spans="1:17" s="175" customFormat="1" ht="20.100000000000001" customHeight="1">
      <c r="A99" s="176" t="s">
        <v>9</v>
      </c>
      <c r="B99" s="91" t="s">
        <v>246</v>
      </c>
      <c r="C99" s="91">
        <v>2</v>
      </c>
      <c r="D99" s="91" t="s">
        <v>990</v>
      </c>
      <c r="E99" s="91" t="s">
        <v>1001</v>
      </c>
      <c r="F99" s="86">
        <v>14022155</v>
      </c>
      <c r="G99" s="86">
        <v>264632</v>
      </c>
      <c r="H99" s="121">
        <v>1121905</v>
      </c>
      <c r="I99" s="121">
        <f t="shared" si="8"/>
        <v>15144060</v>
      </c>
      <c r="J99" s="174">
        <v>14299465</v>
      </c>
      <c r="K99" s="174">
        <v>240532</v>
      </c>
      <c r="L99" s="174">
        <v>1236940</v>
      </c>
      <c r="M99" s="174">
        <f t="shared" si="9"/>
        <v>15536405</v>
      </c>
      <c r="N99" s="174">
        <f t="shared" si="10"/>
        <v>-277310</v>
      </c>
      <c r="O99" s="174">
        <f t="shared" si="10"/>
        <v>24100</v>
      </c>
      <c r="P99" s="174">
        <f t="shared" si="10"/>
        <v>-115035</v>
      </c>
      <c r="Q99" s="174">
        <f t="shared" si="10"/>
        <v>-392345</v>
      </c>
    </row>
    <row r="100" spans="1:17" s="175" customFormat="1" ht="20.100000000000001" customHeight="1">
      <c r="A100" s="176" t="s">
        <v>9</v>
      </c>
      <c r="B100" s="91" t="s">
        <v>247</v>
      </c>
      <c r="C100" s="91">
        <v>3</v>
      </c>
      <c r="D100" s="91" t="s">
        <v>990</v>
      </c>
      <c r="E100" s="91" t="s">
        <v>1001</v>
      </c>
      <c r="F100" s="86">
        <v>15798819</v>
      </c>
      <c r="G100" s="86">
        <v>276392</v>
      </c>
      <c r="H100" s="121">
        <v>1266696</v>
      </c>
      <c r="I100" s="121">
        <f t="shared" si="8"/>
        <v>17065515</v>
      </c>
      <c r="J100" s="174">
        <v>16271805</v>
      </c>
      <c r="K100" s="174">
        <v>252392</v>
      </c>
      <c r="L100" s="174">
        <v>1357680.5</v>
      </c>
      <c r="M100" s="174">
        <f t="shared" si="9"/>
        <v>17629485.5</v>
      </c>
      <c r="N100" s="174">
        <f t="shared" si="10"/>
        <v>-472986</v>
      </c>
      <c r="O100" s="174">
        <f t="shared" si="10"/>
        <v>24000</v>
      </c>
      <c r="P100" s="174">
        <f t="shared" si="10"/>
        <v>-90984.5</v>
      </c>
      <c r="Q100" s="174">
        <f t="shared" si="10"/>
        <v>-563970.5</v>
      </c>
    </row>
    <row r="101" spans="1:17" s="175" customFormat="1" ht="20.100000000000001" customHeight="1">
      <c r="A101" s="176" t="s">
        <v>9</v>
      </c>
      <c r="B101" s="91" t="s">
        <v>248</v>
      </c>
      <c r="C101" s="91">
        <v>4</v>
      </c>
      <c r="D101" s="91" t="s">
        <v>990</v>
      </c>
      <c r="E101" s="91" t="s">
        <v>991</v>
      </c>
      <c r="F101" s="86">
        <v>25193369</v>
      </c>
      <c r="G101" s="86">
        <v>661643</v>
      </c>
      <c r="H101" s="121">
        <v>1697345</v>
      </c>
      <c r="I101" s="121">
        <f t="shared" si="8"/>
        <v>26890714</v>
      </c>
      <c r="J101" s="121">
        <v>25837654</v>
      </c>
      <c r="K101" s="174">
        <v>612923</v>
      </c>
      <c r="L101" s="174">
        <v>2051632.5</v>
      </c>
      <c r="M101" s="174">
        <f t="shared" si="9"/>
        <v>27889286.5</v>
      </c>
      <c r="N101" s="174">
        <f t="shared" si="10"/>
        <v>-644285</v>
      </c>
      <c r="O101" s="174">
        <f t="shared" si="10"/>
        <v>48720</v>
      </c>
      <c r="P101" s="174">
        <f t="shared" si="10"/>
        <v>-354287.5</v>
      </c>
      <c r="Q101" s="174">
        <f t="shared" si="10"/>
        <v>-998572.5</v>
      </c>
    </row>
    <row r="102" spans="1:17" s="175" customFormat="1" ht="20.100000000000001" customHeight="1">
      <c r="A102" s="176" t="s">
        <v>9</v>
      </c>
      <c r="B102" s="91" t="s">
        <v>725</v>
      </c>
      <c r="C102" s="91">
        <v>5</v>
      </c>
      <c r="D102" s="91" t="s">
        <v>990</v>
      </c>
      <c r="E102" s="91" t="s">
        <v>998</v>
      </c>
      <c r="F102" s="86">
        <v>14549625</v>
      </c>
      <c r="G102" s="86">
        <v>675330</v>
      </c>
      <c r="H102" s="121">
        <v>842568.5</v>
      </c>
      <c r="I102" s="121">
        <f t="shared" si="8"/>
        <v>15392193.5</v>
      </c>
      <c r="J102" s="121">
        <v>14554644</v>
      </c>
      <c r="K102" s="174">
        <v>627330</v>
      </c>
      <c r="L102" s="174">
        <v>942489.25</v>
      </c>
      <c r="M102" s="174">
        <f t="shared" si="9"/>
        <v>15497133.25</v>
      </c>
      <c r="N102" s="174">
        <f t="shared" si="10"/>
        <v>-5019</v>
      </c>
      <c r="O102" s="174">
        <f t="shared" si="10"/>
        <v>48000</v>
      </c>
      <c r="P102" s="174">
        <f t="shared" si="10"/>
        <v>-99920.75</v>
      </c>
      <c r="Q102" s="174">
        <f t="shared" si="10"/>
        <v>-104939.75</v>
      </c>
    </row>
    <row r="103" spans="1:17" s="175" customFormat="1" ht="20.100000000000001" customHeight="1">
      <c r="A103" s="176" t="s">
        <v>9</v>
      </c>
      <c r="B103" s="91" t="s">
        <v>249</v>
      </c>
      <c r="C103" s="91">
        <v>6</v>
      </c>
      <c r="D103" s="91" t="s">
        <v>990</v>
      </c>
      <c r="E103" s="91" t="s">
        <v>998</v>
      </c>
      <c r="F103" s="86">
        <v>35542871</v>
      </c>
      <c r="G103" s="86">
        <f>706288+15000</f>
        <v>721288</v>
      </c>
      <c r="H103" s="121">
        <v>2004672.25</v>
      </c>
      <c r="I103" s="121">
        <f t="shared" si="8"/>
        <v>37547543.25</v>
      </c>
      <c r="J103" s="121">
        <v>35826816</v>
      </c>
      <c r="K103" s="174">
        <v>673288</v>
      </c>
      <c r="L103" s="174">
        <v>2211827</v>
      </c>
      <c r="M103" s="174">
        <f t="shared" si="9"/>
        <v>38038643</v>
      </c>
      <c r="N103" s="174">
        <f t="shared" si="10"/>
        <v>-283945</v>
      </c>
      <c r="O103" s="174">
        <f t="shared" si="10"/>
        <v>48000</v>
      </c>
      <c r="P103" s="174">
        <f t="shared" si="10"/>
        <v>-207154.75</v>
      </c>
      <c r="Q103" s="174">
        <f t="shared" si="10"/>
        <v>-491099.75</v>
      </c>
    </row>
    <row r="104" spans="1:17" s="175" customFormat="1" ht="20.100000000000001" customHeight="1">
      <c r="A104" s="176" t="s">
        <v>9</v>
      </c>
      <c r="B104" s="91" t="s">
        <v>250</v>
      </c>
      <c r="C104" s="91">
        <v>7</v>
      </c>
      <c r="D104" s="91" t="s">
        <v>990</v>
      </c>
      <c r="E104" s="91" t="s">
        <v>998</v>
      </c>
      <c r="F104" s="86">
        <v>16344375</v>
      </c>
      <c r="G104" s="86">
        <v>589420</v>
      </c>
      <c r="H104" s="121">
        <v>839214.75</v>
      </c>
      <c r="I104" s="121">
        <f t="shared" si="8"/>
        <v>17183589.75</v>
      </c>
      <c r="J104" s="121">
        <v>16607222</v>
      </c>
      <c r="K104" s="174">
        <v>511420</v>
      </c>
      <c r="L104" s="174">
        <v>954638.5</v>
      </c>
      <c r="M104" s="174">
        <f t="shared" si="9"/>
        <v>17561860.5</v>
      </c>
      <c r="N104" s="174">
        <f t="shared" si="10"/>
        <v>-262847</v>
      </c>
      <c r="O104" s="174">
        <f t="shared" si="10"/>
        <v>78000</v>
      </c>
      <c r="P104" s="174">
        <f t="shared" si="10"/>
        <v>-115423.75</v>
      </c>
      <c r="Q104" s="174">
        <f t="shared" si="10"/>
        <v>-378270.75</v>
      </c>
    </row>
    <row r="105" spans="1:17" s="175" customFormat="1" ht="20.100000000000001" customHeight="1">
      <c r="A105" s="176" t="s">
        <v>9</v>
      </c>
      <c r="B105" s="91" t="s">
        <v>251</v>
      </c>
      <c r="C105" s="91">
        <v>8</v>
      </c>
      <c r="D105" s="91" t="s">
        <v>990</v>
      </c>
      <c r="E105" s="91" t="s">
        <v>998</v>
      </c>
      <c r="F105" s="86">
        <v>11021724</v>
      </c>
      <c r="G105" s="86">
        <f>273872-15000</f>
        <v>258872</v>
      </c>
      <c r="H105" s="121">
        <v>590333.5</v>
      </c>
      <c r="I105" s="121">
        <f t="shared" si="8"/>
        <v>11612057.5</v>
      </c>
      <c r="J105" s="121">
        <v>11102581</v>
      </c>
      <c r="K105" s="174">
        <v>234872</v>
      </c>
      <c r="L105" s="174">
        <v>633357.5</v>
      </c>
      <c r="M105" s="174">
        <f t="shared" si="9"/>
        <v>11735938.5</v>
      </c>
      <c r="N105" s="174">
        <f t="shared" si="10"/>
        <v>-80857</v>
      </c>
      <c r="O105" s="174">
        <f t="shared" si="10"/>
        <v>24000</v>
      </c>
      <c r="P105" s="174">
        <f t="shared" si="10"/>
        <v>-43024</v>
      </c>
      <c r="Q105" s="174">
        <f t="shared" si="10"/>
        <v>-123881</v>
      </c>
    </row>
    <row r="106" spans="1:17" s="175" customFormat="1" ht="20.100000000000001" customHeight="1">
      <c r="A106" s="176" t="s">
        <v>9</v>
      </c>
      <c r="B106" s="91" t="s">
        <v>815</v>
      </c>
      <c r="C106" s="91">
        <v>9</v>
      </c>
      <c r="D106" s="91" t="s">
        <v>992</v>
      </c>
      <c r="E106" s="91" t="s">
        <v>993</v>
      </c>
      <c r="F106" s="86">
        <v>914384</v>
      </c>
      <c r="G106" s="86">
        <v>0</v>
      </c>
      <c r="H106" s="121"/>
      <c r="I106" s="121">
        <f t="shared" si="8"/>
        <v>914384</v>
      </c>
      <c r="J106" s="121">
        <v>893367</v>
      </c>
      <c r="K106" s="174">
        <v>0</v>
      </c>
      <c r="L106" s="174">
        <v>0</v>
      </c>
      <c r="M106" s="174">
        <f t="shared" si="9"/>
        <v>893367</v>
      </c>
      <c r="N106" s="174">
        <f t="shared" si="10"/>
        <v>21017</v>
      </c>
      <c r="O106" s="174">
        <f t="shared" si="10"/>
        <v>0</v>
      </c>
      <c r="P106" s="174">
        <f t="shared" si="10"/>
        <v>0</v>
      </c>
      <c r="Q106" s="174">
        <f t="shared" si="10"/>
        <v>21017</v>
      </c>
    </row>
    <row r="107" spans="1:17" s="175" customFormat="1" ht="20.100000000000001" customHeight="1">
      <c r="A107" s="176" t="s">
        <v>9</v>
      </c>
      <c r="B107" s="91" t="s">
        <v>1046</v>
      </c>
      <c r="C107" s="91">
        <v>10</v>
      </c>
      <c r="D107" s="91" t="s">
        <v>992</v>
      </c>
      <c r="E107" s="91" t="s">
        <v>994</v>
      </c>
      <c r="F107" s="86">
        <v>7482663</v>
      </c>
      <c r="G107" s="86">
        <v>293540</v>
      </c>
      <c r="H107" s="121"/>
      <c r="I107" s="121">
        <f t="shared" si="8"/>
        <v>7482663</v>
      </c>
      <c r="J107" s="121">
        <v>7573680</v>
      </c>
      <c r="K107" s="174">
        <v>269540</v>
      </c>
      <c r="L107" s="174">
        <v>0</v>
      </c>
      <c r="M107" s="174">
        <f t="shared" si="9"/>
        <v>7573680</v>
      </c>
      <c r="N107" s="174">
        <f t="shared" si="10"/>
        <v>-91017</v>
      </c>
      <c r="O107" s="174">
        <f t="shared" si="10"/>
        <v>24000</v>
      </c>
      <c r="P107" s="174">
        <f t="shared" si="10"/>
        <v>0</v>
      </c>
      <c r="Q107" s="174">
        <f t="shared" si="10"/>
        <v>-91017</v>
      </c>
    </row>
    <row r="108" spans="1:17" s="175" customFormat="1" ht="20.100000000000001" customHeight="1">
      <c r="A108" s="176" t="s">
        <v>9</v>
      </c>
      <c r="B108" s="91" t="s">
        <v>1047</v>
      </c>
      <c r="C108" s="91">
        <v>11</v>
      </c>
      <c r="D108" s="91" t="s">
        <v>992</v>
      </c>
      <c r="E108" s="91" t="s">
        <v>994</v>
      </c>
      <c r="F108" s="86">
        <v>9337641</v>
      </c>
      <c r="G108" s="86">
        <v>262352</v>
      </c>
      <c r="H108" s="121"/>
      <c r="I108" s="121">
        <f t="shared" si="8"/>
        <v>9337641</v>
      </c>
      <c r="J108" s="121">
        <v>9340872</v>
      </c>
      <c r="K108" s="174">
        <v>238352</v>
      </c>
      <c r="L108" s="174">
        <v>0</v>
      </c>
      <c r="M108" s="174">
        <f t="shared" si="9"/>
        <v>9340872</v>
      </c>
      <c r="N108" s="174">
        <f t="shared" si="10"/>
        <v>-3231</v>
      </c>
      <c r="O108" s="174">
        <f t="shared" si="10"/>
        <v>24000</v>
      </c>
      <c r="P108" s="174">
        <f t="shared" si="10"/>
        <v>0</v>
      </c>
      <c r="Q108" s="174">
        <f t="shared" si="10"/>
        <v>-3231</v>
      </c>
    </row>
    <row r="109" spans="1:17" s="175" customFormat="1" ht="20.100000000000001" customHeight="1">
      <c r="A109" s="176" t="s">
        <v>9</v>
      </c>
      <c r="B109" s="91" t="s">
        <v>1048</v>
      </c>
      <c r="C109" s="91">
        <v>12</v>
      </c>
      <c r="D109" s="91" t="s">
        <v>992</v>
      </c>
      <c r="E109" s="91" t="s">
        <v>994</v>
      </c>
      <c r="F109" s="86">
        <v>7150197</v>
      </c>
      <c r="G109" s="86">
        <v>281574</v>
      </c>
      <c r="H109" s="121"/>
      <c r="I109" s="121">
        <f t="shared" si="8"/>
        <v>7150197</v>
      </c>
      <c r="J109" s="121">
        <v>6984616</v>
      </c>
      <c r="K109" s="174">
        <v>218187</v>
      </c>
      <c r="L109" s="174">
        <v>0</v>
      </c>
      <c r="M109" s="174">
        <f t="shared" si="9"/>
        <v>6984616</v>
      </c>
      <c r="N109" s="174">
        <f t="shared" si="10"/>
        <v>165581</v>
      </c>
      <c r="O109" s="174">
        <f t="shared" si="10"/>
        <v>63387</v>
      </c>
      <c r="P109" s="174">
        <f t="shared" si="10"/>
        <v>0</v>
      </c>
      <c r="Q109" s="174">
        <f t="shared" si="10"/>
        <v>165581</v>
      </c>
    </row>
    <row r="110" spans="1:17" s="175" customFormat="1" ht="20.100000000000001" customHeight="1">
      <c r="A110" s="176" t="s">
        <v>9</v>
      </c>
      <c r="B110" s="91" t="s">
        <v>719</v>
      </c>
      <c r="C110" s="91">
        <v>13</v>
      </c>
      <c r="D110" s="91" t="s">
        <v>992</v>
      </c>
      <c r="E110" s="91" t="s">
        <v>994</v>
      </c>
      <c r="F110" s="86">
        <v>7220832</v>
      </c>
      <c r="G110" s="86">
        <v>260072</v>
      </c>
      <c r="H110" s="121"/>
      <c r="I110" s="121">
        <f t="shared" si="8"/>
        <v>7220832</v>
      </c>
      <c r="J110" s="121">
        <v>7237072</v>
      </c>
      <c r="K110" s="174">
        <v>236072</v>
      </c>
      <c r="L110" s="174">
        <v>0</v>
      </c>
      <c r="M110" s="174">
        <f t="shared" si="9"/>
        <v>7237072</v>
      </c>
      <c r="N110" s="174">
        <f t="shared" si="10"/>
        <v>-16240</v>
      </c>
      <c r="O110" s="174">
        <f t="shared" si="10"/>
        <v>24000</v>
      </c>
      <c r="P110" s="174">
        <f t="shared" si="10"/>
        <v>0</v>
      </c>
      <c r="Q110" s="174">
        <f t="shared" si="10"/>
        <v>-16240</v>
      </c>
    </row>
    <row r="111" spans="1:17" s="175" customFormat="1" ht="20.100000000000001" customHeight="1">
      <c r="A111" s="176" t="s">
        <v>9</v>
      </c>
      <c r="B111" s="171" t="s">
        <v>1049</v>
      </c>
      <c r="C111" s="91">
        <v>14</v>
      </c>
      <c r="D111" s="91" t="s">
        <v>992</v>
      </c>
      <c r="E111" s="91" t="s">
        <v>994</v>
      </c>
      <c r="F111" s="86">
        <v>5271024</v>
      </c>
      <c r="G111" s="86">
        <v>244784</v>
      </c>
      <c r="H111" s="121"/>
      <c r="I111" s="121">
        <f t="shared" si="8"/>
        <v>5271024</v>
      </c>
      <c r="J111" s="121">
        <v>5301576</v>
      </c>
      <c r="K111" s="174">
        <v>220784</v>
      </c>
      <c r="L111" s="174">
        <v>0</v>
      </c>
      <c r="M111" s="174">
        <f t="shared" si="9"/>
        <v>5301576</v>
      </c>
      <c r="N111" s="174">
        <f t="shared" si="10"/>
        <v>-30552</v>
      </c>
      <c r="O111" s="174">
        <f t="shared" si="10"/>
        <v>24000</v>
      </c>
      <c r="P111" s="174">
        <f t="shared" si="10"/>
        <v>0</v>
      </c>
      <c r="Q111" s="174">
        <f t="shared" si="10"/>
        <v>-30552</v>
      </c>
    </row>
    <row r="112" spans="1:17" s="175" customFormat="1" ht="20.100000000000001" customHeight="1">
      <c r="A112" s="176" t="s">
        <v>9</v>
      </c>
      <c r="B112" s="171" t="s">
        <v>1050</v>
      </c>
      <c r="C112" s="91">
        <v>15</v>
      </c>
      <c r="D112" s="91" t="s">
        <v>992</v>
      </c>
      <c r="E112" s="91" t="s">
        <v>994</v>
      </c>
      <c r="F112" s="86">
        <v>2768003</v>
      </c>
      <c r="G112" s="86">
        <v>228116</v>
      </c>
      <c r="H112" s="121"/>
      <c r="I112" s="121">
        <f t="shared" si="8"/>
        <v>2768003</v>
      </c>
      <c r="J112" s="121">
        <v>2777016</v>
      </c>
      <c r="K112" s="174">
        <v>204066</v>
      </c>
      <c r="L112" s="174">
        <v>0</v>
      </c>
      <c r="M112" s="174">
        <f t="shared" si="9"/>
        <v>2777016</v>
      </c>
      <c r="N112" s="174">
        <f t="shared" si="10"/>
        <v>-9013</v>
      </c>
      <c r="O112" s="174">
        <f t="shared" si="10"/>
        <v>24050</v>
      </c>
      <c r="P112" s="174">
        <f t="shared" si="10"/>
        <v>0</v>
      </c>
      <c r="Q112" s="174">
        <f t="shared" si="10"/>
        <v>-9013</v>
      </c>
    </row>
    <row r="113" spans="1:17" s="175" customFormat="1" ht="20.100000000000001" customHeight="1">
      <c r="A113" s="176"/>
      <c r="B113" s="171" t="s">
        <v>1051</v>
      </c>
      <c r="C113" s="91"/>
      <c r="D113" s="91"/>
      <c r="E113" s="91"/>
      <c r="F113" s="86">
        <f>SUM(F98:F112)</f>
        <v>194873490</v>
      </c>
      <c r="G113" s="86">
        <f t="shared" ref="G113:Q113" si="14">SUM(G98:G112)</f>
        <v>5660091</v>
      </c>
      <c r="H113" s="86">
        <f t="shared" si="14"/>
        <v>10080952.5</v>
      </c>
      <c r="I113" s="86">
        <f t="shared" si="14"/>
        <v>204954442.5</v>
      </c>
      <c r="J113" s="86">
        <f t="shared" si="14"/>
        <v>196895828</v>
      </c>
      <c r="K113" s="86">
        <f t="shared" si="14"/>
        <v>5133034</v>
      </c>
      <c r="L113" s="86">
        <f t="shared" si="14"/>
        <v>11242766.75</v>
      </c>
      <c r="M113" s="86">
        <f t="shared" si="14"/>
        <v>208138594.75</v>
      </c>
      <c r="N113" s="86">
        <f t="shared" si="14"/>
        <v>-2022338</v>
      </c>
      <c r="O113" s="86">
        <f t="shared" si="14"/>
        <v>527057</v>
      </c>
      <c r="P113" s="86">
        <f t="shared" si="14"/>
        <v>-1161814.25</v>
      </c>
      <c r="Q113" s="86">
        <f t="shared" si="14"/>
        <v>-3184152.25</v>
      </c>
    </row>
    <row r="114" spans="1:17" s="175" customFormat="1" ht="20.100000000000001" customHeight="1">
      <c r="A114" s="176" t="s">
        <v>10</v>
      </c>
      <c r="B114" s="91" t="s">
        <v>654</v>
      </c>
      <c r="C114" s="91">
        <v>1</v>
      </c>
      <c r="D114" s="91" t="s">
        <v>990</v>
      </c>
      <c r="E114" s="91" t="s">
        <v>1001</v>
      </c>
      <c r="F114" s="86">
        <v>13738156</v>
      </c>
      <c r="G114" s="86">
        <v>569984</v>
      </c>
      <c r="H114" s="121">
        <v>1056336</v>
      </c>
      <c r="I114" s="121">
        <f t="shared" si="8"/>
        <v>14794492</v>
      </c>
      <c r="J114" s="121">
        <v>14003614</v>
      </c>
      <c r="K114" s="174">
        <v>521984</v>
      </c>
      <c r="L114" s="174">
        <v>1205097</v>
      </c>
      <c r="M114" s="174">
        <f t="shared" si="9"/>
        <v>15208711</v>
      </c>
      <c r="N114" s="174">
        <f t="shared" si="10"/>
        <v>-265458</v>
      </c>
      <c r="O114" s="174">
        <f t="shared" si="10"/>
        <v>48000</v>
      </c>
      <c r="P114" s="174">
        <f t="shared" si="10"/>
        <v>-148761</v>
      </c>
      <c r="Q114" s="174">
        <f t="shared" si="10"/>
        <v>-414219</v>
      </c>
    </row>
    <row r="115" spans="1:17" s="175" customFormat="1" ht="20.100000000000001" customHeight="1">
      <c r="A115" s="176" t="s">
        <v>10</v>
      </c>
      <c r="B115" s="91" t="s">
        <v>221</v>
      </c>
      <c r="C115" s="91">
        <v>2</v>
      </c>
      <c r="D115" s="91" t="s">
        <v>990</v>
      </c>
      <c r="E115" s="91" t="s">
        <v>1001</v>
      </c>
      <c r="F115" s="86">
        <v>10975865</v>
      </c>
      <c r="G115" s="86">
        <v>267092</v>
      </c>
      <c r="H115" s="121">
        <v>1006552</v>
      </c>
      <c r="I115" s="121">
        <f t="shared" si="8"/>
        <v>11982417</v>
      </c>
      <c r="J115" s="121">
        <v>11242338</v>
      </c>
      <c r="K115" s="174">
        <v>229592</v>
      </c>
      <c r="L115" s="174">
        <v>1008561.75</v>
      </c>
      <c r="M115" s="174">
        <f t="shared" si="9"/>
        <v>12250899.75</v>
      </c>
      <c r="N115" s="174">
        <f t="shared" si="10"/>
        <v>-266473</v>
      </c>
      <c r="O115" s="174">
        <f t="shared" si="10"/>
        <v>37500</v>
      </c>
      <c r="P115" s="174">
        <f t="shared" si="10"/>
        <v>-2009.75</v>
      </c>
      <c r="Q115" s="174">
        <f t="shared" si="10"/>
        <v>-268482.75</v>
      </c>
    </row>
    <row r="116" spans="1:17" s="175" customFormat="1" ht="20.100000000000001" customHeight="1">
      <c r="A116" s="176" t="s">
        <v>10</v>
      </c>
      <c r="B116" s="178" t="s">
        <v>1052</v>
      </c>
      <c r="C116" s="91">
        <v>3</v>
      </c>
      <c r="D116" s="91" t="s">
        <v>990</v>
      </c>
      <c r="E116" s="91" t="s">
        <v>991</v>
      </c>
      <c r="F116" s="86">
        <v>19042578</v>
      </c>
      <c r="G116" s="86">
        <v>377302</v>
      </c>
      <c r="H116" s="121">
        <v>1440208.25</v>
      </c>
      <c r="I116" s="121">
        <f t="shared" si="8"/>
        <v>20482786.25</v>
      </c>
      <c r="J116" s="121">
        <v>20216485</v>
      </c>
      <c r="K116" s="174">
        <v>331802</v>
      </c>
      <c r="L116" s="174">
        <v>1527286.5</v>
      </c>
      <c r="M116" s="174">
        <f t="shared" si="9"/>
        <v>21743771.5</v>
      </c>
      <c r="N116" s="174">
        <f t="shared" si="10"/>
        <v>-1173907</v>
      </c>
      <c r="O116" s="174">
        <f t="shared" si="10"/>
        <v>45500</v>
      </c>
      <c r="P116" s="174">
        <f t="shared" si="10"/>
        <v>-87078.25</v>
      </c>
      <c r="Q116" s="174">
        <f t="shared" si="10"/>
        <v>-1260985.25</v>
      </c>
    </row>
    <row r="117" spans="1:17" s="175" customFormat="1" ht="20.100000000000001" customHeight="1">
      <c r="A117" s="176"/>
      <c r="B117" s="178" t="s">
        <v>1053</v>
      </c>
      <c r="C117" s="91"/>
      <c r="D117" s="91"/>
      <c r="E117" s="91"/>
      <c r="F117" s="86">
        <v>276502</v>
      </c>
      <c r="G117" s="86">
        <v>82315</v>
      </c>
      <c r="H117" s="121"/>
      <c r="I117" s="121">
        <f t="shared" si="8"/>
        <v>276502</v>
      </c>
      <c r="J117" s="121">
        <v>336608</v>
      </c>
      <c r="K117" s="174">
        <v>72315</v>
      </c>
      <c r="L117" s="174">
        <v>0</v>
      </c>
      <c r="M117" s="174">
        <f t="shared" si="9"/>
        <v>336608</v>
      </c>
      <c r="N117" s="174">
        <f t="shared" si="10"/>
        <v>-60106</v>
      </c>
      <c r="O117" s="174">
        <f t="shared" si="10"/>
        <v>10000</v>
      </c>
      <c r="P117" s="174">
        <f t="shared" si="10"/>
        <v>0</v>
      </c>
      <c r="Q117" s="174">
        <f t="shared" si="10"/>
        <v>-60106</v>
      </c>
    </row>
    <row r="118" spans="1:17" s="175" customFormat="1" ht="20.100000000000001" customHeight="1">
      <c r="A118" s="176" t="s">
        <v>10</v>
      </c>
      <c r="B118" s="91" t="s">
        <v>222</v>
      </c>
      <c r="C118" s="91">
        <v>4</v>
      </c>
      <c r="D118" s="91" t="s">
        <v>990</v>
      </c>
      <c r="E118" s="91" t="s">
        <v>998</v>
      </c>
      <c r="F118" s="86">
        <v>14791825</v>
      </c>
      <c r="G118" s="86">
        <v>320833</v>
      </c>
      <c r="H118" s="121">
        <v>814773</v>
      </c>
      <c r="I118" s="121">
        <f t="shared" si="8"/>
        <v>15606598</v>
      </c>
      <c r="J118" s="121">
        <v>14834541</v>
      </c>
      <c r="K118" s="174">
        <v>296833</v>
      </c>
      <c r="L118" s="174">
        <v>887638</v>
      </c>
      <c r="M118" s="174">
        <f t="shared" si="9"/>
        <v>15722179</v>
      </c>
      <c r="N118" s="174">
        <f t="shared" si="10"/>
        <v>-42716</v>
      </c>
      <c r="O118" s="174">
        <f t="shared" si="10"/>
        <v>24000</v>
      </c>
      <c r="P118" s="174">
        <f t="shared" si="10"/>
        <v>-72865</v>
      </c>
      <c r="Q118" s="174">
        <f t="shared" si="10"/>
        <v>-115581</v>
      </c>
    </row>
    <row r="119" spans="1:17" s="175" customFormat="1" ht="20.100000000000001" customHeight="1">
      <c r="A119" s="176" t="s">
        <v>10</v>
      </c>
      <c r="B119" s="91" t="s">
        <v>223</v>
      </c>
      <c r="C119" s="91">
        <v>5</v>
      </c>
      <c r="D119" s="91" t="s">
        <v>990</v>
      </c>
      <c r="E119" s="91" t="s">
        <v>998</v>
      </c>
      <c r="F119" s="86">
        <v>12476965</v>
      </c>
      <c r="G119" s="86">
        <v>263382</v>
      </c>
      <c r="H119" s="121">
        <v>562512.75</v>
      </c>
      <c r="I119" s="121">
        <f t="shared" si="8"/>
        <v>13039477.75</v>
      </c>
      <c r="J119" s="121">
        <v>12781963</v>
      </c>
      <c r="K119" s="174">
        <v>239382</v>
      </c>
      <c r="L119" s="174">
        <v>638382.5</v>
      </c>
      <c r="M119" s="174">
        <f t="shared" si="9"/>
        <v>13420345.5</v>
      </c>
      <c r="N119" s="174">
        <f t="shared" si="10"/>
        <v>-304998</v>
      </c>
      <c r="O119" s="174">
        <f t="shared" si="10"/>
        <v>24000</v>
      </c>
      <c r="P119" s="174">
        <f t="shared" si="10"/>
        <v>-75869.75</v>
      </c>
      <c r="Q119" s="174">
        <f t="shared" si="10"/>
        <v>-380867.75</v>
      </c>
    </row>
    <row r="120" spans="1:17" s="175" customFormat="1" ht="20.100000000000001" customHeight="1">
      <c r="A120" s="176" t="s">
        <v>10</v>
      </c>
      <c r="B120" s="91" t="s">
        <v>824</v>
      </c>
      <c r="C120" s="91">
        <v>6</v>
      </c>
      <c r="D120" s="91" t="s">
        <v>992</v>
      </c>
      <c r="E120" s="91" t="s">
        <v>993</v>
      </c>
      <c r="F120" s="86">
        <v>191040</v>
      </c>
      <c r="G120" s="86">
        <v>0</v>
      </c>
      <c r="H120" s="121"/>
      <c r="I120" s="121">
        <f t="shared" si="8"/>
        <v>191040</v>
      </c>
      <c r="J120" s="121">
        <v>198526</v>
      </c>
      <c r="K120" s="174">
        <v>0</v>
      </c>
      <c r="L120" s="174">
        <v>0</v>
      </c>
      <c r="M120" s="174">
        <f t="shared" si="9"/>
        <v>198526</v>
      </c>
      <c r="N120" s="174">
        <f t="shared" si="10"/>
        <v>-7486</v>
      </c>
      <c r="O120" s="174">
        <f t="shared" si="10"/>
        <v>0</v>
      </c>
      <c r="P120" s="174">
        <f t="shared" si="10"/>
        <v>0</v>
      </c>
      <c r="Q120" s="174">
        <f t="shared" si="10"/>
        <v>-7486</v>
      </c>
    </row>
    <row r="121" spans="1:17" s="175" customFormat="1" ht="20.100000000000001" customHeight="1">
      <c r="A121" s="176" t="s">
        <v>10</v>
      </c>
      <c r="B121" s="91" t="s">
        <v>652</v>
      </c>
      <c r="C121" s="91">
        <v>7</v>
      </c>
      <c r="D121" s="91" t="s">
        <v>992</v>
      </c>
      <c r="E121" s="91" t="s">
        <v>994</v>
      </c>
      <c r="F121" s="86">
        <v>8994253</v>
      </c>
      <c r="G121" s="86">
        <v>246824</v>
      </c>
      <c r="H121" s="121"/>
      <c r="I121" s="121">
        <f t="shared" si="8"/>
        <v>8994253</v>
      </c>
      <c r="J121" s="121">
        <v>9004264</v>
      </c>
      <c r="K121" s="174">
        <v>222824</v>
      </c>
      <c r="L121" s="174">
        <v>0</v>
      </c>
      <c r="M121" s="174">
        <f t="shared" si="9"/>
        <v>9004264</v>
      </c>
      <c r="N121" s="174">
        <f t="shared" si="10"/>
        <v>-10011</v>
      </c>
      <c r="O121" s="174">
        <f t="shared" si="10"/>
        <v>24000</v>
      </c>
      <c r="P121" s="174">
        <f t="shared" si="10"/>
        <v>0</v>
      </c>
      <c r="Q121" s="174">
        <f t="shared" si="10"/>
        <v>-10011</v>
      </c>
    </row>
    <row r="122" spans="1:17" s="175" customFormat="1" ht="20.100000000000001" customHeight="1">
      <c r="A122" s="176" t="s">
        <v>10</v>
      </c>
      <c r="B122" s="91" t="s">
        <v>1054</v>
      </c>
      <c r="C122" s="91">
        <v>8</v>
      </c>
      <c r="D122" s="91" t="s">
        <v>992</v>
      </c>
      <c r="E122" s="91" t="s">
        <v>1055</v>
      </c>
      <c r="F122" s="86">
        <v>7888578</v>
      </c>
      <c r="G122" s="86">
        <v>267476</v>
      </c>
      <c r="H122" s="121"/>
      <c r="I122" s="121">
        <f t="shared" si="8"/>
        <v>7888578</v>
      </c>
      <c r="J122" s="121">
        <v>7741984</v>
      </c>
      <c r="K122" s="174">
        <v>243476</v>
      </c>
      <c r="L122" s="174">
        <v>0</v>
      </c>
      <c r="M122" s="174">
        <f t="shared" si="9"/>
        <v>7741984</v>
      </c>
      <c r="N122" s="174">
        <f t="shared" si="10"/>
        <v>146594</v>
      </c>
      <c r="O122" s="174">
        <f t="shared" si="10"/>
        <v>24000</v>
      </c>
      <c r="P122" s="174">
        <f t="shared" si="10"/>
        <v>0</v>
      </c>
      <c r="Q122" s="174">
        <f t="shared" si="10"/>
        <v>146594</v>
      </c>
    </row>
    <row r="123" spans="1:17" s="175" customFormat="1" ht="20.100000000000001" customHeight="1">
      <c r="A123" s="176" t="s">
        <v>10</v>
      </c>
      <c r="B123" s="91" t="s">
        <v>650</v>
      </c>
      <c r="C123" s="91">
        <v>9</v>
      </c>
      <c r="D123" s="91" t="s">
        <v>992</v>
      </c>
      <c r="E123" s="91" t="s">
        <v>994</v>
      </c>
      <c r="F123" s="86">
        <v>6329564</v>
      </c>
      <c r="G123" s="86">
        <v>270884</v>
      </c>
      <c r="H123" s="121"/>
      <c r="I123" s="121">
        <f t="shared" si="8"/>
        <v>6329564</v>
      </c>
      <c r="J123" s="121">
        <v>6227248</v>
      </c>
      <c r="K123" s="174">
        <v>246884</v>
      </c>
      <c r="L123" s="174">
        <v>0</v>
      </c>
      <c r="M123" s="174">
        <f t="shared" si="9"/>
        <v>6227248</v>
      </c>
      <c r="N123" s="174">
        <f t="shared" si="10"/>
        <v>102316</v>
      </c>
      <c r="O123" s="174">
        <f t="shared" si="10"/>
        <v>24000</v>
      </c>
      <c r="P123" s="174">
        <f t="shared" si="10"/>
        <v>0</v>
      </c>
      <c r="Q123" s="174">
        <f t="shared" si="10"/>
        <v>102316</v>
      </c>
    </row>
    <row r="124" spans="1:17" s="175" customFormat="1" ht="20.100000000000001" customHeight="1">
      <c r="A124" s="176" t="s">
        <v>10</v>
      </c>
      <c r="B124" s="91" t="s">
        <v>648</v>
      </c>
      <c r="C124" s="91">
        <v>10</v>
      </c>
      <c r="D124" s="91" t="s">
        <v>992</v>
      </c>
      <c r="E124" s="91" t="s">
        <v>994</v>
      </c>
      <c r="F124" s="86">
        <v>7704736</v>
      </c>
      <c r="G124" s="86">
        <v>279416</v>
      </c>
      <c r="H124" s="121"/>
      <c r="I124" s="121">
        <f t="shared" si="8"/>
        <v>7704736</v>
      </c>
      <c r="J124" s="121">
        <v>7573680</v>
      </c>
      <c r="K124" s="174">
        <v>255416</v>
      </c>
      <c r="L124" s="174">
        <v>0</v>
      </c>
      <c r="M124" s="174">
        <f t="shared" si="9"/>
        <v>7573680</v>
      </c>
      <c r="N124" s="174">
        <f t="shared" si="10"/>
        <v>131056</v>
      </c>
      <c r="O124" s="174">
        <f t="shared" si="10"/>
        <v>24000</v>
      </c>
      <c r="P124" s="174">
        <f t="shared" si="10"/>
        <v>0</v>
      </c>
      <c r="Q124" s="174">
        <f t="shared" si="10"/>
        <v>131056</v>
      </c>
    </row>
    <row r="125" spans="1:17" s="181" customFormat="1" ht="20.100000000000001" customHeight="1">
      <c r="A125" s="173"/>
      <c r="B125" s="179" t="s">
        <v>1056</v>
      </c>
      <c r="C125" s="173"/>
      <c r="D125" s="173"/>
      <c r="E125" s="173"/>
      <c r="F125" s="180">
        <f>SUM(F114:F124)</f>
        <v>102410062</v>
      </c>
      <c r="G125" s="121">
        <f t="shared" ref="G125:Q125" si="15">SUM(G114:G124)</f>
        <v>2945508</v>
      </c>
      <c r="H125" s="121">
        <f t="shared" si="15"/>
        <v>4880382</v>
      </c>
      <c r="I125" s="121">
        <f t="shared" si="15"/>
        <v>107290444</v>
      </c>
      <c r="J125" s="121">
        <f t="shared" si="15"/>
        <v>104161251</v>
      </c>
      <c r="K125" s="121">
        <f t="shared" si="15"/>
        <v>2660508</v>
      </c>
      <c r="L125" s="121">
        <f t="shared" si="15"/>
        <v>5266965.75</v>
      </c>
      <c r="M125" s="121">
        <f t="shared" si="15"/>
        <v>109428216.75</v>
      </c>
      <c r="N125" s="121">
        <f t="shared" si="15"/>
        <v>-1751189</v>
      </c>
      <c r="O125" s="121">
        <f t="shared" si="15"/>
        <v>285000</v>
      </c>
      <c r="P125" s="121">
        <f t="shared" si="15"/>
        <v>-386583.75</v>
      </c>
      <c r="Q125" s="121">
        <f t="shared" si="15"/>
        <v>-2137772.75</v>
      </c>
    </row>
    <row r="126" spans="1:17" s="175" customFormat="1" ht="20.100000000000001" customHeight="1">
      <c r="A126" s="176"/>
      <c r="B126" s="179" t="s">
        <v>1057</v>
      </c>
      <c r="C126" s="176"/>
      <c r="D126" s="176"/>
      <c r="E126" s="176"/>
      <c r="F126" s="121">
        <f t="shared" ref="F126:Q126" si="16">SUM(F125,F113,F97,F87,F74,F57,F37,F16,F9)</f>
        <v>1320730862</v>
      </c>
      <c r="G126" s="121">
        <f t="shared" si="16"/>
        <v>34691780</v>
      </c>
      <c r="H126" s="121">
        <f t="shared" si="16"/>
        <v>63302302.130000003</v>
      </c>
      <c r="I126" s="121">
        <f t="shared" si="16"/>
        <v>1384033164.1300001</v>
      </c>
      <c r="J126" s="121">
        <f t="shared" si="16"/>
        <v>1334440417</v>
      </c>
      <c r="K126" s="121">
        <f t="shared" si="16"/>
        <v>31421278</v>
      </c>
      <c r="L126" s="121">
        <f t="shared" si="16"/>
        <v>71337944.200000003</v>
      </c>
      <c r="M126" s="121">
        <f t="shared" si="16"/>
        <v>1405778361.2</v>
      </c>
      <c r="N126" s="121">
        <f t="shared" si="16"/>
        <v>-13709555</v>
      </c>
      <c r="O126" s="121">
        <f t="shared" si="16"/>
        <v>3270502</v>
      </c>
      <c r="P126" s="121">
        <f t="shared" si="16"/>
        <v>-8035642.0700000003</v>
      </c>
      <c r="Q126" s="121">
        <f t="shared" si="16"/>
        <v>-21745197.070000004</v>
      </c>
    </row>
    <row r="127" spans="1:17">
      <c r="M127" s="182"/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D7"/>
  <sheetViews>
    <sheetView workbookViewId="0">
      <selection activeCell="C16" sqref="C16"/>
    </sheetView>
  </sheetViews>
  <sheetFormatPr defaultRowHeight="13.5" outlineLevelRow="2"/>
  <cols>
    <col min="1" max="1" width="28.125" customWidth="1"/>
    <col min="2" max="2" width="21.25" customWidth="1"/>
    <col min="3" max="3" width="15.875" customWidth="1"/>
    <col min="4" max="4" width="16.25" customWidth="1"/>
    <col min="11" max="11" width="9.5" bestFit="1" customWidth="1"/>
  </cols>
  <sheetData>
    <row r="1" spans="1:4" ht="30" customHeight="1">
      <c r="A1" s="373" t="s">
        <v>1240</v>
      </c>
      <c r="B1" s="374"/>
      <c r="C1" s="374"/>
      <c r="D1" s="374"/>
    </row>
    <row r="2" spans="1:4" s="183" customFormat="1" ht="30" customHeight="1">
      <c r="A2" s="222" t="s">
        <v>1234</v>
      </c>
      <c r="B2" s="224" t="s">
        <v>253</v>
      </c>
      <c r="C2" s="223" t="s">
        <v>1235</v>
      </c>
      <c r="D2" s="223" t="s">
        <v>1236</v>
      </c>
    </row>
    <row r="3" spans="1:4" s="183" customFormat="1" ht="30" customHeight="1" outlineLevel="2">
      <c r="A3" s="223" t="s">
        <v>1237</v>
      </c>
      <c r="B3" s="223" t="s">
        <v>1238</v>
      </c>
      <c r="C3" s="223">
        <v>9600</v>
      </c>
      <c r="D3" s="223">
        <v>0</v>
      </c>
    </row>
    <row r="4" spans="1:4" s="183" customFormat="1" ht="30" customHeight="1" outlineLevel="1">
      <c r="A4" s="223"/>
      <c r="B4" s="225" t="s">
        <v>256</v>
      </c>
      <c r="C4" s="223">
        <f>SUBTOTAL(9,C3:C3)</f>
        <v>9600</v>
      </c>
      <c r="D4" s="223">
        <f>SUBTOTAL(9,D3:D3)</f>
        <v>0</v>
      </c>
    </row>
    <row r="5" spans="1:4" s="183" customFormat="1" ht="30" customHeight="1" outlineLevel="2">
      <c r="A5" s="223" t="s">
        <v>802</v>
      </c>
      <c r="B5" s="223" t="s">
        <v>1239</v>
      </c>
      <c r="C5" s="223">
        <v>40000</v>
      </c>
      <c r="D5" s="223">
        <v>0</v>
      </c>
    </row>
    <row r="6" spans="1:4" s="183" customFormat="1" ht="30" customHeight="1" outlineLevel="1">
      <c r="A6" s="223"/>
      <c r="B6" s="223" t="s">
        <v>260</v>
      </c>
      <c r="C6" s="223">
        <f>SUBTOTAL(9,C5:C5)</f>
        <v>40000</v>
      </c>
      <c r="D6" s="223">
        <f>SUBTOTAL(9,D5:D5)</f>
        <v>0</v>
      </c>
    </row>
    <row r="7" spans="1:4" s="183" customFormat="1" ht="30" customHeight="1">
      <c r="A7" s="223"/>
      <c r="B7" s="223" t="s">
        <v>252</v>
      </c>
      <c r="C7" s="223">
        <f>SUBTOTAL(9,C3:C5)</f>
        <v>49600</v>
      </c>
      <c r="D7" s="223">
        <f>SUBTOTAL(9,D3:D5)</f>
        <v>0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L50"/>
  <sheetViews>
    <sheetView topLeftCell="B28" workbookViewId="0">
      <selection activeCell="L53" sqref="L53"/>
    </sheetView>
  </sheetViews>
  <sheetFormatPr defaultRowHeight="14.25"/>
  <cols>
    <col min="1" max="1" width="0" style="195" hidden="1" customWidth="1"/>
    <col min="2" max="2" width="28.5" style="195" customWidth="1"/>
    <col min="3" max="3" width="10.25" style="195" customWidth="1"/>
    <col min="4" max="4" width="7.5" style="195" customWidth="1"/>
    <col min="5" max="5" width="21.375" style="195" customWidth="1"/>
    <col min="6" max="6" width="13.625" style="195" customWidth="1"/>
    <col min="7" max="7" width="9" style="195"/>
    <col min="8" max="8" width="6.375" style="195" customWidth="1"/>
    <col min="9" max="9" width="6.75" style="195" customWidth="1"/>
    <col min="10" max="10" width="12.5" style="220" customWidth="1"/>
    <col min="11" max="11" width="9" style="195"/>
    <col min="12" max="12" width="21.25" style="195" customWidth="1"/>
    <col min="13" max="16384" width="9" style="195"/>
  </cols>
  <sheetData>
    <row r="1" spans="1:10" ht="18.75">
      <c r="A1" s="375" t="s">
        <v>1076</v>
      </c>
      <c r="B1" s="375"/>
      <c r="C1" s="375"/>
      <c r="D1" s="375"/>
      <c r="E1" s="375"/>
      <c r="F1" s="375"/>
      <c r="G1" s="375"/>
      <c r="H1" s="375"/>
      <c r="I1" s="375"/>
      <c r="J1" s="375"/>
    </row>
    <row r="2" spans="1:10" s="199" customFormat="1" ht="85.5">
      <c r="A2" s="196" t="s">
        <v>12</v>
      </c>
      <c r="B2" s="196" t="s">
        <v>1077</v>
      </c>
      <c r="C2" s="196" t="s">
        <v>1078</v>
      </c>
      <c r="D2" s="196" t="s">
        <v>1079</v>
      </c>
      <c r="E2" s="197" t="s">
        <v>1080</v>
      </c>
      <c r="F2" s="198" t="s">
        <v>1081</v>
      </c>
      <c r="G2" s="196" t="s">
        <v>1082</v>
      </c>
      <c r="H2" s="196" t="s">
        <v>1083</v>
      </c>
      <c r="I2" s="196" t="s">
        <v>1084</v>
      </c>
      <c r="J2" s="197" t="s">
        <v>1085</v>
      </c>
    </row>
    <row r="3" spans="1:10" s="199" customFormat="1">
      <c r="A3" s="200">
        <v>3</v>
      </c>
      <c r="B3" s="201" t="s">
        <v>167</v>
      </c>
      <c r="C3" s="201" t="s">
        <v>1086</v>
      </c>
      <c r="D3" s="200" t="s">
        <v>1087</v>
      </c>
      <c r="E3" s="202" t="s">
        <v>1088</v>
      </c>
      <c r="F3" s="203">
        <v>43831</v>
      </c>
      <c r="G3" s="200" t="s">
        <v>1089</v>
      </c>
      <c r="H3" s="200" t="s">
        <v>1090</v>
      </c>
      <c r="I3" s="200" t="s">
        <v>1091</v>
      </c>
      <c r="J3" s="204">
        <v>32412</v>
      </c>
    </row>
    <row r="4" spans="1:10" s="199" customFormat="1">
      <c r="A4" s="200"/>
      <c r="B4" s="201"/>
      <c r="C4" s="201" t="s">
        <v>1092</v>
      </c>
      <c r="D4" s="200"/>
      <c r="E4" s="202"/>
      <c r="F4" s="203"/>
      <c r="G4" s="200"/>
      <c r="H4" s="200"/>
      <c r="I4" s="200"/>
      <c r="J4" s="204">
        <f>J3</f>
        <v>32412</v>
      </c>
    </row>
    <row r="5" spans="1:10" s="199" customFormat="1">
      <c r="A5" s="200">
        <v>4</v>
      </c>
      <c r="B5" s="201" t="s">
        <v>716</v>
      </c>
      <c r="C5" s="201" t="s">
        <v>1093</v>
      </c>
      <c r="D5" s="200" t="s">
        <v>1094</v>
      </c>
      <c r="E5" s="201" t="s">
        <v>1095</v>
      </c>
      <c r="F5" s="203">
        <v>42125</v>
      </c>
      <c r="G5" s="200" t="s">
        <v>1089</v>
      </c>
      <c r="H5" s="200" t="s">
        <v>1096</v>
      </c>
      <c r="I5" s="200" t="s">
        <v>1097</v>
      </c>
      <c r="J5" s="205">
        <v>136968.69</v>
      </c>
    </row>
    <row r="6" spans="1:10" s="199" customFormat="1">
      <c r="A6" s="200">
        <v>5</v>
      </c>
      <c r="B6" s="201" t="s">
        <v>716</v>
      </c>
      <c r="C6" s="201" t="s">
        <v>1093</v>
      </c>
      <c r="D6" s="200" t="s">
        <v>1098</v>
      </c>
      <c r="E6" s="201" t="s">
        <v>1099</v>
      </c>
      <c r="F6" s="203">
        <v>43374</v>
      </c>
      <c r="G6" s="200" t="s">
        <v>1089</v>
      </c>
      <c r="H6" s="200" t="s">
        <v>1100</v>
      </c>
      <c r="I6" s="200" t="s">
        <v>1101</v>
      </c>
      <c r="J6" s="205">
        <v>126591.16</v>
      </c>
    </row>
    <row r="7" spans="1:10" s="199" customFormat="1">
      <c r="A7" s="200"/>
      <c r="B7" s="201"/>
      <c r="C7" s="201" t="s">
        <v>1102</v>
      </c>
      <c r="D7" s="200"/>
      <c r="E7" s="201"/>
      <c r="F7" s="203"/>
      <c r="G7" s="200"/>
      <c r="H7" s="200"/>
      <c r="I7" s="200"/>
      <c r="J7" s="205">
        <f>SUM(J5:J6)</f>
        <v>263559.84999999998</v>
      </c>
    </row>
    <row r="8" spans="1:10" s="199" customFormat="1">
      <c r="A8" s="200">
        <v>6</v>
      </c>
      <c r="B8" s="201" t="s">
        <v>1002</v>
      </c>
      <c r="C8" s="201" t="s">
        <v>1103</v>
      </c>
      <c r="D8" s="200" t="s">
        <v>1104</v>
      </c>
      <c r="E8" s="201" t="s">
        <v>1105</v>
      </c>
      <c r="F8" s="203">
        <v>43160</v>
      </c>
      <c r="G8" s="200" t="s">
        <v>1089</v>
      </c>
      <c r="H8" s="200" t="s">
        <v>1106</v>
      </c>
      <c r="I8" s="200" t="s">
        <v>1107</v>
      </c>
      <c r="J8" s="204">
        <v>157133.14000000001</v>
      </c>
    </row>
    <row r="9" spans="1:10" s="199" customFormat="1">
      <c r="A9" s="200">
        <v>7</v>
      </c>
      <c r="B9" s="201" t="s">
        <v>1005</v>
      </c>
      <c r="C9" s="201" t="s">
        <v>1103</v>
      </c>
      <c r="D9" s="200" t="s">
        <v>1108</v>
      </c>
      <c r="E9" s="202" t="s">
        <v>1109</v>
      </c>
      <c r="F9" s="203">
        <v>43525</v>
      </c>
      <c r="G9" s="200" t="s">
        <v>1089</v>
      </c>
      <c r="H9" s="200" t="s">
        <v>1110</v>
      </c>
      <c r="I9" s="200" t="s">
        <v>1111</v>
      </c>
      <c r="J9" s="204">
        <v>372457.01</v>
      </c>
    </row>
    <row r="10" spans="1:10" s="199" customFormat="1">
      <c r="A10" s="200"/>
      <c r="B10" s="201"/>
      <c r="C10" s="201" t="s">
        <v>1112</v>
      </c>
      <c r="D10" s="200"/>
      <c r="E10" s="202"/>
      <c r="F10" s="203"/>
      <c r="G10" s="200"/>
      <c r="H10" s="200"/>
      <c r="I10" s="200"/>
      <c r="J10" s="204">
        <f>SUM(J8:J9)</f>
        <v>529590.15</v>
      </c>
    </row>
    <row r="11" spans="1:10" s="199" customFormat="1" ht="54">
      <c r="A11" s="200">
        <v>8</v>
      </c>
      <c r="B11" s="201" t="s">
        <v>1013</v>
      </c>
      <c r="C11" s="201" t="s">
        <v>1113</v>
      </c>
      <c r="D11" s="206" t="s">
        <v>1114</v>
      </c>
      <c r="E11" s="202" t="s">
        <v>1115</v>
      </c>
      <c r="F11" s="203">
        <v>42826</v>
      </c>
      <c r="G11" s="200" t="s">
        <v>1089</v>
      </c>
      <c r="H11" s="201" t="s">
        <v>1116</v>
      </c>
      <c r="I11" s="200" t="s">
        <v>1117</v>
      </c>
      <c r="J11" s="205">
        <v>29639.82</v>
      </c>
    </row>
    <row r="12" spans="1:10" s="199" customFormat="1" ht="54">
      <c r="A12" s="200">
        <v>9</v>
      </c>
      <c r="B12" s="201" t="s">
        <v>1013</v>
      </c>
      <c r="C12" s="201" t="s">
        <v>1113</v>
      </c>
      <c r="D12" s="206" t="s">
        <v>1118</v>
      </c>
      <c r="E12" s="202" t="s">
        <v>1119</v>
      </c>
      <c r="F12" s="203">
        <v>43466</v>
      </c>
      <c r="G12" s="200" t="s">
        <v>1089</v>
      </c>
      <c r="H12" s="201" t="s">
        <v>1120</v>
      </c>
      <c r="I12" s="200" t="s">
        <v>1121</v>
      </c>
      <c r="J12" s="205">
        <v>65273.27</v>
      </c>
    </row>
    <row r="13" spans="1:10" s="199" customFormat="1">
      <c r="A13" s="200"/>
      <c r="B13" s="201"/>
      <c r="C13" s="201" t="s">
        <v>1122</v>
      </c>
      <c r="D13" s="206"/>
      <c r="E13" s="202"/>
      <c r="F13" s="203"/>
      <c r="G13" s="200"/>
      <c r="H13" s="201"/>
      <c r="I13" s="200"/>
      <c r="J13" s="205">
        <f>SUM(J11:J12)</f>
        <v>94913.09</v>
      </c>
    </row>
    <row r="14" spans="1:10" s="199" customFormat="1">
      <c r="A14" s="200">
        <v>10</v>
      </c>
      <c r="B14" s="201" t="s">
        <v>1023</v>
      </c>
      <c r="C14" s="201" t="s">
        <v>1123</v>
      </c>
      <c r="D14" s="200" t="s">
        <v>1124</v>
      </c>
      <c r="E14" s="202" t="s">
        <v>1125</v>
      </c>
      <c r="F14" s="203">
        <v>41974</v>
      </c>
      <c r="G14" s="200" t="s">
        <v>1089</v>
      </c>
      <c r="H14" s="200" t="s">
        <v>1126</v>
      </c>
      <c r="I14" s="200" t="s">
        <v>1127</v>
      </c>
      <c r="J14" s="205">
        <v>17332.73</v>
      </c>
    </row>
    <row r="15" spans="1:10" s="199" customFormat="1">
      <c r="A15" s="200">
        <v>11</v>
      </c>
      <c r="B15" s="201" t="s">
        <v>1128</v>
      </c>
      <c r="C15" s="201" t="s">
        <v>1123</v>
      </c>
      <c r="D15" s="200" t="s">
        <v>1129</v>
      </c>
      <c r="E15" s="201" t="s">
        <v>1130</v>
      </c>
      <c r="F15" s="203">
        <v>44621</v>
      </c>
      <c r="G15" s="200" t="s">
        <v>1089</v>
      </c>
      <c r="H15" s="200" t="s">
        <v>1131</v>
      </c>
      <c r="I15" s="200" t="s">
        <v>1132</v>
      </c>
      <c r="J15" s="207">
        <v>19212.62</v>
      </c>
    </row>
    <row r="16" spans="1:10" s="199" customFormat="1">
      <c r="A16" s="200">
        <v>12</v>
      </c>
      <c r="B16" s="201" t="s">
        <v>1128</v>
      </c>
      <c r="C16" s="201" t="s">
        <v>1123</v>
      </c>
      <c r="D16" s="200" t="s">
        <v>1133</v>
      </c>
      <c r="E16" s="201" t="s">
        <v>1134</v>
      </c>
      <c r="F16" s="203">
        <v>44287</v>
      </c>
      <c r="G16" s="200" t="s">
        <v>1089</v>
      </c>
      <c r="H16" s="200" t="s">
        <v>1135</v>
      </c>
      <c r="I16" s="200" t="s">
        <v>1136</v>
      </c>
      <c r="J16" s="207">
        <v>1567.08</v>
      </c>
    </row>
    <row r="17" spans="1:10" s="199" customFormat="1">
      <c r="A17" s="200">
        <v>13</v>
      </c>
      <c r="B17" s="201" t="s">
        <v>1024</v>
      </c>
      <c r="C17" s="201" t="s">
        <v>1123</v>
      </c>
      <c r="D17" s="200" t="s">
        <v>1137</v>
      </c>
      <c r="E17" s="201" t="s">
        <v>1138</v>
      </c>
      <c r="F17" s="203">
        <v>44805</v>
      </c>
      <c r="G17" s="200" t="s">
        <v>1089</v>
      </c>
      <c r="H17" s="200" t="s">
        <v>1126</v>
      </c>
      <c r="I17" s="200" t="s">
        <v>1127</v>
      </c>
      <c r="J17" s="207">
        <v>16593.939999999999</v>
      </c>
    </row>
    <row r="18" spans="1:10" s="199" customFormat="1">
      <c r="A18" s="200">
        <v>14</v>
      </c>
      <c r="B18" s="208" t="s">
        <v>1026</v>
      </c>
      <c r="C18" s="208" t="s">
        <v>1123</v>
      </c>
      <c r="D18" s="209" t="s">
        <v>1139</v>
      </c>
      <c r="E18" s="208" t="s">
        <v>1140</v>
      </c>
      <c r="F18" s="210">
        <v>45352</v>
      </c>
      <c r="G18" s="209" t="s">
        <v>1089</v>
      </c>
      <c r="H18" s="209" t="s">
        <v>1120</v>
      </c>
      <c r="I18" s="209" t="s">
        <v>1121</v>
      </c>
      <c r="J18" s="205">
        <v>83185.45</v>
      </c>
    </row>
    <row r="19" spans="1:10" s="199" customFormat="1">
      <c r="A19" s="200">
        <v>15</v>
      </c>
      <c r="B19" s="201" t="s">
        <v>469</v>
      </c>
      <c r="C19" s="201" t="s">
        <v>1123</v>
      </c>
      <c r="D19" s="200" t="s">
        <v>1141</v>
      </c>
      <c r="E19" s="202" t="s">
        <v>1142</v>
      </c>
      <c r="F19" s="203">
        <v>42430</v>
      </c>
      <c r="G19" s="200" t="s">
        <v>1089</v>
      </c>
      <c r="H19" s="200" t="s">
        <v>1143</v>
      </c>
      <c r="I19" s="200" t="s">
        <v>1144</v>
      </c>
      <c r="J19" s="204">
        <v>268233.62</v>
      </c>
    </row>
    <row r="20" spans="1:10" s="199" customFormat="1">
      <c r="A20" s="200">
        <v>16</v>
      </c>
      <c r="B20" s="201" t="s">
        <v>469</v>
      </c>
      <c r="C20" s="201" t="s">
        <v>1123</v>
      </c>
      <c r="D20" s="200" t="s">
        <v>1145</v>
      </c>
      <c r="E20" s="201" t="s">
        <v>1146</v>
      </c>
      <c r="F20" s="203">
        <v>44835</v>
      </c>
      <c r="G20" s="200" t="s">
        <v>1089</v>
      </c>
      <c r="H20" s="209" t="s">
        <v>1147</v>
      </c>
      <c r="I20" s="200" t="s">
        <v>1148</v>
      </c>
      <c r="J20" s="204">
        <v>160150.79999999999</v>
      </c>
    </row>
    <row r="21" spans="1:10" s="199" customFormat="1" ht="54">
      <c r="A21" s="200">
        <v>17</v>
      </c>
      <c r="B21" s="201" t="s">
        <v>470</v>
      </c>
      <c r="C21" s="201" t="s">
        <v>1123</v>
      </c>
      <c r="D21" s="208" t="s">
        <v>1149</v>
      </c>
      <c r="E21" s="208" t="s">
        <v>1150</v>
      </c>
      <c r="F21" s="203">
        <v>42948</v>
      </c>
      <c r="G21" s="200" t="s">
        <v>1089</v>
      </c>
      <c r="H21" s="208" t="s">
        <v>1151</v>
      </c>
      <c r="I21" s="208" t="s">
        <v>1152</v>
      </c>
      <c r="J21" s="204">
        <v>152096.51</v>
      </c>
    </row>
    <row r="22" spans="1:10" s="199" customFormat="1" ht="54">
      <c r="A22" s="200">
        <v>18</v>
      </c>
      <c r="B22" s="201" t="s">
        <v>470</v>
      </c>
      <c r="C22" s="201" t="s">
        <v>1123</v>
      </c>
      <c r="D22" s="208" t="s">
        <v>1153</v>
      </c>
      <c r="E22" s="208" t="s">
        <v>1154</v>
      </c>
      <c r="F22" s="203">
        <v>42767</v>
      </c>
      <c r="G22" s="200" t="s">
        <v>1089</v>
      </c>
      <c r="H22" s="208" t="s">
        <v>1090</v>
      </c>
      <c r="I22" s="208" t="s">
        <v>1091</v>
      </c>
      <c r="J22" s="204">
        <v>38120.769999999997</v>
      </c>
    </row>
    <row r="23" spans="1:10" s="199" customFormat="1" ht="54">
      <c r="A23" s="200">
        <v>20</v>
      </c>
      <c r="B23" s="201" t="s">
        <v>470</v>
      </c>
      <c r="C23" s="201" t="s">
        <v>1123</v>
      </c>
      <c r="D23" s="208" t="s">
        <v>1155</v>
      </c>
      <c r="E23" s="211" t="s">
        <v>1156</v>
      </c>
      <c r="F23" s="203">
        <v>42826</v>
      </c>
      <c r="G23" s="200" t="s">
        <v>1089</v>
      </c>
      <c r="H23" s="208" t="s">
        <v>1157</v>
      </c>
      <c r="I23" s="208" t="s">
        <v>1158</v>
      </c>
      <c r="J23" s="204">
        <v>27448.54</v>
      </c>
    </row>
    <row r="24" spans="1:10" s="199" customFormat="1" ht="27">
      <c r="A24" s="200">
        <v>22</v>
      </c>
      <c r="B24" s="201" t="s">
        <v>470</v>
      </c>
      <c r="C24" s="201" t="s">
        <v>1123</v>
      </c>
      <c r="D24" s="200" t="s">
        <v>1159</v>
      </c>
      <c r="E24" s="202" t="s">
        <v>1160</v>
      </c>
      <c r="F24" s="203">
        <v>44409</v>
      </c>
      <c r="G24" s="200" t="s">
        <v>1089</v>
      </c>
      <c r="H24" s="200" t="s">
        <v>1161</v>
      </c>
      <c r="I24" s="208" t="s">
        <v>1162</v>
      </c>
      <c r="J24" s="212">
        <v>148719.6</v>
      </c>
    </row>
    <row r="25" spans="1:10" s="199" customFormat="1">
      <c r="A25" s="200">
        <v>23</v>
      </c>
      <c r="B25" s="201" t="s">
        <v>470</v>
      </c>
      <c r="C25" s="201" t="s">
        <v>1123</v>
      </c>
      <c r="D25" s="200" t="s">
        <v>1163</v>
      </c>
      <c r="E25" s="202" t="s">
        <v>1164</v>
      </c>
      <c r="F25" s="203">
        <v>45108</v>
      </c>
      <c r="G25" s="200" t="s">
        <v>1089</v>
      </c>
      <c r="H25" s="200" t="s">
        <v>1135</v>
      </c>
      <c r="I25" s="208" t="s">
        <v>1136</v>
      </c>
      <c r="J25" s="204">
        <v>1660.86</v>
      </c>
    </row>
    <row r="26" spans="1:10" s="199" customFormat="1" ht="40.5">
      <c r="A26" s="200">
        <v>27</v>
      </c>
      <c r="B26" s="201" t="s">
        <v>1027</v>
      </c>
      <c r="C26" s="201" t="s">
        <v>1123</v>
      </c>
      <c r="D26" s="213" t="s">
        <v>1165</v>
      </c>
      <c r="E26" s="202" t="s">
        <v>1166</v>
      </c>
      <c r="F26" s="203">
        <v>44986</v>
      </c>
      <c r="G26" s="200" t="s">
        <v>1089</v>
      </c>
      <c r="H26" s="209" t="s">
        <v>1116</v>
      </c>
      <c r="I26" s="201" t="s">
        <v>1167</v>
      </c>
      <c r="J26" s="204">
        <v>25643.24</v>
      </c>
    </row>
    <row r="27" spans="1:10" s="199" customFormat="1">
      <c r="A27" s="200"/>
      <c r="B27" s="201"/>
      <c r="C27" s="201" t="s">
        <v>1168</v>
      </c>
      <c r="D27" s="213"/>
      <c r="E27" s="202"/>
      <c r="F27" s="203"/>
      <c r="G27" s="200"/>
      <c r="H27" s="209"/>
      <c r="I27" s="201"/>
      <c r="J27" s="204">
        <f>SUM(J14:J26)</f>
        <v>959965.76</v>
      </c>
    </row>
    <row r="28" spans="1:10" s="199" customFormat="1" ht="54">
      <c r="A28" s="200">
        <v>28</v>
      </c>
      <c r="B28" s="201" t="s">
        <v>1036</v>
      </c>
      <c r="C28" s="201" t="s">
        <v>1169</v>
      </c>
      <c r="D28" s="200" t="s">
        <v>1170</v>
      </c>
      <c r="E28" s="201" t="s">
        <v>1171</v>
      </c>
      <c r="F28" s="203" t="s">
        <v>1172</v>
      </c>
      <c r="G28" s="200" t="s">
        <v>1089</v>
      </c>
      <c r="H28" s="201" t="s">
        <v>1173</v>
      </c>
      <c r="I28" s="200" t="s">
        <v>1174</v>
      </c>
      <c r="J28" s="204">
        <v>416402.6</v>
      </c>
    </row>
    <row r="29" spans="1:10" s="199" customFormat="1" ht="54">
      <c r="A29" s="200">
        <v>29</v>
      </c>
      <c r="B29" s="201" t="s">
        <v>1036</v>
      </c>
      <c r="C29" s="201" t="s">
        <v>1169</v>
      </c>
      <c r="D29" s="200" t="s">
        <v>1175</v>
      </c>
      <c r="E29" s="201" t="s">
        <v>1176</v>
      </c>
      <c r="F29" s="203" t="s">
        <v>1177</v>
      </c>
      <c r="G29" s="200" t="s">
        <v>1089</v>
      </c>
      <c r="H29" s="201" t="s">
        <v>1090</v>
      </c>
      <c r="I29" s="200" t="s">
        <v>1091</v>
      </c>
      <c r="J29" s="204">
        <v>35309.379999999997</v>
      </c>
    </row>
    <row r="30" spans="1:10" s="199" customFormat="1">
      <c r="A30" s="200">
        <v>30</v>
      </c>
      <c r="B30" s="201" t="s">
        <v>1034</v>
      </c>
      <c r="C30" s="201" t="s">
        <v>1169</v>
      </c>
      <c r="D30" s="200" t="s">
        <v>1178</v>
      </c>
      <c r="E30" s="201" t="s">
        <v>1179</v>
      </c>
      <c r="F30" s="203">
        <v>44228</v>
      </c>
      <c r="G30" s="200" t="s">
        <v>1089</v>
      </c>
      <c r="H30" s="200" t="s">
        <v>1157</v>
      </c>
      <c r="I30" s="200" t="s">
        <v>1158</v>
      </c>
      <c r="J30" s="205">
        <v>34784.74</v>
      </c>
    </row>
    <row r="31" spans="1:10" s="199" customFormat="1">
      <c r="A31" s="200">
        <v>31</v>
      </c>
      <c r="B31" s="201" t="s">
        <v>1033</v>
      </c>
      <c r="C31" s="201" t="s">
        <v>1169</v>
      </c>
      <c r="D31" s="200" t="s">
        <v>1180</v>
      </c>
      <c r="E31" s="201" t="s">
        <v>1181</v>
      </c>
      <c r="F31" s="203">
        <v>41760</v>
      </c>
      <c r="G31" s="200" t="s">
        <v>1089</v>
      </c>
      <c r="H31" s="200" t="s">
        <v>1173</v>
      </c>
      <c r="I31" s="200" t="s">
        <v>1182</v>
      </c>
      <c r="J31" s="204">
        <v>444795.77</v>
      </c>
    </row>
    <row r="32" spans="1:10" s="199" customFormat="1">
      <c r="A32" s="200"/>
      <c r="B32" s="201"/>
      <c r="C32" s="201" t="s">
        <v>1183</v>
      </c>
      <c r="D32" s="200"/>
      <c r="E32" s="201"/>
      <c r="F32" s="203"/>
      <c r="G32" s="200"/>
      <c r="H32" s="214"/>
      <c r="I32" s="200"/>
      <c r="J32" s="204">
        <f>SUM(J28:J31)</f>
        <v>931292.49</v>
      </c>
    </row>
    <row r="33" spans="1:12" s="199" customFormat="1" ht="20.100000000000001" customHeight="1">
      <c r="A33" s="200">
        <v>32</v>
      </c>
      <c r="B33" s="201" t="s">
        <v>659</v>
      </c>
      <c r="C33" s="201" t="s">
        <v>1184</v>
      </c>
      <c r="D33" s="200" t="s">
        <v>1185</v>
      </c>
      <c r="E33" s="201" t="s">
        <v>1186</v>
      </c>
      <c r="F33" s="203">
        <v>43709</v>
      </c>
      <c r="G33" s="200" t="s">
        <v>1089</v>
      </c>
      <c r="H33" s="215" t="s">
        <v>1090</v>
      </c>
      <c r="I33" s="200" t="s">
        <v>1091</v>
      </c>
      <c r="J33" s="207">
        <v>32774</v>
      </c>
    </row>
    <row r="34" spans="1:12" s="199" customFormat="1" ht="20.100000000000001" customHeight="1">
      <c r="A34" s="200">
        <v>33</v>
      </c>
      <c r="B34" s="201" t="s">
        <v>1043</v>
      </c>
      <c r="C34" s="201" t="s">
        <v>1184</v>
      </c>
      <c r="D34" s="200" t="s">
        <v>1187</v>
      </c>
      <c r="E34" s="202" t="s">
        <v>1188</v>
      </c>
      <c r="F34" s="203">
        <v>43282</v>
      </c>
      <c r="G34" s="200" t="s">
        <v>1089</v>
      </c>
      <c r="H34" s="200" t="s">
        <v>1157</v>
      </c>
      <c r="I34" s="200" t="s">
        <v>1189</v>
      </c>
      <c r="J34" s="204">
        <v>28002.05</v>
      </c>
    </row>
    <row r="35" spans="1:12" s="199" customFormat="1" ht="20.100000000000001" customHeight="1">
      <c r="A35" s="200"/>
      <c r="B35" s="201"/>
      <c r="C35" s="201" t="s">
        <v>1190</v>
      </c>
      <c r="D35" s="200"/>
      <c r="E35" s="202"/>
      <c r="F35" s="203"/>
      <c r="G35" s="200"/>
      <c r="H35" s="200"/>
      <c r="I35" s="200"/>
      <c r="J35" s="204">
        <f>SUM(J33:J34)</f>
        <v>60776.05</v>
      </c>
    </row>
    <row r="36" spans="1:12" s="199" customFormat="1" ht="20.100000000000001" customHeight="1">
      <c r="A36" s="200">
        <v>34</v>
      </c>
      <c r="B36" s="201" t="s">
        <v>648</v>
      </c>
      <c r="C36" s="201" t="s">
        <v>1191</v>
      </c>
      <c r="D36" s="200" t="s">
        <v>1192</v>
      </c>
      <c r="E36" s="201" t="s">
        <v>1193</v>
      </c>
      <c r="F36" s="203">
        <v>43282</v>
      </c>
      <c r="G36" s="200" t="s">
        <v>1089</v>
      </c>
      <c r="H36" s="201" t="s">
        <v>1194</v>
      </c>
      <c r="I36" s="200" t="s">
        <v>1195</v>
      </c>
      <c r="J36" s="204">
        <v>278212.69</v>
      </c>
    </row>
    <row r="37" spans="1:12" s="199" customFormat="1" ht="20.100000000000001" customHeight="1">
      <c r="A37" s="200">
        <v>35</v>
      </c>
      <c r="B37" s="201" t="s">
        <v>648</v>
      </c>
      <c r="C37" s="201" t="s">
        <v>1191</v>
      </c>
      <c r="D37" s="200" t="s">
        <v>1196</v>
      </c>
      <c r="E37" s="201" t="s">
        <v>1197</v>
      </c>
      <c r="F37" s="203">
        <v>42583</v>
      </c>
      <c r="G37" s="200" t="s">
        <v>1089</v>
      </c>
      <c r="H37" s="200" t="s">
        <v>1090</v>
      </c>
      <c r="I37" s="200" t="s">
        <v>1091</v>
      </c>
      <c r="J37" s="204">
        <v>24295.39</v>
      </c>
    </row>
    <row r="38" spans="1:12" s="199" customFormat="1" ht="20.100000000000001" customHeight="1">
      <c r="A38" s="200">
        <v>36</v>
      </c>
      <c r="B38" s="201" t="s">
        <v>648</v>
      </c>
      <c r="C38" s="201" t="s">
        <v>1191</v>
      </c>
      <c r="D38" s="200" t="s">
        <v>1198</v>
      </c>
      <c r="E38" s="201" t="s">
        <v>1199</v>
      </c>
      <c r="F38" s="203">
        <v>42767</v>
      </c>
      <c r="G38" s="200" t="s">
        <v>1089</v>
      </c>
      <c r="H38" s="200" t="s">
        <v>1090</v>
      </c>
      <c r="I38" s="200" t="s">
        <v>1091</v>
      </c>
      <c r="J38" s="204">
        <v>27639.05</v>
      </c>
    </row>
    <row r="39" spans="1:12" s="199" customFormat="1" ht="20.100000000000001" customHeight="1">
      <c r="A39" s="200">
        <v>37</v>
      </c>
      <c r="B39" s="201" t="s">
        <v>650</v>
      </c>
      <c r="C39" s="201" t="s">
        <v>1191</v>
      </c>
      <c r="D39" s="200" t="s">
        <v>1200</v>
      </c>
      <c r="E39" s="201" t="s">
        <v>1201</v>
      </c>
      <c r="F39" s="203">
        <v>42186</v>
      </c>
      <c r="G39" s="200" t="s">
        <v>1089</v>
      </c>
      <c r="H39" s="201" t="s">
        <v>1202</v>
      </c>
      <c r="I39" s="200" t="s">
        <v>1203</v>
      </c>
      <c r="J39" s="204">
        <v>129738.63</v>
      </c>
    </row>
    <row r="40" spans="1:12" s="199" customFormat="1" ht="20.100000000000001" customHeight="1">
      <c r="A40" s="200">
        <v>24</v>
      </c>
      <c r="B40" s="201" t="s">
        <v>652</v>
      </c>
      <c r="C40" s="201" t="s">
        <v>1191</v>
      </c>
      <c r="D40" s="208" t="s">
        <v>1204</v>
      </c>
      <c r="E40" s="211" t="s">
        <v>1205</v>
      </c>
      <c r="F40" s="203">
        <v>42552</v>
      </c>
      <c r="G40" s="200" t="s">
        <v>1089</v>
      </c>
      <c r="H40" s="200" t="s">
        <v>1206</v>
      </c>
      <c r="I40" s="200" t="s">
        <v>1207</v>
      </c>
      <c r="J40" s="207">
        <v>64696.63</v>
      </c>
    </row>
    <row r="41" spans="1:12" s="199" customFormat="1" ht="20.100000000000001" customHeight="1">
      <c r="A41" s="200">
        <v>25</v>
      </c>
      <c r="B41" s="201" t="s">
        <v>652</v>
      </c>
      <c r="C41" s="201" t="s">
        <v>1191</v>
      </c>
      <c r="D41" s="208" t="s">
        <v>1208</v>
      </c>
      <c r="E41" s="211" t="s">
        <v>1209</v>
      </c>
      <c r="F41" s="203">
        <v>42644</v>
      </c>
      <c r="G41" s="200" t="s">
        <v>1089</v>
      </c>
      <c r="H41" s="209" t="s">
        <v>1210</v>
      </c>
      <c r="I41" s="200" t="s">
        <v>1211</v>
      </c>
      <c r="J41" s="207">
        <v>48779.55</v>
      </c>
    </row>
    <row r="42" spans="1:12" s="199" customFormat="1" ht="20.100000000000001" customHeight="1">
      <c r="A42" s="200">
        <v>26</v>
      </c>
      <c r="B42" s="216" t="s">
        <v>652</v>
      </c>
      <c r="C42" s="201" t="s">
        <v>1191</v>
      </c>
      <c r="D42" s="213" t="s">
        <v>1212</v>
      </c>
      <c r="E42" s="217" t="s">
        <v>1213</v>
      </c>
      <c r="F42" s="203">
        <v>44470</v>
      </c>
      <c r="G42" s="213" t="s">
        <v>1089</v>
      </c>
      <c r="H42" s="213" t="s">
        <v>1147</v>
      </c>
      <c r="I42" s="201" t="s">
        <v>1214</v>
      </c>
      <c r="J42" s="218">
        <v>180465.5</v>
      </c>
      <c r="K42" s="199">
        <v>180465.5</v>
      </c>
      <c r="L42" s="199" t="s">
        <v>1215</v>
      </c>
    </row>
    <row r="43" spans="1:12" s="199" customFormat="1" ht="20.100000000000001" customHeight="1">
      <c r="A43" s="200">
        <v>38</v>
      </c>
      <c r="B43" s="201" t="s">
        <v>1054</v>
      </c>
      <c r="C43" s="201" t="s">
        <v>1191</v>
      </c>
      <c r="D43" s="200" t="s">
        <v>1216</v>
      </c>
      <c r="E43" s="202" t="s">
        <v>1217</v>
      </c>
      <c r="F43" s="203">
        <v>42614</v>
      </c>
      <c r="G43" s="200" t="s">
        <v>1089</v>
      </c>
      <c r="H43" s="200" t="s">
        <v>1096</v>
      </c>
      <c r="I43" s="209" t="s">
        <v>1218</v>
      </c>
      <c r="J43" s="205">
        <v>206046.77</v>
      </c>
    </row>
    <row r="44" spans="1:12" s="199" customFormat="1" ht="20.100000000000001" customHeight="1">
      <c r="A44" s="200">
        <v>39</v>
      </c>
      <c r="B44" s="201" t="s">
        <v>1054</v>
      </c>
      <c r="C44" s="201" t="s">
        <v>1191</v>
      </c>
      <c r="D44" s="200" t="s">
        <v>1219</v>
      </c>
      <c r="E44" s="202" t="s">
        <v>1220</v>
      </c>
      <c r="F44" s="203">
        <v>42186</v>
      </c>
      <c r="G44" s="200" t="s">
        <v>1089</v>
      </c>
      <c r="H44" s="200" t="s">
        <v>1151</v>
      </c>
      <c r="I44" s="209" t="s">
        <v>1221</v>
      </c>
      <c r="J44" s="205">
        <v>153174.59</v>
      </c>
    </row>
    <row r="45" spans="1:12" s="199" customFormat="1" ht="20.100000000000001" customHeight="1">
      <c r="A45" s="200">
        <v>40</v>
      </c>
      <c r="B45" s="201" t="s">
        <v>1054</v>
      </c>
      <c r="C45" s="201" t="s">
        <v>1191</v>
      </c>
      <c r="D45" s="200" t="s">
        <v>1222</v>
      </c>
      <c r="E45" s="202" t="s">
        <v>1223</v>
      </c>
      <c r="F45" s="203">
        <v>43344</v>
      </c>
      <c r="G45" s="200" t="s">
        <v>1089</v>
      </c>
      <c r="H45" s="200" t="s">
        <v>1206</v>
      </c>
      <c r="I45" s="208" t="s">
        <v>1224</v>
      </c>
      <c r="J45" s="205">
        <v>69765.52</v>
      </c>
    </row>
    <row r="46" spans="1:12" s="199" customFormat="1" ht="20.100000000000001" customHeight="1">
      <c r="A46" s="200">
        <v>41</v>
      </c>
      <c r="B46" s="201" t="s">
        <v>1054</v>
      </c>
      <c r="C46" s="201" t="s">
        <v>1191</v>
      </c>
      <c r="D46" s="200" t="s">
        <v>1225</v>
      </c>
      <c r="E46" s="202" t="s">
        <v>1226</v>
      </c>
      <c r="F46" s="203">
        <v>42856</v>
      </c>
      <c r="G46" s="200" t="s">
        <v>1089</v>
      </c>
      <c r="H46" s="200" t="s">
        <v>1210</v>
      </c>
      <c r="I46" s="208" t="s">
        <v>1227</v>
      </c>
      <c r="J46" s="205">
        <v>51711.98</v>
      </c>
    </row>
    <row r="47" spans="1:12" s="199" customFormat="1" ht="20.100000000000001" customHeight="1">
      <c r="A47" s="200"/>
      <c r="B47" s="201"/>
      <c r="C47" s="201" t="s">
        <v>1228</v>
      </c>
      <c r="D47" s="200"/>
      <c r="E47" s="202"/>
      <c r="F47" s="203"/>
      <c r="G47" s="200"/>
      <c r="H47" s="200"/>
      <c r="I47" s="208"/>
      <c r="J47" s="205">
        <f>SUM(J36:J46)</f>
        <v>1234526.3</v>
      </c>
    </row>
    <row r="48" spans="1:12" s="199" customFormat="1" ht="20.100000000000001" customHeight="1">
      <c r="A48" s="219"/>
      <c r="B48" s="201" t="s">
        <v>719</v>
      </c>
      <c r="C48" s="201" t="s">
        <v>1229</v>
      </c>
      <c r="D48" s="200" t="s">
        <v>1230</v>
      </c>
      <c r="E48" s="202" t="s">
        <v>1231</v>
      </c>
      <c r="F48" s="203" t="s">
        <v>1158</v>
      </c>
      <c r="G48" s="200"/>
      <c r="H48" s="200" t="s">
        <v>1158</v>
      </c>
      <c r="I48" s="208"/>
      <c r="J48" s="205">
        <v>23988.42</v>
      </c>
    </row>
    <row r="49" spans="1:10" s="199" customFormat="1">
      <c r="A49" s="219"/>
      <c r="B49" s="201"/>
      <c r="C49" s="201" t="s">
        <v>1232</v>
      </c>
      <c r="D49" s="200"/>
      <c r="E49" s="202"/>
      <c r="F49" s="203"/>
      <c r="G49" s="200"/>
      <c r="H49" s="200"/>
      <c r="I49" s="208"/>
      <c r="J49" s="205">
        <f>J48</f>
        <v>23988.42</v>
      </c>
    </row>
    <row r="50" spans="1:10" s="199" customFormat="1">
      <c r="A50" s="219"/>
      <c r="B50" s="201"/>
      <c r="C50" s="201" t="s">
        <v>1233</v>
      </c>
      <c r="D50" s="200"/>
      <c r="E50" s="202"/>
      <c r="F50" s="203"/>
      <c r="G50" s="200"/>
      <c r="H50" s="200"/>
      <c r="I50" s="208"/>
      <c r="J50" s="205">
        <f>J4+J7+J10+J13+J27+J32+J35+J47+J49</f>
        <v>4131024.1099999994</v>
      </c>
    </row>
  </sheetData>
  <mergeCells count="1">
    <mergeCell ref="A1:J1"/>
  </mergeCells>
  <phoneticPr fontId="1" type="noConversion"/>
  <pageMargins left="0.7" right="0.7" top="0.75" bottom="0.75" header="0.3" footer="0.3"/>
  <legacy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123"/>
  <sheetViews>
    <sheetView topLeftCell="A34" workbookViewId="0">
      <selection activeCell="E9" sqref="E9:E115"/>
    </sheetView>
  </sheetViews>
  <sheetFormatPr defaultColWidth="9" defaultRowHeight="13.5" outlineLevelRow="2"/>
  <cols>
    <col min="1" max="1" width="20.875" style="109" customWidth="1"/>
    <col min="2" max="2" width="35" style="109" customWidth="1"/>
    <col min="3" max="3" width="15.625" style="109" customWidth="1"/>
    <col min="4" max="4" width="20.625" style="109" customWidth="1"/>
    <col min="5" max="5" width="24.75" style="109" customWidth="1"/>
    <col min="6" max="16384" width="9" style="109"/>
  </cols>
  <sheetData>
    <row r="1" spans="1:5" s="95" customFormat="1" ht="20.25">
      <c r="A1" s="376" t="s">
        <v>735</v>
      </c>
      <c r="B1" s="377"/>
      <c r="C1" s="377"/>
      <c r="D1" s="377"/>
      <c r="E1" s="377"/>
    </row>
    <row r="2" spans="1:5" s="97" customFormat="1" ht="17.100000000000001" customHeight="1">
      <c r="A2" s="96" t="s">
        <v>736</v>
      </c>
      <c r="B2" s="96" t="s">
        <v>737</v>
      </c>
      <c r="C2" s="96" t="s">
        <v>955</v>
      </c>
      <c r="D2" s="96" t="s">
        <v>738</v>
      </c>
      <c r="E2" s="96" t="s">
        <v>739</v>
      </c>
    </row>
    <row r="3" spans="1:5" s="97" customFormat="1" ht="17.100000000000001" customHeight="1" outlineLevel="2">
      <c r="A3" s="73" t="s">
        <v>740</v>
      </c>
      <c r="B3" s="98" t="s">
        <v>741</v>
      </c>
      <c r="C3" s="98" t="s">
        <v>956</v>
      </c>
      <c r="D3" s="99">
        <v>189518.7</v>
      </c>
      <c r="E3" s="99">
        <f>ROUND(D3*1.1,2)</f>
        <v>208470.57</v>
      </c>
    </row>
    <row r="4" spans="1:5" s="97" customFormat="1" ht="17.100000000000001" customHeight="1" outlineLevel="2">
      <c r="A4" s="73" t="s">
        <v>740</v>
      </c>
      <c r="B4" s="98" t="s">
        <v>742</v>
      </c>
      <c r="C4" s="98" t="s">
        <v>956</v>
      </c>
      <c r="D4" s="99">
        <v>129269.9</v>
      </c>
      <c r="E4" s="99">
        <f t="shared" ref="E4:E66" si="0">ROUND(D4*1.1,2)</f>
        <v>142196.89000000001</v>
      </c>
    </row>
    <row r="5" spans="1:5" s="97" customFormat="1" ht="17.100000000000001" customHeight="1" outlineLevel="2">
      <c r="A5" s="73" t="s">
        <v>740</v>
      </c>
      <c r="B5" s="98" t="s">
        <v>743</v>
      </c>
      <c r="C5" s="98" t="s">
        <v>956</v>
      </c>
      <c r="D5" s="99">
        <v>69546.2</v>
      </c>
      <c r="E5" s="99">
        <f t="shared" si="0"/>
        <v>76500.820000000007</v>
      </c>
    </row>
    <row r="6" spans="1:5" s="97" customFormat="1" ht="17.100000000000001" customHeight="1" outlineLevel="2">
      <c r="A6" s="73" t="s">
        <v>740</v>
      </c>
      <c r="B6" s="98" t="s">
        <v>744</v>
      </c>
      <c r="C6" s="98" t="s">
        <v>957</v>
      </c>
      <c r="D6" s="99"/>
      <c r="E6" s="99">
        <f t="shared" si="0"/>
        <v>0</v>
      </c>
    </row>
    <row r="7" spans="1:5" s="97" customFormat="1" ht="17.100000000000001" customHeight="1" outlineLevel="2">
      <c r="A7" s="73" t="s">
        <v>740</v>
      </c>
      <c r="B7" s="100" t="s">
        <v>244</v>
      </c>
      <c r="C7" s="100" t="s">
        <v>958</v>
      </c>
      <c r="D7" s="99">
        <v>396192.1</v>
      </c>
      <c r="E7" s="99">
        <f t="shared" si="0"/>
        <v>435811.31</v>
      </c>
    </row>
    <row r="8" spans="1:5" s="97" customFormat="1" ht="17.100000000000001" customHeight="1" outlineLevel="1">
      <c r="A8" s="101" t="s">
        <v>254</v>
      </c>
      <c r="B8" s="102"/>
      <c r="C8" s="102"/>
      <c r="D8" s="103">
        <f>SUM(D3:D7)</f>
        <v>784526.89999999991</v>
      </c>
      <c r="E8" s="103">
        <f>SUM(E3:E7)</f>
        <v>862979.59000000008</v>
      </c>
    </row>
    <row r="9" spans="1:5" s="97" customFormat="1" ht="17.100000000000001" customHeight="1" outlineLevel="2">
      <c r="A9" s="73" t="s">
        <v>745</v>
      </c>
      <c r="B9" s="104" t="s">
        <v>165</v>
      </c>
      <c r="C9" s="104" t="s">
        <v>959</v>
      </c>
      <c r="D9" s="99">
        <v>209862.5</v>
      </c>
      <c r="E9" s="99">
        <f t="shared" si="0"/>
        <v>230848.75</v>
      </c>
    </row>
    <row r="10" spans="1:5" s="97" customFormat="1" ht="17.100000000000001" customHeight="1" outlineLevel="2">
      <c r="A10" s="73" t="s">
        <v>745</v>
      </c>
      <c r="B10" s="104" t="s">
        <v>166</v>
      </c>
      <c r="C10" s="104" t="s">
        <v>960</v>
      </c>
      <c r="D10" s="99">
        <v>42995.4</v>
      </c>
      <c r="E10" s="99">
        <f t="shared" si="0"/>
        <v>47294.94</v>
      </c>
    </row>
    <row r="11" spans="1:5" s="97" customFormat="1" ht="17.100000000000001" customHeight="1" outlineLevel="2">
      <c r="A11" s="73" t="s">
        <v>745</v>
      </c>
      <c r="B11" s="104" t="s">
        <v>167</v>
      </c>
      <c r="C11" s="104" t="s">
        <v>960</v>
      </c>
      <c r="D11" s="99">
        <v>93588.800000000003</v>
      </c>
      <c r="E11" s="99">
        <f t="shared" si="0"/>
        <v>102947.68</v>
      </c>
    </row>
    <row r="12" spans="1:5" s="97" customFormat="1" ht="17.100000000000001" customHeight="1" outlineLevel="2">
      <c r="A12" s="73" t="s">
        <v>745</v>
      </c>
      <c r="B12" s="104" t="s">
        <v>168</v>
      </c>
      <c r="C12" s="104" t="s">
        <v>960</v>
      </c>
      <c r="D12" s="99">
        <v>131567.6</v>
      </c>
      <c r="E12" s="99">
        <f t="shared" si="0"/>
        <v>144724.35999999999</v>
      </c>
    </row>
    <row r="13" spans="1:5" s="97" customFormat="1" ht="17.100000000000001" customHeight="1" outlineLevel="2">
      <c r="A13" s="73" t="s">
        <v>745</v>
      </c>
      <c r="B13" s="104" t="s">
        <v>169</v>
      </c>
      <c r="C13" s="104" t="s">
        <v>957</v>
      </c>
      <c r="D13" s="99">
        <v>16092</v>
      </c>
      <c r="E13" s="99">
        <f t="shared" si="0"/>
        <v>17701.2</v>
      </c>
    </row>
    <row r="14" spans="1:5" s="97" customFormat="1" ht="17.100000000000001" customHeight="1" outlineLevel="1">
      <c r="A14" s="101" t="s">
        <v>255</v>
      </c>
      <c r="B14" s="102"/>
      <c r="C14" s="102"/>
      <c r="D14" s="103">
        <f>SUM(D9:D13)</f>
        <v>494106.30000000005</v>
      </c>
      <c r="E14" s="103">
        <f>SUM(E9:E13)</f>
        <v>543516.92999999993</v>
      </c>
    </row>
    <row r="15" spans="1:5" s="97" customFormat="1" ht="17.100000000000001" customHeight="1" outlineLevel="2">
      <c r="A15" s="73" t="s">
        <v>746</v>
      </c>
      <c r="B15" s="105" t="s">
        <v>237</v>
      </c>
      <c r="C15" s="105" t="s">
        <v>961</v>
      </c>
      <c r="D15" s="99">
        <v>865549.6</v>
      </c>
      <c r="E15" s="99">
        <f t="shared" si="0"/>
        <v>952104.56</v>
      </c>
    </row>
    <row r="16" spans="1:5" s="97" customFormat="1" ht="17.100000000000001" customHeight="1" outlineLevel="2">
      <c r="A16" s="73" t="s">
        <v>746</v>
      </c>
      <c r="B16" s="105" t="s">
        <v>238</v>
      </c>
      <c r="C16" s="105" t="s">
        <v>962</v>
      </c>
      <c r="D16" s="99">
        <v>295481.5</v>
      </c>
      <c r="E16" s="99">
        <f t="shared" si="0"/>
        <v>325029.65000000002</v>
      </c>
    </row>
    <row r="17" spans="1:5" s="97" customFormat="1" ht="17.100000000000001" customHeight="1" outlineLevel="2">
      <c r="A17" s="73" t="s">
        <v>746</v>
      </c>
      <c r="B17" s="105" t="s">
        <v>236</v>
      </c>
      <c r="C17" s="105" t="s">
        <v>962</v>
      </c>
      <c r="D17" s="99">
        <v>246474.3</v>
      </c>
      <c r="E17" s="99">
        <f t="shared" si="0"/>
        <v>271121.73</v>
      </c>
    </row>
    <row r="18" spans="1:5" s="97" customFormat="1" ht="17.100000000000001" customHeight="1" outlineLevel="2">
      <c r="A18" s="73" t="s">
        <v>746</v>
      </c>
      <c r="B18" s="105" t="s">
        <v>239</v>
      </c>
      <c r="C18" s="105" t="s">
        <v>962</v>
      </c>
      <c r="D18" s="99">
        <v>314137.90000000002</v>
      </c>
      <c r="E18" s="99">
        <f t="shared" si="0"/>
        <v>345551.69</v>
      </c>
    </row>
    <row r="19" spans="1:5" s="97" customFormat="1" ht="17.100000000000001" customHeight="1" outlineLevel="2">
      <c r="A19" s="73" t="s">
        <v>746</v>
      </c>
      <c r="B19" s="105" t="s">
        <v>241</v>
      </c>
      <c r="C19" s="105" t="s">
        <v>963</v>
      </c>
      <c r="D19" s="99">
        <v>1068709.5</v>
      </c>
      <c r="E19" s="99">
        <f t="shared" si="0"/>
        <v>1175580.45</v>
      </c>
    </row>
    <row r="20" spans="1:5" s="97" customFormat="1" ht="17.100000000000001" customHeight="1" outlineLevel="2">
      <c r="A20" s="73" t="s">
        <v>746</v>
      </c>
      <c r="B20" s="105" t="s">
        <v>242</v>
      </c>
      <c r="C20" s="105" t="s">
        <v>959</v>
      </c>
      <c r="D20" s="99">
        <v>190081.3</v>
      </c>
      <c r="E20" s="99">
        <f t="shared" si="0"/>
        <v>209089.43</v>
      </c>
    </row>
    <row r="21" spans="1:5" s="97" customFormat="1" ht="17.100000000000001" customHeight="1" outlineLevel="2">
      <c r="A21" s="73" t="s">
        <v>746</v>
      </c>
      <c r="B21" s="105" t="s">
        <v>243</v>
      </c>
      <c r="C21" s="105" t="s">
        <v>959</v>
      </c>
      <c r="D21" s="99">
        <v>415048.9</v>
      </c>
      <c r="E21" s="99">
        <f t="shared" si="0"/>
        <v>456553.79</v>
      </c>
    </row>
    <row r="22" spans="1:5" s="97" customFormat="1" ht="17.100000000000001" customHeight="1" outlineLevel="2">
      <c r="A22" s="73" t="s">
        <v>746</v>
      </c>
      <c r="B22" s="105" t="s">
        <v>240</v>
      </c>
      <c r="C22" s="105" t="s">
        <v>959</v>
      </c>
      <c r="D22" s="99">
        <v>179132.4</v>
      </c>
      <c r="E22" s="99">
        <f t="shared" si="0"/>
        <v>197045.64</v>
      </c>
    </row>
    <row r="23" spans="1:5" s="97" customFormat="1" ht="17.100000000000001" customHeight="1" outlineLevel="2">
      <c r="A23" s="73" t="s">
        <v>746</v>
      </c>
      <c r="B23" s="105" t="s">
        <v>747</v>
      </c>
      <c r="C23" s="105" t="s">
        <v>959</v>
      </c>
      <c r="D23" s="99">
        <v>384835.5</v>
      </c>
      <c r="E23" s="99">
        <f t="shared" si="0"/>
        <v>423319.05</v>
      </c>
    </row>
    <row r="24" spans="1:5" s="97" customFormat="1" ht="17.100000000000001" customHeight="1" outlineLevel="2">
      <c r="A24" s="73" t="s">
        <v>746</v>
      </c>
      <c r="B24" s="106" t="s">
        <v>748</v>
      </c>
      <c r="C24" s="106" t="s">
        <v>960</v>
      </c>
      <c r="D24" s="99">
        <v>267909</v>
      </c>
      <c r="E24" s="99">
        <f t="shared" si="0"/>
        <v>294699.90000000002</v>
      </c>
    </row>
    <row r="25" spans="1:5" s="97" customFormat="1" ht="17.100000000000001" customHeight="1" outlineLevel="2">
      <c r="A25" s="73" t="s">
        <v>746</v>
      </c>
      <c r="B25" s="106" t="s">
        <v>749</v>
      </c>
      <c r="C25" s="106" t="s">
        <v>960</v>
      </c>
      <c r="D25" s="99">
        <v>124082.2</v>
      </c>
      <c r="E25" s="99">
        <f t="shared" si="0"/>
        <v>136490.42000000001</v>
      </c>
    </row>
    <row r="26" spans="1:5" s="97" customFormat="1" ht="17.100000000000001" customHeight="1" outlineLevel="2">
      <c r="A26" s="73" t="s">
        <v>746</v>
      </c>
      <c r="B26" s="106" t="s">
        <v>750</v>
      </c>
      <c r="C26" s="106" t="s">
        <v>960</v>
      </c>
      <c r="D26" s="99">
        <v>125060.4</v>
      </c>
      <c r="E26" s="99">
        <f t="shared" si="0"/>
        <v>137566.44</v>
      </c>
    </row>
    <row r="27" spans="1:5" s="97" customFormat="1" ht="17.100000000000001" customHeight="1" outlineLevel="2">
      <c r="A27" s="73" t="s">
        <v>746</v>
      </c>
      <c r="B27" s="106" t="s">
        <v>751</v>
      </c>
      <c r="C27" s="106" t="s">
        <v>960</v>
      </c>
      <c r="D27" s="99">
        <v>82606.600000000006</v>
      </c>
      <c r="E27" s="99">
        <f t="shared" si="0"/>
        <v>90867.26</v>
      </c>
    </row>
    <row r="28" spans="1:5" s="97" customFormat="1" ht="17.100000000000001" customHeight="1" outlineLevel="2">
      <c r="A28" s="73" t="s">
        <v>746</v>
      </c>
      <c r="B28" s="106" t="s">
        <v>752</v>
      </c>
      <c r="C28" s="106" t="s">
        <v>960</v>
      </c>
      <c r="D28" s="99">
        <v>115195</v>
      </c>
      <c r="E28" s="99">
        <f t="shared" si="0"/>
        <v>126714.5</v>
      </c>
    </row>
    <row r="29" spans="1:5" s="97" customFormat="1" ht="17.100000000000001" customHeight="1" outlineLevel="2">
      <c r="A29" s="73" t="s">
        <v>746</v>
      </c>
      <c r="B29" s="106" t="s">
        <v>753</v>
      </c>
      <c r="C29" s="106" t="s">
        <v>960</v>
      </c>
      <c r="D29" s="99">
        <v>55772.3</v>
      </c>
      <c r="E29" s="99">
        <f t="shared" si="0"/>
        <v>61349.53</v>
      </c>
    </row>
    <row r="30" spans="1:5" s="97" customFormat="1" ht="17.100000000000001" customHeight="1" outlineLevel="2">
      <c r="A30" s="73" t="s">
        <v>746</v>
      </c>
      <c r="B30" s="106" t="s">
        <v>754</v>
      </c>
      <c r="C30" s="106" t="s">
        <v>960</v>
      </c>
      <c r="D30" s="99">
        <v>46494.9</v>
      </c>
      <c r="E30" s="99">
        <f t="shared" si="0"/>
        <v>51144.39</v>
      </c>
    </row>
    <row r="31" spans="1:5" s="97" customFormat="1" ht="17.100000000000001" customHeight="1" outlineLevel="2">
      <c r="A31" s="73" t="s">
        <v>746</v>
      </c>
      <c r="B31" s="106" t="s">
        <v>755</v>
      </c>
      <c r="C31" s="106" t="s">
        <v>960</v>
      </c>
      <c r="D31" s="99">
        <v>225245.2</v>
      </c>
      <c r="E31" s="99">
        <f t="shared" si="0"/>
        <v>247769.72</v>
      </c>
    </row>
    <row r="32" spans="1:5" s="97" customFormat="1" ht="17.100000000000001" customHeight="1" outlineLevel="2">
      <c r="A32" s="73" t="s">
        <v>746</v>
      </c>
      <c r="B32" s="106" t="s">
        <v>756</v>
      </c>
      <c r="C32" s="106" t="s">
        <v>960</v>
      </c>
      <c r="D32" s="99">
        <v>26357</v>
      </c>
      <c r="E32" s="99">
        <f t="shared" si="0"/>
        <v>28992.7</v>
      </c>
    </row>
    <row r="33" spans="1:5" s="97" customFormat="1" ht="17.100000000000001" customHeight="1" outlineLevel="2">
      <c r="A33" s="73" t="s">
        <v>746</v>
      </c>
      <c r="B33" s="106" t="s">
        <v>265</v>
      </c>
      <c r="C33" s="106" t="s">
        <v>958</v>
      </c>
      <c r="D33" s="99">
        <v>166267.35999999999</v>
      </c>
      <c r="E33" s="99">
        <f t="shared" si="0"/>
        <v>182894.1</v>
      </c>
    </row>
    <row r="34" spans="1:5" s="97" customFormat="1" ht="17.100000000000001" customHeight="1" outlineLevel="2">
      <c r="A34" s="73" t="s">
        <v>746</v>
      </c>
      <c r="B34" s="106" t="s">
        <v>757</v>
      </c>
      <c r="C34" s="106" t="s">
        <v>964</v>
      </c>
      <c r="D34" s="99">
        <v>23315</v>
      </c>
      <c r="E34" s="99">
        <f t="shared" si="0"/>
        <v>25646.5</v>
      </c>
    </row>
    <row r="35" spans="1:5" s="97" customFormat="1" ht="17.100000000000001" customHeight="1" outlineLevel="1">
      <c r="A35" s="101" t="s">
        <v>256</v>
      </c>
      <c r="B35" s="102"/>
      <c r="C35" s="102"/>
      <c r="D35" s="103">
        <f>SUM(D15:D34)</f>
        <v>5217755.8600000013</v>
      </c>
      <c r="E35" s="103">
        <f>SUM(E15:E34)</f>
        <v>5739531.4500000002</v>
      </c>
    </row>
    <row r="36" spans="1:5" s="97" customFormat="1" ht="17.100000000000001" customHeight="1" outlineLevel="2">
      <c r="A36" s="73" t="s">
        <v>758</v>
      </c>
      <c r="B36" s="100" t="s">
        <v>227</v>
      </c>
      <c r="C36" s="100" t="s">
        <v>962</v>
      </c>
      <c r="D36" s="99">
        <v>275160.5</v>
      </c>
      <c r="E36" s="99">
        <f t="shared" si="0"/>
        <v>302676.55</v>
      </c>
    </row>
    <row r="37" spans="1:5" s="97" customFormat="1" ht="17.100000000000001" customHeight="1" outlineLevel="2">
      <c r="A37" s="73" t="s">
        <v>758</v>
      </c>
      <c r="B37" s="100" t="s">
        <v>228</v>
      </c>
      <c r="C37" s="100" t="s">
        <v>962</v>
      </c>
      <c r="D37" s="99">
        <v>266052.40000000002</v>
      </c>
      <c r="E37" s="99">
        <f t="shared" si="0"/>
        <v>292657.64</v>
      </c>
    </row>
    <row r="38" spans="1:5" s="97" customFormat="1" ht="17.100000000000001" customHeight="1" outlineLevel="2">
      <c r="A38" s="73" t="s">
        <v>758</v>
      </c>
      <c r="B38" s="98" t="s">
        <v>230</v>
      </c>
      <c r="C38" s="98" t="s">
        <v>958</v>
      </c>
      <c r="D38" s="99">
        <v>190670.4</v>
      </c>
      <c r="E38" s="99">
        <f t="shared" si="0"/>
        <v>209737.44</v>
      </c>
    </row>
    <row r="39" spans="1:5" s="97" customFormat="1" ht="17.100000000000001" customHeight="1" outlineLevel="2">
      <c r="A39" s="73" t="s">
        <v>758</v>
      </c>
      <c r="B39" s="100" t="s">
        <v>229</v>
      </c>
      <c r="C39" s="100" t="s">
        <v>962</v>
      </c>
      <c r="D39" s="99">
        <v>229771.8</v>
      </c>
      <c r="E39" s="99">
        <f t="shared" si="0"/>
        <v>252748.98</v>
      </c>
    </row>
    <row r="40" spans="1:5" s="97" customFormat="1" ht="17.100000000000001" customHeight="1" outlineLevel="2">
      <c r="A40" s="73" t="s">
        <v>758</v>
      </c>
      <c r="B40" s="98" t="s">
        <v>235</v>
      </c>
      <c r="C40" s="98" t="s">
        <v>958</v>
      </c>
      <c r="D40" s="99">
        <v>37480</v>
      </c>
      <c r="E40" s="99">
        <f t="shared" si="0"/>
        <v>41228</v>
      </c>
    </row>
    <row r="41" spans="1:5" s="97" customFormat="1" ht="17.100000000000001" customHeight="1" outlineLevel="2">
      <c r="A41" s="73" t="s">
        <v>758</v>
      </c>
      <c r="B41" s="100" t="s">
        <v>231</v>
      </c>
      <c r="C41" s="100" t="s">
        <v>959</v>
      </c>
      <c r="D41" s="99">
        <v>264193.8</v>
      </c>
      <c r="E41" s="99">
        <f t="shared" si="0"/>
        <v>290613.18</v>
      </c>
    </row>
    <row r="42" spans="1:5" s="97" customFormat="1" ht="17.100000000000001" customHeight="1" outlineLevel="2">
      <c r="A42" s="73" t="s">
        <v>758</v>
      </c>
      <c r="B42" s="100" t="s">
        <v>232</v>
      </c>
      <c r="C42" s="100" t="s">
        <v>959</v>
      </c>
      <c r="D42" s="99">
        <v>242458.6</v>
      </c>
      <c r="E42" s="99">
        <f t="shared" si="0"/>
        <v>266704.46000000002</v>
      </c>
    </row>
    <row r="43" spans="1:5" s="97" customFormat="1" ht="17.100000000000001" customHeight="1" outlineLevel="2">
      <c r="A43" s="73" t="s">
        <v>758</v>
      </c>
      <c r="B43" s="100" t="s">
        <v>234</v>
      </c>
      <c r="C43" s="100" t="s">
        <v>959</v>
      </c>
      <c r="D43" s="99">
        <v>149211</v>
      </c>
      <c r="E43" s="99">
        <f t="shared" si="0"/>
        <v>164132.1</v>
      </c>
    </row>
    <row r="44" spans="1:5" s="97" customFormat="1" ht="17.100000000000001" customHeight="1" outlineLevel="2">
      <c r="A44" s="73" t="s">
        <v>758</v>
      </c>
      <c r="B44" s="100" t="s">
        <v>233</v>
      </c>
      <c r="C44" s="100" t="s">
        <v>959</v>
      </c>
      <c r="D44" s="99">
        <v>265218.40000000002</v>
      </c>
      <c r="E44" s="99">
        <f t="shared" si="0"/>
        <v>291740.24</v>
      </c>
    </row>
    <row r="45" spans="1:5" s="97" customFormat="1" ht="17.100000000000001" customHeight="1" outlineLevel="2">
      <c r="A45" s="73" t="s">
        <v>758</v>
      </c>
      <c r="B45" s="104" t="s">
        <v>759</v>
      </c>
      <c r="C45" s="104" t="s">
        <v>959</v>
      </c>
      <c r="D45" s="99">
        <v>176846.3</v>
      </c>
      <c r="E45" s="99">
        <f t="shared" si="0"/>
        <v>194530.93</v>
      </c>
    </row>
    <row r="46" spans="1:5" s="97" customFormat="1" ht="17.100000000000001" customHeight="1" outlineLevel="2">
      <c r="A46" s="73" t="s">
        <v>758</v>
      </c>
      <c r="B46" s="98" t="s">
        <v>760</v>
      </c>
      <c r="C46" s="98" t="s">
        <v>960</v>
      </c>
      <c r="D46" s="99">
        <v>161498.79999999999</v>
      </c>
      <c r="E46" s="99">
        <f t="shared" si="0"/>
        <v>177648.68</v>
      </c>
    </row>
    <row r="47" spans="1:5" s="97" customFormat="1" ht="17.100000000000001" customHeight="1" outlineLevel="2">
      <c r="A47" s="73" t="s">
        <v>758</v>
      </c>
      <c r="B47" s="98" t="s">
        <v>761</v>
      </c>
      <c r="C47" s="98" t="s">
        <v>960</v>
      </c>
      <c r="D47" s="99">
        <v>173582.7</v>
      </c>
      <c r="E47" s="99">
        <f t="shared" si="0"/>
        <v>190940.97</v>
      </c>
    </row>
    <row r="48" spans="1:5" s="97" customFormat="1" ht="17.100000000000001" customHeight="1" outlineLevel="2">
      <c r="A48" s="73" t="s">
        <v>758</v>
      </c>
      <c r="B48" s="98" t="s">
        <v>762</v>
      </c>
      <c r="C48" s="98" t="s">
        <v>960</v>
      </c>
      <c r="D48" s="99">
        <v>145546.4</v>
      </c>
      <c r="E48" s="99">
        <f t="shared" si="0"/>
        <v>160101.04</v>
      </c>
    </row>
    <row r="49" spans="1:5" s="97" customFormat="1" ht="17.100000000000001" customHeight="1" outlineLevel="2">
      <c r="A49" s="73" t="s">
        <v>758</v>
      </c>
      <c r="B49" s="98" t="s">
        <v>763</v>
      </c>
      <c r="C49" s="98" t="s">
        <v>960</v>
      </c>
      <c r="D49" s="99">
        <v>48239.5</v>
      </c>
      <c r="E49" s="99">
        <f t="shared" si="0"/>
        <v>53063.45</v>
      </c>
    </row>
    <row r="50" spans="1:5" s="97" customFormat="1" ht="17.100000000000001" customHeight="1" outlineLevel="2">
      <c r="A50" s="73" t="s">
        <v>758</v>
      </c>
      <c r="B50" s="98" t="s">
        <v>764</v>
      </c>
      <c r="C50" s="98" t="s">
        <v>960</v>
      </c>
      <c r="D50" s="99">
        <v>62856.6</v>
      </c>
      <c r="E50" s="99">
        <f t="shared" si="0"/>
        <v>69142.259999999995</v>
      </c>
    </row>
    <row r="51" spans="1:5" s="97" customFormat="1" ht="17.100000000000001" customHeight="1" outlineLevel="2">
      <c r="A51" s="73" t="s">
        <v>758</v>
      </c>
      <c r="B51" s="98" t="s">
        <v>765</v>
      </c>
      <c r="C51" s="98" t="s">
        <v>960</v>
      </c>
      <c r="D51" s="99">
        <v>60660.1</v>
      </c>
      <c r="E51" s="99">
        <f t="shared" si="0"/>
        <v>66726.11</v>
      </c>
    </row>
    <row r="52" spans="1:5" s="97" customFormat="1" ht="17.100000000000001" customHeight="1" outlineLevel="2">
      <c r="A52" s="73" t="s">
        <v>758</v>
      </c>
      <c r="B52" s="98" t="s">
        <v>766</v>
      </c>
      <c r="C52" s="98" t="s">
        <v>960</v>
      </c>
      <c r="D52" s="99">
        <v>104392.9</v>
      </c>
      <c r="E52" s="99">
        <f t="shared" si="0"/>
        <v>114832.19</v>
      </c>
    </row>
    <row r="53" spans="1:5" s="97" customFormat="1" ht="17.100000000000001" customHeight="1" outlineLevel="2">
      <c r="A53" s="73" t="s">
        <v>758</v>
      </c>
      <c r="B53" s="98" t="s">
        <v>767</v>
      </c>
      <c r="C53" s="98" t="s">
        <v>960</v>
      </c>
      <c r="D53" s="99">
        <v>99826.2</v>
      </c>
      <c r="E53" s="99">
        <f t="shared" si="0"/>
        <v>109808.82</v>
      </c>
    </row>
    <row r="54" spans="1:5" s="97" customFormat="1" ht="17.100000000000001" customHeight="1" outlineLevel="2">
      <c r="A54" s="73" t="s">
        <v>758</v>
      </c>
      <c r="B54" s="98" t="s">
        <v>768</v>
      </c>
      <c r="C54" s="98" t="s">
        <v>964</v>
      </c>
      <c r="D54" s="99">
        <v>18453.5</v>
      </c>
      <c r="E54" s="99">
        <f t="shared" si="0"/>
        <v>20298.849999999999</v>
      </c>
    </row>
    <row r="55" spans="1:5" s="97" customFormat="1" ht="17.100000000000001" customHeight="1" outlineLevel="1">
      <c r="A55" s="101" t="s">
        <v>257</v>
      </c>
      <c r="B55" s="102"/>
      <c r="C55" s="102"/>
      <c r="D55" s="103">
        <f>SUM(D36:D54)</f>
        <v>2972119.9000000008</v>
      </c>
      <c r="E55" s="103">
        <f>SUM(E36:E54)</f>
        <v>3269331.89</v>
      </c>
    </row>
    <row r="56" spans="1:5" s="97" customFormat="1" ht="17.100000000000001" customHeight="1" outlineLevel="2">
      <c r="A56" s="73" t="s">
        <v>769</v>
      </c>
      <c r="B56" s="104" t="s">
        <v>770</v>
      </c>
      <c r="C56" s="104" t="s">
        <v>958</v>
      </c>
      <c r="D56" s="99">
        <v>3192.6</v>
      </c>
      <c r="E56" s="99">
        <f t="shared" si="0"/>
        <v>3511.86</v>
      </c>
    </row>
    <row r="57" spans="1:5" s="97" customFormat="1" ht="17.100000000000001" customHeight="1" outlineLevel="2">
      <c r="A57" s="73" t="s">
        <v>769</v>
      </c>
      <c r="B57" s="104" t="s">
        <v>771</v>
      </c>
      <c r="C57" s="104" t="s">
        <v>962</v>
      </c>
      <c r="D57" s="99">
        <v>219612.6</v>
      </c>
      <c r="E57" s="99">
        <f t="shared" si="0"/>
        <v>241573.86</v>
      </c>
    </row>
    <row r="58" spans="1:5" s="97" customFormat="1" ht="17.100000000000001" customHeight="1" outlineLevel="2">
      <c r="A58" s="73" t="s">
        <v>769</v>
      </c>
      <c r="B58" s="104" t="s">
        <v>772</v>
      </c>
      <c r="C58" s="104" t="s">
        <v>962</v>
      </c>
      <c r="D58" s="99">
        <v>221121.5</v>
      </c>
      <c r="E58" s="99">
        <f t="shared" si="0"/>
        <v>243233.65</v>
      </c>
    </row>
    <row r="59" spans="1:5" s="97" customFormat="1" ht="17.100000000000001" customHeight="1" outlineLevel="2">
      <c r="A59" s="73" t="s">
        <v>769</v>
      </c>
      <c r="B59" s="104" t="s">
        <v>773</v>
      </c>
      <c r="C59" s="104" t="s">
        <v>962</v>
      </c>
      <c r="D59" s="99">
        <v>244049.3</v>
      </c>
      <c r="E59" s="99">
        <f t="shared" si="0"/>
        <v>268454.23</v>
      </c>
    </row>
    <row r="60" spans="1:5" s="97" customFormat="1" ht="17.100000000000001" customHeight="1" outlineLevel="2">
      <c r="A60" s="73" t="s">
        <v>769</v>
      </c>
      <c r="B60" s="104" t="s">
        <v>774</v>
      </c>
      <c r="C60" s="104" t="s">
        <v>959</v>
      </c>
      <c r="D60" s="99"/>
      <c r="E60" s="99">
        <f t="shared" si="0"/>
        <v>0</v>
      </c>
    </row>
    <row r="61" spans="1:5" s="97" customFormat="1" ht="17.100000000000001" customHeight="1" outlineLevel="2">
      <c r="A61" s="73" t="s">
        <v>769</v>
      </c>
      <c r="B61" s="104" t="s">
        <v>775</v>
      </c>
      <c r="C61" s="104" t="s">
        <v>959</v>
      </c>
      <c r="D61" s="99">
        <v>192547</v>
      </c>
      <c r="E61" s="99">
        <f t="shared" si="0"/>
        <v>211801.7</v>
      </c>
    </row>
    <row r="62" spans="1:5" s="97" customFormat="1" ht="17.100000000000001" customHeight="1" outlineLevel="2">
      <c r="A62" s="73" t="s">
        <v>769</v>
      </c>
      <c r="B62" s="104" t="s">
        <v>776</v>
      </c>
      <c r="C62" s="104" t="s">
        <v>959</v>
      </c>
      <c r="D62" s="99">
        <v>347807.6</v>
      </c>
      <c r="E62" s="99">
        <f t="shared" si="0"/>
        <v>382588.36</v>
      </c>
    </row>
    <row r="63" spans="1:5" s="97" customFormat="1" ht="17.100000000000001" customHeight="1" outlineLevel="2">
      <c r="A63" s="73" t="s">
        <v>769</v>
      </c>
      <c r="B63" s="104" t="s">
        <v>777</v>
      </c>
      <c r="C63" s="104" t="s">
        <v>960</v>
      </c>
      <c r="D63" s="99">
        <v>165588.1</v>
      </c>
      <c r="E63" s="99">
        <f t="shared" si="0"/>
        <v>182146.91</v>
      </c>
    </row>
    <row r="64" spans="1:5" s="97" customFormat="1" ht="17.100000000000001" customHeight="1" outlineLevel="2">
      <c r="A64" s="73" t="s">
        <v>769</v>
      </c>
      <c r="B64" s="104" t="s">
        <v>778</v>
      </c>
      <c r="C64" s="104" t="s">
        <v>960</v>
      </c>
      <c r="D64" s="99"/>
      <c r="E64" s="99">
        <f t="shared" si="0"/>
        <v>0</v>
      </c>
    </row>
    <row r="65" spans="1:5" s="97" customFormat="1" ht="17.100000000000001" customHeight="1" outlineLevel="2">
      <c r="A65" s="73" t="s">
        <v>769</v>
      </c>
      <c r="B65" s="104" t="s">
        <v>779</v>
      </c>
      <c r="C65" s="104" t="s">
        <v>960</v>
      </c>
      <c r="D65" s="99">
        <v>188546.3</v>
      </c>
      <c r="E65" s="99">
        <f t="shared" si="0"/>
        <v>207400.93</v>
      </c>
    </row>
    <row r="66" spans="1:5" s="97" customFormat="1" ht="17.100000000000001" customHeight="1" outlineLevel="2">
      <c r="A66" s="73" t="s">
        <v>769</v>
      </c>
      <c r="B66" s="104" t="s">
        <v>780</v>
      </c>
      <c r="C66" s="104" t="s">
        <v>960</v>
      </c>
      <c r="D66" s="99">
        <v>132932.79999999999</v>
      </c>
      <c r="E66" s="99">
        <f t="shared" si="0"/>
        <v>146226.07999999999</v>
      </c>
    </row>
    <row r="67" spans="1:5" s="97" customFormat="1" ht="17.100000000000001" customHeight="1" outlineLevel="2">
      <c r="A67" s="73" t="s">
        <v>769</v>
      </c>
      <c r="B67" s="104" t="s">
        <v>781</v>
      </c>
      <c r="C67" s="104" t="s">
        <v>960</v>
      </c>
      <c r="D67" s="99">
        <v>92065.5</v>
      </c>
      <c r="E67" s="99">
        <f t="shared" ref="E67:E120" si="1">ROUND(D67*1.1,2)</f>
        <v>101272.05</v>
      </c>
    </row>
    <row r="68" spans="1:5" s="97" customFormat="1" ht="17.100000000000001" customHeight="1" outlineLevel="2">
      <c r="A68" s="73" t="s">
        <v>769</v>
      </c>
      <c r="B68" s="104" t="s">
        <v>782</v>
      </c>
      <c r="C68" s="104" t="s">
        <v>960</v>
      </c>
      <c r="D68" s="99">
        <v>107874.6</v>
      </c>
      <c r="E68" s="99">
        <f t="shared" si="1"/>
        <v>118662.06</v>
      </c>
    </row>
    <row r="69" spans="1:5" s="97" customFormat="1" ht="17.100000000000001" customHeight="1" outlineLevel="2">
      <c r="A69" s="73" t="s">
        <v>769</v>
      </c>
      <c r="B69" s="104" t="s">
        <v>783</v>
      </c>
      <c r="C69" s="104" t="s">
        <v>960</v>
      </c>
      <c r="D69" s="99">
        <v>42524.1</v>
      </c>
      <c r="E69" s="99">
        <f t="shared" si="1"/>
        <v>46776.51</v>
      </c>
    </row>
    <row r="70" spans="1:5" s="97" customFormat="1" ht="17.100000000000001" customHeight="1" outlineLevel="2">
      <c r="A70" s="73" t="s">
        <v>769</v>
      </c>
      <c r="B70" s="104" t="s">
        <v>784</v>
      </c>
      <c r="C70" s="104" t="s">
        <v>960</v>
      </c>
      <c r="D70" s="99">
        <v>17997.7</v>
      </c>
      <c r="E70" s="99">
        <f t="shared" si="1"/>
        <v>19797.47</v>
      </c>
    </row>
    <row r="71" spans="1:5" s="97" customFormat="1" ht="17.100000000000001" customHeight="1" outlineLevel="2">
      <c r="A71" s="73" t="s">
        <v>769</v>
      </c>
      <c r="B71" s="104" t="s">
        <v>785</v>
      </c>
      <c r="C71" s="104" t="s">
        <v>964</v>
      </c>
      <c r="D71" s="99">
        <v>12787.7</v>
      </c>
      <c r="E71" s="99">
        <f t="shared" si="1"/>
        <v>14066.47</v>
      </c>
    </row>
    <row r="72" spans="1:5" s="97" customFormat="1" ht="17.100000000000001" customHeight="1" outlineLevel="1">
      <c r="A72" s="101" t="s">
        <v>258</v>
      </c>
      <c r="B72" s="102"/>
      <c r="C72" s="102"/>
      <c r="D72" s="103">
        <f>SUM(D56:D71)</f>
        <v>1988647.4000000004</v>
      </c>
      <c r="E72" s="103">
        <f>SUM(E56:E71)</f>
        <v>2187512.14</v>
      </c>
    </row>
    <row r="73" spans="1:5" s="97" customFormat="1" ht="17.100000000000001" customHeight="1" outlineLevel="2">
      <c r="A73" s="73" t="s">
        <v>786</v>
      </c>
      <c r="B73" s="98" t="s">
        <v>787</v>
      </c>
      <c r="C73" s="98" t="s">
        <v>957</v>
      </c>
      <c r="D73" s="99">
        <v>31608.51</v>
      </c>
      <c r="E73" s="99">
        <f t="shared" si="1"/>
        <v>34769.360000000001</v>
      </c>
    </row>
    <row r="74" spans="1:5" s="97" customFormat="1" ht="17.100000000000001" customHeight="1" outlineLevel="2">
      <c r="A74" s="73" t="s">
        <v>786</v>
      </c>
      <c r="B74" s="104" t="s">
        <v>788</v>
      </c>
      <c r="C74" s="104" t="s">
        <v>958</v>
      </c>
      <c r="D74" s="99">
        <v>298061.40000000002</v>
      </c>
      <c r="E74" s="99">
        <f t="shared" si="1"/>
        <v>327867.53999999998</v>
      </c>
    </row>
    <row r="75" spans="1:5" s="97" customFormat="1" ht="17.100000000000001" customHeight="1" outlineLevel="2">
      <c r="A75" s="73" t="s">
        <v>786</v>
      </c>
      <c r="B75" s="104" t="s">
        <v>789</v>
      </c>
      <c r="C75" s="104" t="s">
        <v>958</v>
      </c>
      <c r="D75" s="99">
        <v>545717.5</v>
      </c>
      <c r="E75" s="99">
        <f t="shared" si="1"/>
        <v>600289.25</v>
      </c>
    </row>
    <row r="76" spans="1:5" s="97" customFormat="1" ht="17.100000000000001" customHeight="1" outlineLevel="2">
      <c r="A76" s="73" t="s">
        <v>786</v>
      </c>
      <c r="B76" s="104" t="s">
        <v>790</v>
      </c>
      <c r="C76" s="104" t="s">
        <v>962</v>
      </c>
      <c r="D76" s="99">
        <v>232820.4</v>
      </c>
      <c r="E76" s="99">
        <f t="shared" si="1"/>
        <v>256102.44</v>
      </c>
    </row>
    <row r="77" spans="1:5" s="97" customFormat="1" ht="17.100000000000001" customHeight="1" outlineLevel="2">
      <c r="A77" s="73" t="s">
        <v>786</v>
      </c>
      <c r="B77" s="104" t="s">
        <v>791</v>
      </c>
      <c r="C77" s="104" t="s">
        <v>959</v>
      </c>
      <c r="D77" s="99">
        <v>266762.09999999998</v>
      </c>
      <c r="E77" s="99">
        <f t="shared" si="1"/>
        <v>293438.31</v>
      </c>
    </row>
    <row r="78" spans="1:5" s="97" customFormat="1" ht="17.100000000000001" customHeight="1" outlineLevel="2">
      <c r="A78" s="73" t="s">
        <v>786</v>
      </c>
      <c r="B78" s="104" t="s">
        <v>792</v>
      </c>
      <c r="C78" s="104" t="s">
        <v>960</v>
      </c>
      <c r="D78" s="99">
        <v>76232.100000000006</v>
      </c>
      <c r="E78" s="99">
        <f t="shared" si="1"/>
        <v>83855.31</v>
      </c>
    </row>
    <row r="79" spans="1:5" s="97" customFormat="1" ht="17.100000000000001" customHeight="1" outlineLevel="2">
      <c r="A79" s="73" t="s">
        <v>786</v>
      </c>
      <c r="B79" s="104" t="s">
        <v>793</v>
      </c>
      <c r="C79" s="104" t="s">
        <v>960</v>
      </c>
      <c r="D79" s="99">
        <v>60770.2</v>
      </c>
      <c r="E79" s="99">
        <f t="shared" si="1"/>
        <v>66847.22</v>
      </c>
    </row>
    <row r="80" spans="1:5" s="97" customFormat="1" ht="17.100000000000001" customHeight="1" outlineLevel="2">
      <c r="A80" s="73" t="s">
        <v>786</v>
      </c>
      <c r="B80" s="104" t="s">
        <v>794</v>
      </c>
      <c r="C80" s="104" t="s">
        <v>960</v>
      </c>
      <c r="D80" s="99">
        <v>78359.149999999994</v>
      </c>
      <c r="E80" s="99">
        <f t="shared" si="1"/>
        <v>86195.07</v>
      </c>
    </row>
    <row r="81" spans="1:5" s="97" customFormat="1" ht="17.100000000000001" customHeight="1" outlineLevel="2">
      <c r="A81" s="73" t="s">
        <v>786</v>
      </c>
      <c r="B81" s="104" t="s">
        <v>795</v>
      </c>
      <c r="C81" s="104" t="s">
        <v>960</v>
      </c>
      <c r="D81" s="99">
        <v>158913</v>
      </c>
      <c r="E81" s="99">
        <f t="shared" si="1"/>
        <v>174804.3</v>
      </c>
    </row>
    <row r="82" spans="1:5" s="97" customFormat="1" ht="17.100000000000001" customHeight="1" outlineLevel="2">
      <c r="A82" s="73" t="s">
        <v>786</v>
      </c>
      <c r="B82" s="104" t="s">
        <v>796</v>
      </c>
      <c r="C82" s="104" t="s">
        <v>960</v>
      </c>
      <c r="D82" s="99">
        <v>83760.2</v>
      </c>
      <c r="E82" s="99">
        <f t="shared" si="1"/>
        <v>92136.22</v>
      </c>
    </row>
    <row r="83" spans="1:5" s="97" customFormat="1" ht="17.100000000000001" customHeight="1" outlineLevel="2">
      <c r="A83" s="73" t="s">
        <v>786</v>
      </c>
      <c r="B83" s="104" t="s">
        <v>797</v>
      </c>
      <c r="C83" s="104" t="s">
        <v>960</v>
      </c>
      <c r="D83" s="99">
        <v>57413.3</v>
      </c>
      <c r="E83" s="99">
        <f t="shared" si="1"/>
        <v>63154.63</v>
      </c>
    </row>
    <row r="84" spans="1:5" s="97" customFormat="1" ht="17.100000000000001" customHeight="1" outlineLevel="2">
      <c r="A84" s="73" t="s">
        <v>786</v>
      </c>
      <c r="B84" s="104" t="s">
        <v>798</v>
      </c>
      <c r="C84" s="104" t="s">
        <v>960</v>
      </c>
      <c r="D84" s="99">
        <v>57821</v>
      </c>
      <c r="E84" s="99">
        <f t="shared" si="1"/>
        <v>63603.1</v>
      </c>
    </row>
    <row r="85" spans="1:5" s="97" customFormat="1" ht="17.100000000000001" customHeight="1" outlineLevel="1">
      <c r="A85" s="101" t="s">
        <v>259</v>
      </c>
      <c r="B85" s="102"/>
      <c r="C85" s="102"/>
      <c r="D85" s="103">
        <f>SUM(D73:D84)</f>
        <v>1948238.86</v>
      </c>
      <c r="E85" s="103">
        <f>SUM(E73:E84)</f>
        <v>2143062.75</v>
      </c>
    </row>
    <row r="86" spans="1:5" s="97" customFormat="1" ht="17.100000000000001" customHeight="1" outlineLevel="2">
      <c r="A86" s="73" t="s">
        <v>799</v>
      </c>
      <c r="B86" s="107" t="s">
        <v>800</v>
      </c>
      <c r="C86" s="107" t="s">
        <v>958</v>
      </c>
      <c r="D86" s="99">
        <v>458185.4</v>
      </c>
      <c r="E86" s="99">
        <f t="shared" si="1"/>
        <v>504003.94</v>
      </c>
    </row>
    <row r="87" spans="1:5" s="97" customFormat="1" ht="17.100000000000001" customHeight="1" outlineLevel="2">
      <c r="A87" s="73" t="s">
        <v>799</v>
      </c>
      <c r="B87" s="108" t="s">
        <v>801</v>
      </c>
      <c r="C87" s="107" t="s">
        <v>958</v>
      </c>
      <c r="D87" s="99">
        <v>460477.2</v>
      </c>
      <c r="E87" s="99">
        <f t="shared" si="1"/>
        <v>506524.92</v>
      </c>
    </row>
    <row r="88" spans="1:5" s="97" customFormat="1" ht="17.100000000000001" customHeight="1" outlineLevel="2">
      <c r="A88" s="73" t="s">
        <v>799</v>
      </c>
      <c r="B88" s="108" t="s">
        <v>802</v>
      </c>
      <c r="C88" s="107" t="s">
        <v>958</v>
      </c>
      <c r="D88" s="99"/>
      <c r="E88" s="99">
        <f t="shared" si="1"/>
        <v>0</v>
      </c>
    </row>
    <row r="89" spans="1:5" s="97" customFormat="1" ht="17.100000000000001" customHeight="1" outlineLevel="2">
      <c r="A89" s="73" t="s">
        <v>799</v>
      </c>
      <c r="B89" s="108" t="s">
        <v>803</v>
      </c>
      <c r="C89" s="108" t="s">
        <v>960</v>
      </c>
      <c r="D89" s="99"/>
      <c r="E89" s="99">
        <f t="shared" si="1"/>
        <v>0</v>
      </c>
    </row>
    <row r="90" spans="1:5" s="97" customFormat="1" ht="17.100000000000001" customHeight="1" outlineLevel="2">
      <c r="A90" s="73" t="s">
        <v>799</v>
      </c>
      <c r="B90" s="108" t="s">
        <v>804</v>
      </c>
      <c r="C90" s="108" t="s">
        <v>960</v>
      </c>
      <c r="D90" s="99"/>
      <c r="E90" s="99">
        <f t="shared" si="1"/>
        <v>0</v>
      </c>
    </row>
    <row r="91" spans="1:5" s="97" customFormat="1" ht="17.100000000000001" customHeight="1" outlineLevel="2">
      <c r="A91" s="73" t="s">
        <v>799</v>
      </c>
      <c r="B91" s="108" t="s">
        <v>805</v>
      </c>
      <c r="C91" s="108" t="s">
        <v>960</v>
      </c>
      <c r="D91" s="99">
        <v>89731.9</v>
      </c>
      <c r="E91" s="99">
        <f t="shared" si="1"/>
        <v>98705.09</v>
      </c>
    </row>
    <row r="92" spans="1:5" s="97" customFormat="1" ht="17.100000000000001" customHeight="1" outlineLevel="2">
      <c r="A92" s="73" t="s">
        <v>799</v>
      </c>
      <c r="B92" s="108" t="s">
        <v>806</v>
      </c>
      <c r="C92" s="108" t="s">
        <v>960</v>
      </c>
      <c r="D92" s="99">
        <v>55548.5</v>
      </c>
      <c r="E92" s="99">
        <f t="shared" si="1"/>
        <v>61103.35</v>
      </c>
    </row>
    <row r="93" spans="1:5" s="97" customFormat="1" ht="17.100000000000001" customHeight="1" outlineLevel="2">
      <c r="A93" s="73" t="s">
        <v>799</v>
      </c>
      <c r="B93" s="108" t="s">
        <v>807</v>
      </c>
      <c r="C93" s="108" t="s">
        <v>964</v>
      </c>
      <c r="D93" s="99">
        <v>22879.7</v>
      </c>
      <c r="E93" s="99">
        <f t="shared" si="1"/>
        <v>25167.67</v>
      </c>
    </row>
    <row r="94" spans="1:5" s="97" customFormat="1" ht="17.100000000000001" customHeight="1" outlineLevel="1">
      <c r="A94" s="101" t="s">
        <v>260</v>
      </c>
      <c r="B94" s="96"/>
      <c r="C94" s="96"/>
      <c r="D94" s="103">
        <f>SUM(D86:D93)</f>
        <v>1086822.7</v>
      </c>
      <c r="E94" s="103">
        <f>SUM(E86:E93)</f>
        <v>1195504.97</v>
      </c>
    </row>
    <row r="95" spans="1:5" s="97" customFormat="1" ht="17.100000000000001" customHeight="1" outlineLevel="2">
      <c r="A95" s="73" t="s">
        <v>808</v>
      </c>
      <c r="B95" s="100" t="s">
        <v>245</v>
      </c>
      <c r="C95" s="100" t="s">
        <v>962</v>
      </c>
      <c r="D95" s="99">
        <v>371833.1</v>
      </c>
      <c r="E95" s="99">
        <f t="shared" si="1"/>
        <v>409016.41</v>
      </c>
    </row>
    <row r="96" spans="1:5" s="97" customFormat="1" ht="17.100000000000001" customHeight="1" outlineLevel="2">
      <c r="A96" s="73" t="s">
        <v>808</v>
      </c>
      <c r="B96" s="100" t="s">
        <v>246</v>
      </c>
      <c r="C96" s="100" t="s">
        <v>962</v>
      </c>
      <c r="D96" s="99">
        <v>241920.9</v>
      </c>
      <c r="E96" s="99">
        <f t="shared" si="1"/>
        <v>266112.99</v>
      </c>
    </row>
    <row r="97" spans="1:5" s="97" customFormat="1" ht="17.100000000000001" customHeight="1" outlineLevel="2">
      <c r="A97" s="73" t="s">
        <v>808</v>
      </c>
      <c r="B97" s="100" t="s">
        <v>809</v>
      </c>
      <c r="C97" s="100" t="s">
        <v>959</v>
      </c>
      <c r="D97" s="99">
        <v>22838.9</v>
      </c>
      <c r="E97" s="99">
        <f t="shared" si="1"/>
        <v>25122.79</v>
      </c>
    </row>
    <row r="98" spans="1:5" s="97" customFormat="1" ht="17.100000000000001" customHeight="1" outlineLevel="2">
      <c r="A98" s="73" t="s">
        <v>808</v>
      </c>
      <c r="B98" s="100" t="s">
        <v>810</v>
      </c>
      <c r="C98" s="100" t="s">
        <v>959</v>
      </c>
      <c r="D98" s="99"/>
      <c r="E98" s="99">
        <f t="shared" si="1"/>
        <v>0</v>
      </c>
    </row>
    <row r="99" spans="1:5" s="97" customFormat="1" ht="17.100000000000001" customHeight="1" outlineLevel="2">
      <c r="A99" s="73" t="s">
        <v>808</v>
      </c>
      <c r="B99" s="100" t="s">
        <v>249</v>
      </c>
      <c r="C99" s="100" t="s">
        <v>959</v>
      </c>
      <c r="D99" s="99">
        <v>370255.4</v>
      </c>
      <c r="E99" s="99">
        <f t="shared" si="1"/>
        <v>407280.94</v>
      </c>
    </row>
    <row r="100" spans="1:5" s="97" customFormat="1" ht="17.100000000000001" customHeight="1" outlineLevel="2">
      <c r="A100" s="73" t="s">
        <v>808</v>
      </c>
      <c r="B100" s="100" t="s">
        <v>251</v>
      </c>
      <c r="C100" s="100" t="s">
        <v>959</v>
      </c>
      <c r="D100" s="99">
        <v>147109.4</v>
      </c>
      <c r="E100" s="99">
        <f t="shared" si="1"/>
        <v>161820.34</v>
      </c>
    </row>
    <row r="101" spans="1:5" s="97" customFormat="1" ht="17.100000000000001" customHeight="1" outlineLevel="2">
      <c r="A101" s="73" t="s">
        <v>808</v>
      </c>
      <c r="B101" s="98" t="s">
        <v>811</v>
      </c>
      <c r="C101" s="98" t="s">
        <v>960</v>
      </c>
      <c r="D101" s="99">
        <v>165579.1</v>
      </c>
      <c r="E101" s="99">
        <f t="shared" si="1"/>
        <v>182137.01</v>
      </c>
    </row>
    <row r="102" spans="1:5" s="97" customFormat="1" ht="17.100000000000001" customHeight="1" outlineLevel="2">
      <c r="A102" s="73" t="s">
        <v>808</v>
      </c>
      <c r="B102" s="98" t="s">
        <v>812</v>
      </c>
      <c r="C102" s="98" t="s">
        <v>960</v>
      </c>
      <c r="D102" s="99">
        <v>130448.4</v>
      </c>
      <c r="E102" s="99">
        <f t="shared" si="1"/>
        <v>143493.24</v>
      </c>
    </row>
    <row r="103" spans="1:5" s="97" customFormat="1" ht="17.100000000000001" customHeight="1" outlineLevel="2">
      <c r="A103" s="73" t="s">
        <v>808</v>
      </c>
      <c r="B103" s="98" t="s">
        <v>813</v>
      </c>
      <c r="C103" s="98" t="s">
        <v>960</v>
      </c>
      <c r="D103" s="99">
        <v>117479</v>
      </c>
      <c r="E103" s="99">
        <f t="shared" si="1"/>
        <v>129226.9</v>
      </c>
    </row>
    <row r="104" spans="1:5" s="97" customFormat="1" ht="17.100000000000001" customHeight="1" outlineLevel="2">
      <c r="A104" s="73" t="s">
        <v>808</v>
      </c>
      <c r="B104" s="98" t="s">
        <v>814</v>
      </c>
      <c r="C104" s="98" t="s">
        <v>960</v>
      </c>
      <c r="D104" s="99">
        <v>121738.8</v>
      </c>
      <c r="E104" s="99">
        <f t="shared" si="1"/>
        <v>133912.68</v>
      </c>
    </row>
    <row r="105" spans="1:5" s="97" customFormat="1" ht="17.100000000000001" customHeight="1" outlineLevel="2">
      <c r="A105" s="73" t="s">
        <v>808</v>
      </c>
      <c r="B105" s="100" t="s">
        <v>248</v>
      </c>
      <c r="C105" s="100" t="s">
        <v>958</v>
      </c>
      <c r="D105" s="99">
        <v>412146</v>
      </c>
      <c r="E105" s="99">
        <f t="shared" si="1"/>
        <v>453360.6</v>
      </c>
    </row>
    <row r="106" spans="1:5" s="97" customFormat="1" ht="17.100000000000001" customHeight="1" outlineLevel="2">
      <c r="A106" s="73" t="s">
        <v>808</v>
      </c>
      <c r="B106" s="98" t="s">
        <v>815</v>
      </c>
      <c r="C106" s="98" t="s">
        <v>957</v>
      </c>
      <c r="D106" s="99">
        <v>15132.3</v>
      </c>
      <c r="E106" s="99">
        <f t="shared" si="1"/>
        <v>16645.53</v>
      </c>
    </row>
    <row r="107" spans="1:5" s="97" customFormat="1" ht="17.100000000000001" customHeight="1" outlineLevel="2">
      <c r="A107" s="73" t="s">
        <v>808</v>
      </c>
      <c r="B107" s="98" t="s">
        <v>816</v>
      </c>
      <c r="C107" s="98" t="s">
        <v>960</v>
      </c>
      <c r="D107" s="99">
        <v>36493</v>
      </c>
      <c r="E107" s="99">
        <f t="shared" si="1"/>
        <v>40142.300000000003</v>
      </c>
    </row>
    <row r="108" spans="1:5" s="97" customFormat="1" ht="17.100000000000001" customHeight="1" outlineLevel="2">
      <c r="A108" s="73" t="s">
        <v>808</v>
      </c>
      <c r="B108" s="100" t="s">
        <v>247</v>
      </c>
      <c r="C108" s="100" t="s">
        <v>962</v>
      </c>
      <c r="D108" s="99">
        <v>217656.5</v>
      </c>
      <c r="E108" s="99">
        <f t="shared" si="1"/>
        <v>239422.15</v>
      </c>
    </row>
    <row r="109" spans="1:5" s="97" customFormat="1" ht="17.100000000000001" customHeight="1" outlineLevel="2">
      <c r="A109" s="73" t="s">
        <v>808</v>
      </c>
      <c r="B109" s="100" t="s">
        <v>817</v>
      </c>
      <c r="C109" s="100" t="s">
        <v>960</v>
      </c>
      <c r="D109" s="99">
        <v>80436</v>
      </c>
      <c r="E109" s="99">
        <f t="shared" si="1"/>
        <v>88479.6</v>
      </c>
    </row>
    <row r="110" spans="1:5" s="97" customFormat="1" ht="17.100000000000001" customHeight="1" outlineLevel="1">
      <c r="A110" s="101" t="s">
        <v>261</v>
      </c>
      <c r="B110" s="102"/>
      <c r="C110" s="102"/>
      <c r="D110" s="103">
        <f>SUM(D95:D109)</f>
        <v>2451066.7999999998</v>
      </c>
      <c r="E110" s="103">
        <f>SUM(E95:E109)</f>
        <v>2696173.4799999995</v>
      </c>
    </row>
    <row r="111" spans="1:5" s="97" customFormat="1" ht="17.100000000000001" customHeight="1" outlineLevel="2">
      <c r="A111" s="73" t="s">
        <v>818</v>
      </c>
      <c r="B111" s="100" t="s">
        <v>654</v>
      </c>
      <c r="C111" s="100" t="s">
        <v>962</v>
      </c>
      <c r="D111" s="99">
        <v>243099.6</v>
      </c>
      <c r="E111" s="99">
        <f t="shared" si="1"/>
        <v>267409.56</v>
      </c>
    </row>
    <row r="112" spans="1:5" s="97" customFormat="1" ht="17.100000000000001" customHeight="1" outlineLevel="2">
      <c r="A112" s="73" t="s">
        <v>818</v>
      </c>
      <c r="B112" s="100" t="s">
        <v>221</v>
      </c>
      <c r="C112" s="100" t="s">
        <v>962</v>
      </c>
      <c r="D112" s="99">
        <v>186346.3</v>
      </c>
      <c r="E112" s="99">
        <f t="shared" si="1"/>
        <v>204980.93</v>
      </c>
    </row>
    <row r="113" spans="1:5" s="97" customFormat="1" ht="17.100000000000001" customHeight="1" outlineLevel="2">
      <c r="A113" s="73" t="s">
        <v>818</v>
      </c>
      <c r="B113" s="100" t="s">
        <v>819</v>
      </c>
      <c r="C113" s="100" t="s">
        <v>958</v>
      </c>
      <c r="D113" s="99">
        <v>340722.3</v>
      </c>
      <c r="E113" s="99">
        <f t="shared" si="1"/>
        <v>374794.53</v>
      </c>
    </row>
    <row r="114" spans="1:5" s="97" customFormat="1" ht="17.100000000000001" customHeight="1" outlineLevel="2">
      <c r="A114" s="73" t="s">
        <v>818</v>
      </c>
      <c r="B114" s="100" t="s">
        <v>222</v>
      </c>
      <c r="C114" s="100" t="s">
        <v>959</v>
      </c>
      <c r="D114" s="99">
        <v>26131.9</v>
      </c>
      <c r="E114" s="99">
        <f t="shared" si="1"/>
        <v>28745.09</v>
      </c>
    </row>
    <row r="115" spans="1:5" s="97" customFormat="1" ht="17.100000000000001" customHeight="1" outlineLevel="2">
      <c r="A115" s="73" t="s">
        <v>818</v>
      </c>
      <c r="B115" s="100" t="s">
        <v>223</v>
      </c>
      <c r="C115" s="100" t="s">
        <v>959</v>
      </c>
      <c r="D115" s="99">
        <v>222994.8</v>
      </c>
      <c r="E115" s="99">
        <f t="shared" si="1"/>
        <v>245294.28</v>
      </c>
    </row>
    <row r="116" spans="1:5" s="97" customFormat="1" ht="17.100000000000001" customHeight="1" outlineLevel="2">
      <c r="A116" s="73" t="s">
        <v>818</v>
      </c>
      <c r="B116" s="98" t="s">
        <v>820</v>
      </c>
      <c r="C116" s="98" t="s">
        <v>960</v>
      </c>
      <c r="D116" s="99">
        <v>152137.4</v>
      </c>
      <c r="E116" s="99">
        <f t="shared" si="1"/>
        <v>167351.14000000001</v>
      </c>
    </row>
    <row r="117" spans="1:5" s="97" customFormat="1" ht="17.100000000000001" customHeight="1" outlineLevel="2">
      <c r="A117" s="73" t="s">
        <v>818</v>
      </c>
      <c r="B117" s="98" t="s">
        <v>821</v>
      </c>
      <c r="C117" s="98" t="s">
        <v>960</v>
      </c>
      <c r="D117" s="99">
        <v>140763.9</v>
      </c>
      <c r="E117" s="99">
        <f t="shared" si="1"/>
        <v>154840.29</v>
      </c>
    </row>
    <row r="118" spans="1:5" s="97" customFormat="1" ht="17.100000000000001" customHeight="1" outlineLevel="2">
      <c r="A118" s="73" t="s">
        <v>818</v>
      </c>
      <c r="B118" s="98" t="s">
        <v>822</v>
      </c>
      <c r="C118" s="98" t="s">
        <v>960</v>
      </c>
      <c r="D118" s="99">
        <v>102866.3</v>
      </c>
      <c r="E118" s="99">
        <f t="shared" si="1"/>
        <v>113152.93</v>
      </c>
    </row>
    <row r="119" spans="1:5" s="97" customFormat="1" ht="17.100000000000001" customHeight="1" outlineLevel="2">
      <c r="A119" s="73" t="s">
        <v>818</v>
      </c>
      <c r="B119" s="98" t="s">
        <v>823</v>
      </c>
      <c r="C119" s="98" t="s">
        <v>960</v>
      </c>
      <c r="D119" s="99">
        <v>128020.4</v>
      </c>
      <c r="E119" s="99">
        <f t="shared" si="1"/>
        <v>140822.44</v>
      </c>
    </row>
    <row r="120" spans="1:5" s="97" customFormat="1" ht="17.100000000000001" customHeight="1" outlineLevel="2">
      <c r="A120" s="73" t="s">
        <v>818</v>
      </c>
      <c r="B120" s="98" t="s">
        <v>824</v>
      </c>
      <c r="C120" s="98" t="s">
        <v>957</v>
      </c>
      <c r="D120" s="99">
        <v>3801.3</v>
      </c>
      <c r="E120" s="99">
        <f t="shared" si="1"/>
        <v>4181.43</v>
      </c>
    </row>
    <row r="121" spans="1:5" s="97" customFormat="1" ht="17.100000000000001" customHeight="1" outlineLevel="1">
      <c r="A121" s="101" t="s">
        <v>262</v>
      </c>
      <c r="B121" s="96"/>
      <c r="C121" s="96"/>
      <c r="D121" s="103">
        <f>SUM(D111:D120)</f>
        <v>1546884.1999999997</v>
      </c>
      <c r="E121" s="103">
        <f>SUM(E111:E120)</f>
        <v>1701572.6199999996</v>
      </c>
    </row>
    <row r="122" spans="1:5" s="97" customFormat="1" ht="17.100000000000001" customHeight="1">
      <c r="A122" s="101" t="s">
        <v>252</v>
      </c>
      <c r="B122" s="96"/>
      <c r="C122" s="96"/>
      <c r="D122" s="103">
        <f>SUM(D121,D110,D94,D85,D72,D55,D35,D14,D8)</f>
        <v>18490168.920000002</v>
      </c>
      <c r="E122" s="103">
        <f>SUM(E121,E110,E94,E85,E72,E55,E35,E14,E8)</f>
        <v>20339185.82</v>
      </c>
    </row>
    <row r="123" spans="1:5" s="97" customFormat="1" ht="11.25"/>
  </sheetData>
  <autoFilter ref="A2:E122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C13" sqref="C13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378" t="s">
        <v>833</v>
      </c>
      <c r="B1" s="378"/>
      <c r="C1" s="378"/>
    </row>
    <row r="2" spans="1:3" ht="24.95" customHeight="1">
      <c r="A2" s="27" t="s">
        <v>253</v>
      </c>
      <c r="B2" s="27" t="s">
        <v>268</v>
      </c>
      <c r="C2" s="27" t="s">
        <v>269</v>
      </c>
    </row>
    <row r="3" spans="1:3" ht="24.95" customHeight="1">
      <c r="A3" s="28" t="s">
        <v>2</v>
      </c>
      <c r="B3" s="29">
        <v>300101</v>
      </c>
      <c r="C3" s="26">
        <f>B3*3</f>
        <v>900303</v>
      </c>
    </row>
    <row r="4" spans="1:3" ht="24.95" customHeight="1">
      <c r="A4" s="28" t="s">
        <v>3</v>
      </c>
      <c r="B4" s="29">
        <v>145517</v>
      </c>
      <c r="C4" s="26">
        <f t="shared" ref="C4:C12" si="0">B4*3</f>
        <v>436551</v>
      </c>
    </row>
    <row r="5" spans="1:3" ht="24.95" customHeight="1">
      <c r="A5" s="28" t="s">
        <v>4</v>
      </c>
      <c r="B5" s="29">
        <v>276368</v>
      </c>
      <c r="C5" s="26">
        <f t="shared" si="0"/>
        <v>829104</v>
      </c>
    </row>
    <row r="6" spans="1:3" ht="24.95" customHeight="1">
      <c r="A6" s="28" t="s">
        <v>5</v>
      </c>
      <c r="B6" s="29">
        <v>308002</v>
      </c>
      <c r="C6" s="26">
        <f t="shared" si="0"/>
        <v>924006</v>
      </c>
    </row>
    <row r="7" spans="1:3" ht="24.95" customHeight="1">
      <c r="A7" s="28" t="s">
        <v>6</v>
      </c>
      <c r="B7" s="29">
        <v>293661</v>
      </c>
      <c r="C7" s="26">
        <f t="shared" si="0"/>
        <v>880983</v>
      </c>
    </row>
    <row r="8" spans="1:3" ht="24.95" customHeight="1">
      <c r="A8" s="28" t="s">
        <v>7</v>
      </c>
      <c r="B8" s="29">
        <v>142015</v>
      </c>
      <c r="C8" s="26">
        <f t="shared" si="0"/>
        <v>426045</v>
      </c>
    </row>
    <row r="9" spans="1:3" ht="24.95" customHeight="1">
      <c r="A9" s="28" t="s">
        <v>8</v>
      </c>
      <c r="B9" s="29">
        <v>187764</v>
      </c>
      <c r="C9" s="26">
        <f t="shared" si="0"/>
        <v>563292</v>
      </c>
    </row>
    <row r="10" spans="1:3" ht="24.95" customHeight="1">
      <c r="A10" s="28" t="s">
        <v>9</v>
      </c>
      <c r="B10" s="29">
        <v>216038</v>
      </c>
      <c r="C10" s="26">
        <f t="shared" si="0"/>
        <v>648114</v>
      </c>
    </row>
    <row r="11" spans="1:3" ht="24.95" customHeight="1">
      <c r="A11" s="28" t="s">
        <v>10</v>
      </c>
      <c r="B11" s="29">
        <v>171520</v>
      </c>
      <c r="C11" s="26">
        <f t="shared" si="0"/>
        <v>514560</v>
      </c>
    </row>
    <row r="12" spans="1:3" ht="24.95" customHeight="1">
      <c r="A12" s="28" t="s">
        <v>11</v>
      </c>
      <c r="B12" s="29">
        <v>64976</v>
      </c>
      <c r="C12" s="26">
        <f t="shared" si="0"/>
        <v>194928</v>
      </c>
    </row>
    <row r="13" spans="1:3" ht="24.95" customHeight="1">
      <c r="A13" s="30" t="s">
        <v>267</v>
      </c>
      <c r="B13" s="31">
        <f>SUM(B3:B12)</f>
        <v>2105962</v>
      </c>
      <c r="C13" s="31">
        <f>SUM(C3:C12)</f>
        <v>6317886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J185"/>
  <sheetViews>
    <sheetView topLeftCell="A133" workbookViewId="0">
      <selection activeCell="B152" sqref="B152"/>
    </sheetView>
  </sheetViews>
  <sheetFormatPr defaultRowHeight="14.25" outlineLevelRow="2"/>
  <cols>
    <col min="1" max="1" width="37.5" style="124" customWidth="1"/>
    <col min="2" max="2" width="11.625" style="125" customWidth="1"/>
    <col min="3" max="3" width="13.5" style="25" customWidth="1"/>
    <col min="4" max="5" width="7.625" style="25" customWidth="1"/>
    <col min="6" max="6" width="12.625" style="129" customWidth="1"/>
    <col min="7" max="7" width="15.75" style="130" customWidth="1"/>
    <col min="8" max="8" width="6.25" style="25" hidden="1" customWidth="1"/>
    <col min="9" max="9" width="25.875" style="25" hidden="1" customWidth="1"/>
    <col min="10" max="10" width="31.25" style="128" customWidth="1"/>
    <col min="11" max="16384" width="9" style="25"/>
  </cols>
  <sheetData>
    <row r="1" spans="1:10" ht="32.1" customHeight="1">
      <c r="A1" s="379" t="s">
        <v>954</v>
      </c>
      <c r="B1" s="379"/>
      <c r="C1" s="379"/>
      <c r="D1" s="379"/>
      <c r="E1" s="379"/>
      <c r="F1" s="379"/>
      <c r="G1" s="379"/>
      <c r="H1" s="379"/>
      <c r="I1" s="379"/>
      <c r="J1" s="379"/>
    </row>
    <row r="2" spans="1:10" ht="14.1" customHeight="1">
      <c r="A2" s="131" t="s">
        <v>472</v>
      </c>
      <c r="B2" s="131" t="s">
        <v>473</v>
      </c>
      <c r="C2" s="132" t="s">
        <v>474</v>
      </c>
      <c r="D2" s="131" t="s">
        <v>475</v>
      </c>
      <c r="E2" s="131" t="s">
        <v>476</v>
      </c>
      <c r="F2" s="133" t="s">
        <v>477</v>
      </c>
      <c r="G2" s="134" t="s">
        <v>478</v>
      </c>
      <c r="H2" s="131" t="s">
        <v>479</v>
      </c>
      <c r="I2" s="135" t="s">
        <v>480</v>
      </c>
      <c r="J2" s="132" t="s">
        <v>480</v>
      </c>
    </row>
    <row r="3" spans="1:10" s="74" customFormat="1" ht="14.1" customHeight="1" outlineLevel="2">
      <c r="A3" s="136" t="s">
        <v>559</v>
      </c>
      <c r="B3" s="137" t="s">
        <v>560</v>
      </c>
      <c r="C3" s="138" t="s">
        <v>482</v>
      </c>
      <c r="D3" s="139">
        <v>2</v>
      </c>
      <c r="E3" s="139">
        <v>12</v>
      </c>
      <c r="F3" s="140">
        <v>105000</v>
      </c>
      <c r="G3" s="141">
        <f>ROUND(F3*E3,2)</f>
        <v>1260000</v>
      </c>
      <c r="H3" s="75" t="s">
        <v>483</v>
      </c>
      <c r="I3" s="142"/>
      <c r="J3" s="143" t="s">
        <v>561</v>
      </c>
    </row>
    <row r="4" spans="1:10" s="74" customFormat="1" ht="14.1" customHeight="1" outlineLevel="2">
      <c r="A4" s="144" t="s">
        <v>562</v>
      </c>
      <c r="B4" s="137" t="s">
        <v>560</v>
      </c>
      <c r="C4" s="138" t="s">
        <v>482</v>
      </c>
      <c r="D4" s="145">
        <v>1</v>
      </c>
      <c r="E4" s="145">
        <v>7</v>
      </c>
      <c r="F4" s="140">
        <v>105000</v>
      </c>
      <c r="G4" s="141">
        <f>ROUND(F4*E4,2)</f>
        <v>735000</v>
      </c>
      <c r="H4" s="75" t="s">
        <v>483</v>
      </c>
      <c r="I4" s="142"/>
      <c r="J4" s="76" t="s">
        <v>563</v>
      </c>
    </row>
    <row r="5" spans="1:10" s="74" customFormat="1" ht="14.1" customHeight="1" outlineLevel="2">
      <c r="A5" s="136" t="s">
        <v>564</v>
      </c>
      <c r="B5" s="137" t="s">
        <v>565</v>
      </c>
      <c r="C5" s="138" t="s">
        <v>482</v>
      </c>
      <c r="D5" s="145">
        <v>1</v>
      </c>
      <c r="E5" s="139">
        <v>5</v>
      </c>
      <c r="F5" s="140">
        <v>105000</v>
      </c>
      <c r="G5" s="141">
        <f>ROUND(F5*E5,2)</f>
        <v>525000</v>
      </c>
      <c r="H5" s="75" t="s">
        <v>483</v>
      </c>
      <c r="I5" s="142"/>
      <c r="J5" s="76"/>
    </row>
    <row r="6" spans="1:10" s="74" customFormat="1" ht="14.1" customHeight="1" outlineLevel="2">
      <c r="A6" s="144" t="s">
        <v>566</v>
      </c>
      <c r="B6" s="137" t="s">
        <v>565</v>
      </c>
      <c r="C6" s="138" t="s">
        <v>482</v>
      </c>
      <c r="D6" s="145">
        <v>1</v>
      </c>
      <c r="E6" s="139">
        <v>5</v>
      </c>
      <c r="F6" s="140">
        <v>105000</v>
      </c>
      <c r="G6" s="141">
        <f>ROUND(F6*E6,2)</f>
        <v>525000</v>
      </c>
      <c r="H6" s="75"/>
      <c r="I6" s="142"/>
      <c r="J6" s="146" t="s">
        <v>512</v>
      </c>
    </row>
    <row r="7" spans="1:10" s="74" customFormat="1" ht="14.1" customHeight="1" outlineLevel="2">
      <c r="A7" s="136" t="s">
        <v>567</v>
      </c>
      <c r="B7" s="137" t="s">
        <v>568</v>
      </c>
      <c r="C7" s="138" t="s">
        <v>482</v>
      </c>
      <c r="D7" s="139">
        <v>1</v>
      </c>
      <c r="E7" s="139">
        <v>5</v>
      </c>
      <c r="F7" s="140">
        <v>105000</v>
      </c>
      <c r="G7" s="141">
        <f>ROUND(F7*E7,2)</f>
        <v>525000</v>
      </c>
      <c r="H7" s="75" t="s">
        <v>483</v>
      </c>
      <c r="I7" s="139"/>
      <c r="J7" s="76"/>
    </row>
    <row r="8" spans="1:10" s="74" customFormat="1" ht="14.1" customHeight="1" outlineLevel="2">
      <c r="A8" s="144" t="s">
        <v>854</v>
      </c>
      <c r="B8" s="137" t="s">
        <v>855</v>
      </c>
      <c r="C8" s="138" t="s">
        <v>856</v>
      </c>
      <c r="D8" s="139">
        <v>1</v>
      </c>
      <c r="E8" s="139">
        <v>5</v>
      </c>
      <c r="F8" s="140">
        <v>105000</v>
      </c>
      <c r="G8" s="141">
        <f t="shared" ref="G8:G16" si="0">ROUND(F8*E8,2)</f>
        <v>525000</v>
      </c>
      <c r="H8" s="75" t="s">
        <v>857</v>
      </c>
      <c r="I8" s="142"/>
      <c r="J8" s="146"/>
    </row>
    <row r="9" spans="1:10" s="74" customFormat="1" ht="14.1" customHeight="1" outlineLevel="2">
      <c r="A9" s="136" t="s">
        <v>858</v>
      </c>
      <c r="B9" s="137" t="s">
        <v>855</v>
      </c>
      <c r="C9" s="138" t="s">
        <v>856</v>
      </c>
      <c r="D9" s="145">
        <v>1</v>
      </c>
      <c r="E9" s="139">
        <v>5</v>
      </c>
      <c r="F9" s="140">
        <v>105000</v>
      </c>
      <c r="G9" s="141">
        <f t="shared" si="0"/>
        <v>525000</v>
      </c>
      <c r="H9" s="75" t="s">
        <v>857</v>
      </c>
      <c r="I9" s="142"/>
      <c r="J9" s="76"/>
    </row>
    <row r="10" spans="1:10" s="74" customFormat="1" ht="14.1" customHeight="1" outlineLevel="2">
      <c r="A10" s="136" t="s">
        <v>859</v>
      </c>
      <c r="B10" s="137" t="s">
        <v>855</v>
      </c>
      <c r="C10" s="138" t="s">
        <v>856</v>
      </c>
      <c r="D10" s="145">
        <v>1</v>
      </c>
      <c r="E10" s="139">
        <v>5</v>
      </c>
      <c r="F10" s="140">
        <v>105000</v>
      </c>
      <c r="G10" s="141">
        <f t="shared" si="0"/>
        <v>525000</v>
      </c>
      <c r="H10" s="75" t="s">
        <v>857</v>
      </c>
      <c r="I10" s="142"/>
      <c r="J10" s="76"/>
    </row>
    <row r="11" spans="1:10" s="74" customFormat="1" ht="14.1" customHeight="1" outlineLevel="2">
      <c r="A11" s="136" t="s">
        <v>484</v>
      </c>
      <c r="B11" s="137" t="s">
        <v>855</v>
      </c>
      <c r="C11" s="138" t="s">
        <v>856</v>
      </c>
      <c r="D11" s="145">
        <v>1</v>
      </c>
      <c r="E11" s="145">
        <v>5</v>
      </c>
      <c r="F11" s="140">
        <v>105000</v>
      </c>
      <c r="G11" s="141">
        <f t="shared" si="0"/>
        <v>525000</v>
      </c>
      <c r="H11" s="75" t="s">
        <v>857</v>
      </c>
      <c r="I11" s="142"/>
      <c r="J11" s="76"/>
    </row>
    <row r="12" spans="1:10" s="74" customFormat="1" ht="14.1" customHeight="1" outlineLevel="2">
      <c r="A12" s="136" t="s">
        <v>485</v>
      </c>
      <c r="B12" s="137" t="s">
        <v>855</v>
      </c>
      <c r="C12" s="138" t="s">
        <v>856</v>
      </c>
      <c r="D12" s="145">
        <v>1</v>
      </c>
      <c r="E12" s="145">
        <v>5</v>
      </c>
      <c r="F12" s="140">
        <v>105000</v>
      </c>
      <c r="G12" s="141">
        <f t="shared" si="0"/>
        <v>525000</v>
      </c>
      <c r="H12" s="75" t="s">
        <v>857</v>
      </c>
      <c r="I12" s="142"/>
      <c r="J12" s="76"/>
    </row>
    <row r="13" spans="1:10" s="74" customFormat="1" ht="14.1" customHeight="1" outlineLevel="2">
      <c r="A13" s="136" t="s">
        <v>486</v>
      </c>
      <c r="B13" s="137" t="s">
        <v>855</v>
      </c>
      <c r="C13" s="138" t="s">
        <v>856</v>
      </c>
      <c r="D13" s="139">
        <v>1</v>
      </c>
      <c r="E13" s="139">
        <v>5</v>
      </c>
      <c r="F13" s="140">
        <v>105000</v>
      </c>
      <c r="G13" s="141">
        <f t="shared" si="0"/>
        <v>525000</v>
      </c>
      <c r="H13" s="75" t="s">
        <v>857</v>
      </c>
      <c r="I13" s="142"/>
      <c r="J13" s="76"/>
    </row>
    <row r="14" spans="1:10" s="74" customFormat="1" ht="14.1" customHeight="1" outlineLevel="2">
      <c r="A14" s="144" t="s">
        <v>860</v>
      </c>
      <c r="B14" s="137" t="s">
        <v>855</v>
      </c>
      <c r="C14" s="138" t="s">
        <v>856</v>
      </c>
      <c r="D14" s="139">
        <v>1</v>
      </c>
      <c r="E14" s="139">
        <v>5</v>
      </c>
      <c r="F14" s="140">
        <v>105000</v>
      </c>
      <c r="G14" s="141">
        <f t="shared" si="0"/>
        <v>525000</v>
      </c>
      <c r="H14" s="75"/>
      <c r="I14" s="139"/>
      <c r="J14" s="76"/>
    </row>
    <row r="15" spans="1:10" s="74" customFormat="1" ht="14.1" customHeight="1" outlineLevel="2">
      <c r="A15" s="144" t="s">
        <v>861</v>
      </c>
      <c r="B15" s="137" t="s">
        <v>855</v>
      </c>
      <c r="C15" s="138" t="s">
        <v>856</v>
      </c>
      <c r="D15" s="139">
        <v>1</v>
      </c>
      <c r="E15" s="139">
        <v>5</v>
      </c>
      <c r="F15" s="140">
        <v>105000</v>
      </c>
      <c r="G15" s="141">
        <f t="shared" si="0"/>
        <v>525000</v>
      </c>
      <c r="H15" s="75"/>
      <c r="I15" s="139"/>
      <c r="J15" s="76" t="s">
        <v>862</v>
      </c>
    </row>
    <row r="16" spans="1:10" s="74" customFormat="1" ht="14.1" customHeight="1" outlineLevel="2">
      <c r="A16" s="147" t="s">
        <v>622</v>
      </c>
      <c r="B16" s="137" t="s">
        <v>931</v>
      </c>
      <c r="C16" s="142" t="s">
        <v>930</v>
      </c>
      <c r="D16" s="142">
        <v>1</v>
      </c>
      <c r="E16" s="142">
        <v>5</v>
      </c>
      <c r="F16" s="141">
        <v>105000</v>
      </c>
      <c r="G16" s="141">
        <f t="shared" si="0"/>
        <v>525000</v>
      </c>
      <c r="H16" s="75"/>
      <c r="I16" s="139"/>
      <c r="J16" s="76"/>
    </row>
    <row r="17" spans="1:10" s="74" customFormat="1" ht="14.1" customHeight="1" outlineLevel="1">
      <c r="A17" s="147"/>
      <c r="B17" s="137"/>
      <c r="C17" s="148" t="s">
        <v>945</v>
      </c>
      <c r="D17" s="142">
        <f>SUBTOTAL(9,D3:D16)</f>
        <v>15</v>
      </c>
      <c r="E17" s="142">
        <f>SUBTOTAL(9,E3:E16)</f>
        <v>79</v>
      </c>
      <c r="F17" s="141"/>
      <c r="G17" s="141">
        <f>SUBTOTAL(9,G3:G16)</f>
        <v>8295000</v>
      </c>
      <c r="H17" s="75"/>
      <c r="I17" s="139"/>
      <c r="J17" s="76"/>
    </row>
    <row r="18" spans="1:10" s="74" customFormat="1" ht="14.1" customHeight="1" outlineLevel="2">
      <c r="A18" s="136" t="s">
        <v>569</v>
      </c>
      <c r="B18" s="137" t="s">
        <v>568</v>
      </c>
      <c r="C18" s="138" t="s">
        <v>459</v>
      </c>
      <c r="D18" s="139">
        <v>1</v>
      </c>
      <c r="E18" s="139">
        <v>5</v>
      </c>
      <c r="F18" s="140">
        <v>105000</v>
      </c>
      <c r="G18" s="140">
        <f>ROUND(F18*E18,2)</f>
        <v>525000</v>
      </c>
      <c r="H18" s="75" t="s">
        <v>501</v>
      </c>
      <c r="I18" s="142"/>
      <c r="J18" s="76"/>
    </row>
    <row r="19" spans="1:10" s="74" customFormat="1" ht="14.1" customHeight="1" outlineLevel="2">
      <c r="A19" s="136" t="s">
        <v>570</v>
      </c>
      <c r="B19" s="137" t="s">
        <v>565</v>
      </c>
      <c r="C19" s="138" t="s">
        <v>459</v>
      </c>
      <c r="D19" s="139">
        <v>1</v>
      </c>
      <c r="E19" s="139">
        <v>5</v>
      </c>
      <c r="F19" s="140">
        <v>105000</v>
      </c>
      <c r="G19" s="140">
        <f>ROUND(F19*E19,2)</f>
        <v>525000</v>
      </c>
      <c r="H19" s="75" t="s">
        <v>501</v>
      </c>
      <c r="I19" s="142"/>
      <c r="J19" s="76"/>
    </row>
    <row r="20" spans="1:10" s="74" customFormat="1" ht="14.1" customHeight="1" outlineLevel="2">
      <c r="A20" s="144" t="s">
        <v>571</v>
      </c>
      <c r="B20" s="137" t="s">
        <v>560</v>
      </c>
      <c r="C20" s="138" t="s">
        <v>459</v>
      </c>
      <c r="D20" s="139">
        <v>1</v>
      </c>
      <c r="E20" s="139">
        <v>6</v>
      </c>
      <c r="F20" s="140">
        <v>105000</v>
      </c>
      <c r="G20" s="140">
        <f>ROUND(F20*E20,2)</f>
        <v>630000</v>
      </c>
      <c r="H20" s="75" t="s">
        <v>487</v>
      </c>
      <c r="I20" s="142"/>
      <c r="J20" s="146" t="s">
        <v>572</v>
      </c>
    </row>
    <row r="21" spans="1:10" s="74" customFormat="1" ht="14.1" customHeight="1" outlineLevel="2">
      <c r="A21" s="136" t="s">
        <v>573</v>
      </c>
      <c r="B21" s="137" t="s">
        <v>568</v>
      </c>
      <c r="C21" s="138" t="s">
        <v>459</v>
      </c>
      <c r="D21" s="139">
        <v>1</v>
      </c>
      <c r="E21" s="139">
        <v>5</v>
      </c>
      <c r="F21" s="140">
        <v>105000</v>
      </c>
      <c r="G21" s="140">
        <f>ROUND(F21*E21,2)</f>
        <v>525000</v>
      </c>
      <c r="H21" s="75" t="s">
        <v>487</v>
      </c>
      <c r="I21" s="142"/>
      <c r="J21" s="76"/>
    </row>
    <row r="22" spans="1:10" s="74" customFormat="1" ht="14.1" customHeight="1" outlineLevel="2">
      <c r="A22" s="136" t="s">
        <v>574</v>
      </c>
      <c r="B22" s="137" t="s">
        <v>565</v>
      </c>
      <c r="C22" s="138" t="s">
        <v>459</v>
      </c>
      <c r="D22" s="139">
        <v>1</v>
      </c>
      <c r="E22" s="139">
        <v>5</v>
      </c>
      <c r="F22" s="140">
        <v>105000</v>
      </c>
      <c r="G22" s="140">
        <f>ROUND(F22*E22,2)</f>
        <v>525000</v>
      </c>
      <c r="H22" s="75" t="s">
        <v>487</v>
      </c>
      <c r="I22" s="142"/>
      <c r="J22" s="76"/>
    </row>
    <row r="23" spans="1:10" s="74" customFormat="1" ht="14.1" customHeight="1" outlineLevel="2">
      <c r="A23" s="136" t="s">
        <v>863</v>
      </c>
      <c r="B23" s="137" t="s">
        <v>855</v>
      </c>
      <c r="C23" s="138" t="s">
        <v>864</v>
      </c>
      <c r="D23" s="139">
        <v>1</v>
      </c>
      <c r="E23" s="139">
        <v>5</v>
      </c>
      <c r="F23" s="140">
        <v>105000</v>
      </c>
      <c r="G23" s="140">
        <f t="shared" ref="G23:G32" si="1">ROUND(F23*E23,2)</f>
        <v>525000</v>
      </c>
      <c r="H23" s="75" t="s">
        <v>487</v>
      </c>
      <c r="I23" s="142"/>
      <c r="J23" s="76"/>
    </row>
    <row r="24" spans="1:10" s="74" customFormat="1" ht="14.1" customHeight="1" outlineLevel="2">
      <c r="A24" s="136" t="s">
        <v>865</v>
      </c>
      <c r="B24" s="137" t="s">
        <v>855</v>
      </c>
      <c r="C24" s="138" t="s">
        <v>459</v>
      </c>
      <c r="D24" s="139">
        <v>1</v>
      </c>
      <c r="E24" s="139">
        <v>5</v>
      </c>
      <c r="F24" s="140">
        <v>105000</v>
      </c>
      <c r="G24" s="140">
        <f t="shared" si="1"/>
        <v>525000</v>
      </c>
      <c r="H24" s="75" t="s">
        <v>487</v>
      </c>
      <c r="I24" s="142"/>
      <c r="J24" s="76"/>
    </row>
    <row r="25" spans="1:10" s="74" customFormat="1" ht="14.1" customHeight="1" outlineLevel="2">
      <c r="A25" s="136" t="s">
        <v>488</v>
      </c>
      <c r="B25" s="137" t="s">
        <v>855</v>
      </c>
      <c r="C25" s="138" t="s">
        <v>864</v>
      </c>
      <c r="D25" s="139">
        <v>1</v>
      </c>
      <c r="E25" s="139">
        <v>5</v>
      </c>
      <c r="F25" s="140">
        <v>105000</v>
      </c>
      <c r="G25" s="140">
        <f t="shared" si="1"/>
        <v>525000</v>
      </c>
      <c r="H25" s="75" t="s">
        <v>487</v>
      </c>
      <c r="I25" s="142"/>
      <c r="J25" s="76"/>
    </row>
    <row r="26" spans="1:10" s="74" customFormat="1" ht="14.1" customHeight="1" outlineLevel="2">
      <c r="A26" s="144" t="s">
        <v>866</v>
      </c>
      <c r="B26" s="137" t="s">
        <v>855</v>
      </c>
      <c r="C26" s="138" t="s">
        <v>864</v>
      </c>
      <c r="D26" s="139">
        <v>1</v>
      </c>
      <c r="E26" s="139">
        <v>5</v>
      </c>
      <c r="F26" s="140">
        <v>105000</v>
      </c>
      <c r="G26" s="140">
        <f t="shared" si="1"/>
        <v>525000</v>
      </c>
      <c r="H26" s="75" t="s">
        <v>487</v>
      </c>
      <c r="I26" s="142"/>
      <c r="J26" s="76"/>
    </row>
    <row r="27" spans="1:10" s="74" customFormat="1" ht="14.1" customHeight="1" outlineLevel="2">
      <c r="A27" s="136" t="s">
        <v>867</v>
      </c>
      <c r="B27" s="137" t="s">
        <v>855</v>
      </c>
      <c r="C27" s="138" t="s">
        <v>864</v>
      </c>
      <c r="D27" s="139">
        <v>1</v>
      </c>
      <c r="E27" s="139">
        <v>5</v>
      </c>
      <c r="F27" s="140">
        <v>105000</v>
      </c>
      <c r="G27" s="140">
        <f t="shared" si="1"/>
        <v>525000</v>
      </c>
      <c r="H27" s="75" t="s">
        <v>487</v>
      </c>
      <c r="I27" s="142"/>
      <c r="J27" s="76"/>
    </row>
    <row r="28" spans="1:10" s="74" customFormat="1" ht="14.1" customHeight="1" outlineLevel="2">
      <c r="A28" s="144" t="s">
        <v>868</v>
      </c>
      <c r="B28" s="137" t="s">
        <v>855</v>
      </c>
      <c r="C28" s="138" t="s">
        <v>864</v>
      </c>
      <c r="D28" s="139">
        <v>1</v>
      </c>
      <c r="E28" s="139">
        <v>5</v>
      </c>
      <c r="F28" s="140">
        <v>105000</v>
      </c>
      <c r="G28" s="140">
        <f t="shared" si="1"/>
        <v>525000</v>
      </c>
      <c r="H28" s="75" t="s">
        <v>487</v>
      </c>
      <c r="I28" s="142"/>
      <c r="J28" s="76"/>
    </row>
    <row r="29" spans="1:10" s="74" customFormat="1" ht="14.1" customHeight="1" outlineLevel="2">
      <c r="A29" s="136" t="s">
        <v>869</v>
      </c>
      <c r="B29" s="137" t="s">
        <v>855</v>
      </c>
      <c r="C29" s="138" t="s">
        <v>864</v>
      </c>
      <c r="D29" s="139">
        <v>1</v>
      </c>
      <c r="E29" s="139">
        <v>5</v>
      </c>
      <c r="F29" s="140">
        <v>105000</v>
      </c>
      <c r="G29" s="140">
        <f t="shared" si="1"/>
        <v>525000</v>
      </c>
      <c r="H29" s="75" t="s">
        <v>487</v>
      </c>
      <c r="I29" s="142"/>
      <c r="J29" s="76"/>
    </row>
    <row r="30" spans="1:10" s="74" customFormat="1" ht="14.1" customHeight="1" outlineLevel="2">
      <c r="A30" s="144" t="s">
        <v>870</v>
      </c>
      <c r="B30" s="137" t="s">
        <v>855</v>
      </c>
      <c r="C30" s="138" t="s">
        <v>864</v>
      </c>
      <c r="D30" s="139">
        <v>1</v>
      </c>
      <c r="E30" s="139">
        <v>5</v>
      </c>
      <c r="F30" s="140">
        <v>105000</v>
      </c>
      <c r="G30" s="140">
        <f t="shared" si="1"/>
        <v>525000</v>
      </c>
      <c r="H30" s="75" t="s">
        <v>487</v>
      </c>
      <c r="I30" s="142"/>
      <c r="J30" s="76"/>
    </row>
    <row r="31" spans="1:10" s="74" customFormat="1" ht="14.1" customHeight="1" outlineLevel="2">
      <c r="A31" s="144" t="s">
        <v>871</v>
      </c>
      <c r="B31" s="137" t="s">
        <v>855</v>
      </c>
      <c r="C31" s="138" t="s">
        <v>459</v>
      </c>
      <c r="D31" s="139">
        <v>1</v>
      </c>
      <c r="E31" s="139">
        <v>5</v>
      </c>
      <c r="F31" s="140">
        <v>105000</v>
      </c>
      <c r="G31" s="140">
        <f t="shared" si="1"/>
        <v>525000</v>
      </c>
      <c r="H31" s="75"/>
      <c r="I31" s="142"/>
      <c r="J31" s="76" t="s">
        <v>489</v>
      </c>
    </row>
    <row r="32" spans="1:10" s="74" customFormat="1" ht="14.1" customHeight="1" outlineLevel="2">
      <c r="A32" s="149" t="s">
        <v>628</v>
      </c>
      <c r="B32" s="137" t="s">
        <v>931</v>
      </c>
      <c r="C32" s="145" t="s">
        <v>943</v>
      </c>
      <c r="D32" s="139">
        <v>1</v>
      </c>
      <c r="E32" s="139">
        <v>5</v>
      </c>
      <c r="F32" s="141">
        <v>105000</v>
      </c>
      <c r="G32" s="141">
        <f t="shared" si="1"/>
        <v>525000</v>
      </c>
      <c r="H32" s="75"/>
      <c r="I32" s="142"/>
      <c r="J32" s="76"/>
    </row>
    <row r="33" spans="1:10" s="74" customFormat="1" ht="14.1" customHeight="1" outlineLevel="1">
      <c r="A33" s="149"/>
      <c r="B33" s="137"/>
      <c r="C33" s="150" t="s">
        <v>946</v>
      </c>
      <c r="D33" s="139">
        <f>SUBTOTAL(9,D18:D32)</f>
        <v>15</v>
      </c>
      <c r="E33" s="139">
        <f>SUBTOTAL(9,E18:E32)</f>
        <v>76</v>
      </c>
      <c r="F33" s="141"/>
      <c r="G33" s="141">
        <f>SUBTOTAL(9,G18:G32)</f>
        <v>7980000</v>
      </c>
      <c r="H33" s="75"/>
      <c r="I33" s="142"/>
      <c r="J33" s="76"/>
    </row>
    <row r="34" spans="1:10" s="74" customFormat="1" ht="14.1" customHeight="1" outlineLevel="2">
      <c r="A34" s="144" t="s">
        <v>274</v>
      </c>
      <c r="B34" s="137" t="s">
        <v>560</v>
      </c>
      <c r="C34" s="138" t="s">
        <v>490</v>
      </c>
      <c r="D34" s="139">
        <v>1</v>
      </c>
      <c r="E34" s="139">
        <v>5</v>
      </c>
      <c r="F34" s="140">
        <v>105000</v>
      </c>
      <c r="G34" s="140">
        <f>ROUND(F34*E34,2)</f>
        <v>525000</v>
      </c>
      <c r="H34" s="75" t="s">
        <v>494</v>
      </c>
      <c r="I34" s="142"/>
      <c r="J34" s="76"/>
    </row>
    <row r="35" spans="1:10" s="74" customFormat="1" ht="14.1" customHeight="1" outlineLevel="2">
      <c r="A35" s="136" t="s">
        <v>872</v>
      </c>
      <c r="B35" s="137" t="s">
        <v>855</v>
      </c>
      <c r="C35" s="138" t="s">
        <v>873</v>
      </c>
      <c r="D35" s="139">
        <v>1</v>
      </c>
      <c r="E35" s="139">
        <v>5</v>
      </c>
      <c r="F35" s="140">
        <v>105000</v>
      </c>
      <c r="G35" s="140">
        <f t="shared" ref="G35:G40" si="2">ROUND(F35*E35,2)</f>
        <v>525000</v>
      </c>
      <c r="H35" s="75" t="s">
        <v>491</v>
      </c>
      <c r="I35" s="142"/>
      <c r="J35" s="76"/>
    </row>
    <row r="36" spans="1:10" s="74" customFormat="1" ht="14.1" customHeight="1" outlineLevel="2">
      <c r="A36" s="144" t="s">
        <v>874</v>
      </c>
      <c r="B36" s="137" t="s">
        <v>855</v>
      </c>
      <c r="C36" s="138" t="s">
        <v>873</v>
      </c>
      <c r="D36" s="139">
        <v>1</v>
      </c>
      <c r="E36" s="139">
        <v>5</v>
      </c>
      <c r="F36" s="140">
        <v>105000</v>
      </c>
      <c r="G36" s="140">
        <f t="shared" si="2"/>
        <v>525000</v>
      </c>
      <c r="H36" s="75" t="s">
        <v>875</v>
      </c>
      <c r="I36" s="142"/>
      <c r="J36" s="76"/>
    </row>
    <row r="37" spans="1:10" s="74" customFormat="1" ht="14.1" customHeight="1" outlineLevel="2">
      <c r="A37" s="144" t="s">
        <v>876</v>
      </c>
      <c r="B37" s="137" t="s">
        <v>855</v>
      </c>
      <c r="C37" s="138" t="s">
        <v>873</v>
      </c>
      <c r="D37" s="139">
        <v>1</v>
      </c>
      <c r="E37" s="139">
        <v>5</v>
      </c>
      <c r="F37" s="140">
        <v>105000</v>
      </c>
      <c r="G37" s="140">
        <f t="shared" si="2"/>
        <v>525000</v>
      </c>
      <c r="H37" s="75"/>
      <c r="I37" s="142"/>
      <c r="J37" s="76" t="s">
        <v>877</v>
      </c>
    </row>
    <row r="38" spans="1:10" s="74" customFormat="1" ht="14.1" customHeight="1" outlineLevel="2">
      <c r="A38" s="151" t="s">
        <v>878</v>
      </c>
      <c r="B38" s="152" t="s">
        <v>855</v>
      </c>
      <c r="C38" s="138" t="s">
        <v>490</v>
      </c>
      <c r="D38" s="139">
        <v>1</v>
      </c>
      <c r="E38" s="139">
        <v>5</v>
      </c>
      <c r="F38" s="140">
        <v>105000</v>
      </c>
      <c r="G38" s="140">
        <f t="shared" si="2"/>
        <v>525000</v>
      </c>
      <c r="H38" s="75" t="s">
        <v>491</v>
      </c>
      <c r="I38" s="142"/>
      <c r="J38" s="76"/>
    </row>
    <row r="39" spans="1:10" s="74" customFormat="1" ht="14.1" customHeight="1" outlineLevel="2">
      <c r="A39" s="153" t="s">
        <v>879</v>
      </c>
      <c r="B39" s="152" t="s">
        <v>855</v>
      </c>
      <c r="C39" s="138" t="s">
        <v>873</v>
      </c>
      <c r="D39" s="139">
        <v>1</v>
      </c>
      <c r="E39" s="139">
        <v>5</v>
      </c>
      <c r="F39" s="140">
        <v>105000</v>
      </c>
      <c r="G39" s="140">
        <f t="shared" si="2"/>
        <v>525000</v>
      </c>
      <c r="H39" s="75"/>
      <c r="I39" s="142"/>
      <c r="J39" s="146" t="s">
        <v>880</v>
      </c>
    </row>
    <row r="40" spans="1:10" s="74" customFormat="1" ht="14.1" customHeight="1" outlineLevel="2">
      <c r="A40" s="153" t="s">
        <v>881</v>
      </c>
      <c r="B40" s="152" t="s">
        <v>855</v>
      </c>
      <c r="C40" s="138" t="s">
        <v>873</v>
      </c>
      <c r="D40" s="139">
        <v>1</v>
      </c>
      <c r="E40" s="139">
        <v>5</v>
      </c>
      <c r="F40" s="140">
        <v>105000</v>
      </c>
      <c r="G40" s="140">
        <f t="shared" si="2"/>
        <v>525000</v>
      </c>
      <c r="H40" s="75"/>
      <c r="I40" s="142"/>
      <c r="J40" s="76"/>
    </row>
    <row r="41" spans="1:10" s="74" customFormat="1" ht="14.1" customHeight="1" outlineLevel="1">
      <c r="A41" s="153"/>
      <c r="B41" s="152"/>
      <c r="C41" s="154" t="s">
        <v>947</v>
      </c>
      <c r="D41" s="139">
        <f>SUBTOTAL(9,D34:D40)</f>
        <v>7</v>
      </c>
      <c r="E41" s="139">
        <f>SUBTOTAL(9,E34:E40)</f>
        <v>35</v>
      </c>
      <c r="F41" s="140"/>
      <c r="G41" s="140">
        <f>SUBTOTAL(9,G34:G40)</f>
        <v>3675000</v>
      </c>
      <c r="H41" s="75"/>
      <c r="I41" s="142"/>
      <c r="J41" s="76"/>
    </row>
    <row r="42" spans="1:10" s="74" customFormat="1" ht="14.1" customHeight="1" outlineLevel="2">
      <c r="A42" s="136" t="s">
        <v>575</v>
      </c>
      <c r="B42" s="137" t="s">
        <v>568</v>
      </c>
      <c r="C42" s="138" t="s">
        <v>493</v>
      </c>
      <c r="D42" s="139">
        <v>2</v>
      </c>
      <c r="E42" s="139">
        <v>10</v>
      </c>
      <c r="F42" s="140">
        <v>105000</v>
      </c>
      <c r="G42" s="140">
        <f t="shared" ref="G42:G72" si="3">ROUND(F42*E42,2)</f>
        <v>1050000</v>
      </c>
      <c r="H42" s="75" t="s">
        <v>494</v>
      </c>
      <c r="I42" s="142" t="s">
        <v>576</v>
      </c>
      <c r="J42" s="76"/>
    </row>
    <row r="43" spans="1:10" s="74" customFormat="1" ht="14.1" customHeight="1" outlineLevel="2">
      <c r="A43" s="136" t="s">
        <v>577</v>
      </c>
      <c r="B43" s="137" t="s">
        <v>568</v>
      </c>
      <c r="C43" s="138" t="s">
        <v>493</v>
      </c>
      <c r="D43" s="139">
        <v>1</v>
      </c>
      <c r="E43" s="139">
        <v>5</v>
      </c>
      <c r="F43" s="140">
        <v>105000</v>
      </c>
      <c r="G43" s="140">
        <f t="shared" si="3"/>
        <v>525000</v>
      </c>
      <c r="H43" s="75" t="s">
        <v>501</v>
      </c>
      <c r="I43" s="142"/>
      <c r="J43" s="76"/>
    </row>
    <row r="44" spans="1:10" s="74" customFormat="1" ht="14.1" customHeight="1" outlineLevel="2">
      <c r="A44" s="136" t="s">
        <v>578</v>
      </c>
      <c r="B44" s="137" t="s">
        <v>565</v>
      </c>
      <c r="C44" s="138" t="s">
        <v>493</v>
      </c>
      <c r="D44" s="139">
        <v>2</v>
      </c>
      <c r="E44" s="139">
        <v>11</v>
      </c>
      <c r="F44" s="140">
        <v>105000</v>
      </c>
      <c r="G44" s="140">
        <f t="shared" si="3"/>
        <v>1155000</v>
      </c>
      <c r="H44" s="75" t="s">
        <v>494</v>
      </c>
      <c r="I44" s="142" t="s">
        <v>579</v>
      </c>
      <c r="J44" s="76"/>
    </row>
    <row r="45" spans="1:10" s="74" customFormat="1" ht="14.1" customHeight="1" outlineLevel="2">
      <c r="A45" s="136" t="s">
        <v>580</v>
      </c>
      <c r="B45" s="137" t="s">
        <v>565</v>
      </c>
      <c r="C45" s="138" t="s">
        <v>493</v>
      </c>
      <c r="D45" s="139">
        <v>1</v>
      </c>
      <c r="E45" s="139">
        <v>7</v>
      </c>
      <c r="F45" s="140">
        <v>105000</v>
      </c>
      <c r="G45" s="140">
        <f t="shared" si="3"/>
        <v>735000</v>
      </c>
      <c r="H45" s="75" t="s">
        <v>494</v>
      </c>
      <c r="I45" s="142" t="s">
        <v>581</v>
      </c>
      <c r="J45" s="76"/>
    </row>
    <row r="46" spans="1:10" s="74" customFormat="1" ht="14.1" customHeight="1" outlineLevel="2">
      <c r="A46" s="144" t="s">
        <v>582</v>
      </c>
      <c r="B46" s="137" t="s">
        <v>565</v>
      </c>
      <c r="C46" s="138" t="s">
        <v>493</v>
      </c>
      <c r="D46" s="139">
        <v>1</v>
      </c>
      <c r="E46" s="139">
        <v>5</v>
      </c>
      <c r="F46" s="140">
        <v>105000</v>
      </c>
      <c r="G46" s="140">
        <f t="shared" si="3"/>
        <v>525000</v>
      </c>
      <c r="H46" s="75"/>
      <c r="I46" s="142"/>
      <c r="J46" s="76" t="s">
        <v>583</v>
      </c>
    </row>
    <row r="47" spans="1:10" s="74" customFormat="1" ht="14.1" customHeight="1" outlineLevel="2">
      <c r="A47" s="136" t="s">
        <v>584</v>
      </c>
      <c r="B47" s="137" t="s">
        <v>565</v>
      </c>
      <c r="C47" s="138" t="s">
        <v>493</v>
      </c>
      <c r="D47" s="139">
        <v>1</v>
      </c>
      <c r="E47" s="139">
        <v>5</v>
      </c>
      <c r="F47" s="140">
        <v>105000</v>
      </c>
      <c r="G47" s="140">
        <f t="shared" si="3"/>
        <v>525000</v>
      </c>
      <c r="H47" s="75" t="s">
        <v>494</v>
      </c>
      <c r="I47" s="142"/>
      <c r="J47" s="76"/>
    </row>
    <row r="48" spans="1:10" s="74" customFormat="1" ht="14.1" customHeight="1" outlineLevel="2">
      <c r="A48" s="136" t="s">
        <v>585</v>
      </c>
      <c r="B48" s="137" t="s">
        <v>565</v>
      </c>
      <c r="C48" s="138" t="s">
        <v>493</v>
      </c>
      <c r="D48" s="139">
        <v>1</v>
      </c>
      <c r="E48" s="139">
        <v>5</v>
      </c>
      <c r="F48" s="140">
        <v>105000</v>
      </c>
      <c r="G48" s="140">
        <f t="shared" si="3"/>
        <v>525000</v>
      </c>
      <c r="H48" s="75" t="s">
        <v>501</v>
      </c>
      <c r="I48" s="142"/>
      <c r="J48" s="76"/>
    </row>
    <row r="49" spans="1:10" s="74" customFormat="1" ht="14.1" customHeight="1" outlineLevel="2">
      <c r="A49" s="136" t="s">
        <v>586</v>
      </c>
      <c r="B49" s="137" t="s">
        <v>568</v>
      </c>
      <c r="C49" s="138" t="s">
        <v>493</v>
      </c>
      <c r="D49" s="139">
        <v>1</v>
      </c>
      <c r="E49" s="139">
        <v>5</v>
      </c>
      <c r="F49" s="140">
        <v>105000</v>
      </c>
      <c r="G49" s="140">
        <f t="shared" si="3"/>
        <v>525000</v>
      </c>
      <c r="H49" s="75" t="s">
        <v>516</v>
      </c>
      <c r="I49" s="142"/>
      <c r="J49" s="76"/>
    </row>
    <row r="50" spans="1:10" s="74" customFormat="1" ht="14.1" customHeight="1" outlineLevel="2">
      <c r="A50" s="136" t="s">
        <v>587</v>
      </c>
      <c r="B50" s="137" t="s">
        <v>568</v>
      </c>
      <c r="C50" s="138" t="s">
        <v>493</v>
      </c>
      <c r="D50" s="139">
        <v>1</v>
      </c>
      <c r="E50" s="139">
        <v>5</v>
      </c>
      <c r="F50" s="140">
        <v>105000</v>
      </c>
      <c r="G50" s="140">
        <f t="shared" si="3"/>
        <v>525000</v>
      </c>
      <c r="H50" s="75" t="s">
        <v>516</v>
      </c>
      <c r="I50" s="142"/>
      <c r="J50" s="76"/>
    </row>
    <row r="51" spans="1:10" s="74" customFormat="1" ht="14.1" customHeight="1" outlineLevel="2">
      <c r="A51" s="136" t="s">
        <v>588</v>
      </c>
      <c r="B51" s="137" t="s">
        <v>565</v>
      </c>
      <c r="C51" s="138" t="s">
        <v>493</v>
      </c>
      <c r="D51" s="139">
        <v>1</v>
      </c>
      <c r="E51" s="139">
        <v>5</v>
      </c>
      <c r="F51" s="140">
        <v>105000</v>
      </c>
      <c r="G51" s="140">
        <f t="shared" si="3"/>
        <v>525000</v>
      </c>
      <c r="H51" s="75" t="s">
        <v>516</v>
      </c>
      <c r="I51" s="142"/>
      <c r="J51" s="76"/>
    </row>
    <row r="52" spans="1:10" s="74" customFormat="1" ht="14.1" customHeight="1" outlineLevel="2">
      <c r="A52" s="136" t="s">
        <v>589</v>
      </c>
      <c r="B52" s="137" t="s">
        <v>565</v>
      </c>
      <c r="C52" s="138" t="s">
        <v>493</v>
      </c>
      <c r="D52" s="145">
        <v>1</v>
      </c>
      <c r="E52" s="145">
        <v>12</v>
      </c>
      <c r="F52" s="140">
        <v>105000</v>
      </c>
      <c r="G52" s="140">
        <f t="shared" si="3"/>
        <v>1260000</v>
      </c>
      <c r="H52" s="137" t="s">
        <v>516</v>
      </c>
      <c r="I52" s="142"/>
      <c r="J52" s="155" t="s">
        <v>590</v>
      </c>
    </row>
    <row r="53" spans="1:10" s="74" customFormat="1" ht="14.1" customHeight="1" outlineLevel="2">
      <c r="A53" s="136" t="s">
        <v>834</v>
      </c>
      <c r="B53" s="137" t="s">
        <v>568</v>
      </c>
      <c r="C53" s="138" t="s">
        <v>493</v>
      </c>
      <c r="D53" s="145">
        <v>2</v>
      </c>
      <c r="E53" s="145">
        <v>10</v>
      </c>
      <c r="F53" s="140">
        <v>105000</v>
      </c>
      <c r="G53" s="140">
        <f t="shared" si="3"/>
        <v>1050000</v>
      </c>
      <c r="H53" s="137" t="s">
        <v>494</v>
      </c>
      <c r="I53" s="142"/>
      <c r="J53" s="76" t="s">
        <v>835</v>
      </c>
    </row>
    <row r="54" spans="1:10" s="74" customFormat="1" ht="14.1" customHeight="1" outlineLevel="2">
      <c r="A54" s="144" t="s">
        <v>591</v>
      </c>
      <c r="B54" s="137" t="s">
        <v>568</v>
      </c>
      <c r="C54" s="138" t="s">
        <v>493</v>
      </c>
      <c r="D54" s="145">
        <v>1</v>
      </c>
      <c r="E54" s="145">
        <v>10</v>
      </c>
      <c r="F54" s="140">
        <v>105000</v>
      </c>
      <c r="G54" s="140">
        <f t="shared" si="3"/>
        <v>1050000</v>
      </c>
      <c r="H54" s="137"/>
      <c r="I54" s="142"/>
      <c r="J54" s="146" t="s">
        <v>592</v>
      </c>
    </row>
    <row r="55" spans="1:10" s="74" customFormat="1" ht="14.1" customHeight="1" outlineLevel="2">
      <c r="A55" s="144" t="s">
        <v>593</v>
      </c>
      <c r="B55" s="137" t="s">
        <v>565</v>
      </c>
      <c r="C55" s="138" t="s">
        <v>493</v>
      </c>
      <c r="D55" s="145">
        <v>1</v>
      </c>
      <c r="E55" s="145">
        <v>6</v>
      </c>
      <c r="F55" s="140">
        <v>105000</v>
      </c>
      <c r="G55" s="140">
        <f t="shared" si="3"/>
        <v>630000</v>
      </c>
      <c r="H55" s="137" t="s">
        <v>501</v>
      </c>
      <c r="I55" s="156" t="s">
        <v>836</v>
      </c>
      <c r="J55" s="146" t="s">
        <v>594</v>
      </c>
    </row>
    <row r="56" spans="1:10" s="74" customFormat="1" ht="14.1" customHeight="1" outlineLevel="2">
      <c r="A56" s="144" t="s">
        <v>265</v>
      </c>
      <c r="B56" s="137" t="s">
        <v>560</v>
      </c>
      <c r="C56" s="138" t="s">
        <v>493</v>
      </c>
      <c r="D56" s="145">
        <v>2</v>
      </c>
      <c r="E56" s="145">
        <v>10</v>
      </c>
      <c r="F56" s="140">
        <v>105000</v>
      </c>
      <c r="G56" s="140">
        <f t="shared" si="3"/>
        <v>1050000</v>
      </c>
      <c r="H56" s="137"/>
      <c r="I56" s="156"/>
      <c r="J56" s="146" t="s">
        <v>514</v>
      </c>
    </row>
    <row r="57" spans="1:10" s="74" customFormat="1" ht="14.1" customHeight="1" outlineLevel="2">
      <c r="A57" s="136" t="s">
        <v>882</v>
      </c>
      <c r="B57" s="137" t="s">
        <v>855</v>
      </c>
      <c r="C57" s="138" t="s">
        <v>883</v>
      </c>
      <c r="D57" s="139">
        <v>1</v>
      </c>
      <c r="E57" s="139">
        <v>7</v>
      </c>
      <c r="F57" s="140">
        <v>105000</v>
      </c>
      <c r="G57" s="140">
        <f t="shared" si="3"/>
        <v>735000</v>
      </c>
      <c r="H57" s="75" t="s">
        <v>494</v>
      </c>
      <c r="I57" s="156"/>
      <c r="J57" s="76"/>
    </row>
    <row r="58" spans="1:10" s="74" customFormat="1" ht="14.1" customHeight="1" outlineLevel="2">
      <c r="A58" s="144" t="s">
        <v>495</v>
      </c>
      <c r="B58" s="137" t="s">
        <v>481</v>
      </c>
      <c r="C58" s="138" t="s">
        <v>493</v>
      </c>
      <c r="D58" s="139">
        <v>1</v>
      </c>
      <c r="E58" s="139">
        <v>5</v>
      </c>
      <c r="F58" s="140">
        <v>105000</v>
      </c>
      <c r="G58" s="140">
        <f t="shared" si="3"/>
        <v>525000</v>
      </c>
      <c r="H58" s="75" t="s">
        <v>494</v>
      </c>
      <c r="I58" s="156"/>
      <c r="J58" s="76"/>
    </row>
    <row r="59" spans="1:10" s="74" customFormat="1" ht="14.1" customHeight="1" outlineLevel="2">
      <c r="A59" s="144" t="s">
        <v>496</v>
      </c>
      <c r="B59" s="137" t="s">
        <v>481</v>
      </c>
      <c r="C59" s="138" t="s">
        <v>493</v>
      </c>
      <c r="D59" s="139">
        <v>1</v>
      </c>
      <c r="E59" s="139">
        <v>5</v>
      </c>
      <c r="F59" s="140">
        <v>105000</v>
      </c>
      <c r="G59" s="140">
        <f t="shared" si="3"/>
        <v>525000</v>
      </c>
      <c r="H59" s="75" t="s">
        <v>494</v>
      </c>
      <c r="I59" s="156"/>
      <c r="J59" s="76"/>
    </row>
    <row r="60" spans="1:10" s="74" customFormat="1" ht="14.1" customHeight="1" outlineLevel="2">
      <c r="A60" s="144" t="s">
        <v>497</v>
      </c>
      <c r="B60" s="137" t="s">
        <v>481</v>
      </c>
      <c r="C60" s="138" t="s">
        <v>493</v>
      </c>
      <c r="D60" s="139">
        <v>1</v>
      </c>
      <c r="E60" s="139">
        <v>5</v>
      </c>
      <c r="F60" s="140">
        <v>105000</v>
      </c>
      <c r="G60" s="140">
        <f t="shared" si="3"/>
        <v>525000</v>
      </c>
      <c r="H60" s="75" t="s">
        <v>494</v>
      </c>
      <c r="I60" s="156"/>
      <c r="J60" s="76"/>
    </row>
    <row r="61" spans="1:10" s="74" customFormat="1" ht="14.1" customHeight="1" outlineLevel="2">
      <c r="A61" s="144" t="s">
        <v>498</v>
      </c>
      <c r="B61" s="137" t="s">
        <v>481</v>
      </c>
      <c r="C61" s="138" t="s">
        <v>493</v>
      </c>
      <c r="D61" s="139">
        <v>1</v>
      </c>
      <c r="E61" s="139">
        <v>5</v>
      </c>
      <c r="F61" s="140">
        <v>105000</v>
      </c>
      <c r="G61" s="140">
        <f t="shared" si="3"/>
        <v>525000</v>
      </c>
      <c r="H61" s="75" t="s">
        <v>494</v>
      </c>
      <c r="I61" s="156"/>
      <c r="J61" s="76"/>
    </row>
    <row r="62" spans="1:10" s="74" customFormat="1" ht="14.1" customHeight="1" outlineLevel="2">
      <c r="A62" s="144" t="s">
        <v>499</v>
      </c>
      <c r="B62" s="137" t="s">
        <v>481</v>
      </c>
      <c r="C62" s="138" t="s">
        <v>493</v>
      </c>
      <c r="D62" s="139">
        <v>1</v>
      </c>
      <c r="E62" s="139">
        <v>5</v>
      </c>
      <c r="F62" s="140">
        <v>105000</v>
      </c>
      <c r="G62" s="140">
        <f t="shared" si="3"/>
        <v>525000</v>
      </c>
      <c r="H62" s="75" t="s">
        <v>494</v>
      </c>
      <c r="I62" s="156"/>
      <c r="J62" s="76"/>
    </row>
    <row r="63" spans="1:10" s="74" customFormat="1" ht="14.1" customHeight="1" outlineLevel="2">
      <c r="A63" s="136" t="s">
        <v>500</v>
      </c>
      <c r="B63" s="137" t="s">
        <v>481</v>
      </c>
      <c r="C63" s="138" t="s">
        <v>493</v>
      </c>
      <c r="D63" s="139">
        <v>1</v>
      </c>
      <c r="E63" s="139">
        <v>5</v>
      </c>
      <c r="F63" s="140">
        <v>105000</v>
      </c>
      <c r="G63" s="140">
        <f t="shared" si="3"/>
        <v>525000</v>
      </c>
      <c r="H63" s="75" t="s">
        <v>501</v>
      </c>
      <c r="I63" s="142"/>
      <c r="J63" s="76"/>
    </row>
    <row r="64" spans="1:10" s="74" customFormat="1" ht="14.1" customHeight="1" outlineLevel="2">
      <c r="A64" s="136" t="s">
        <v>502</v>
      </c>
      <c r="B64" s="137" t="s">
        <v>481</v>
      </c>
      <c r="C64" s="138" t="s">
        <v>493</v>
      </c>
      <c r="D64" s="139">
        <v>1</v>
      </c>
      <c r="E64" s="139">
        <v>5</v>
      </c>
      <c r="F64" s="140">
        <v>105000</v>
      </c>
      <c r="G64" s="140">
        <f t="shared" si="3"/>
        <v>525000</v>
      </c>
      <c r="H64" s="75" t="s">
        <v>501</v>
      </c>
      <c r="I64" s="142"/>
      <c r="J64" s="76"/>
    </row>
    <row r="65" spans="1:10" s="74" customFormat="1" ht="14.1" customHeight="1" outlineLevel="2">
      <c r="A65" s="136" t="s">
        <v>503</v>
      </c>
      <c r="B65" s="137" t="s">
        <v>481</v>
      </c>
      <c r="C65" s="138" t="s">
        <v>493</v>
      </c>
      <c r="D65" s="139">
        <v>1</v>
      </c>
      <c r="E65" s="139">
        <v>5</v>
      </c>
      <c r="F65" s="140">
        <v>105000</v>
      </c>
      <c r="G65" s="140">
        <f t="shared" si="3"/>
        <v>525000</v>
      </c>
      <c r="H65" s="75" t="s">
        <v>494</v>
      </c>
      <c r="I65" s="142"/>
      <c r="J65" s="76"/>
    </row>
    <row r="66" spans="1:10" s="74" customFormat="1" ht="14.1" customHeight="1" outlineLevel="2">
      <c r="A66" s="144" t="s">
        <v>504</v>
      </c>
      <c r="B66" s="137" t="s">
        <v>481</v>
      </c>
      <c r="C66" s="138" t="s">
        <v>493</v>
      </c>
      <c r="D66" s="139">
        <v>2</v>
      </c>
      <c r="E66" s="139">
        <v>7</v>
      </c>
      <c r="F66" s="140">
        <v>105000</v>
      </c>
      <c r="G66" s="140">
        <f t="shared" si="3"/>
        <v>735000</v>
      </c>
      <c r="H66" s="75"/>
      <c r="I66" s="142"/>
      <c r="J66" s="76" t="s">
        <v>505</v>
      </c>
    </row>
    <row r="67" spans="1:10" s="74" customFormat="1" ht="14.1" customHeight="1" outlineLevel="2">
      <c r="A67" s="136" t="s">
        <v>506</v>
      </c>
      <c r="B67" s="137" t="s">
        <v>481</v>
      </c>
      <c r="C67" s="138" t="s">
        <v>493</v>
      </c>
      <c r="D67" s="139">
        <v>1</v>
      </c>
      <c r="E67" s="139">
        <v>5</v>
      </c>
      <c r="F67" s="140">
        <v>105000</v>
      </c>
      <c r="G67" s="140">
        <f t="shared" si="3"/>
        <v>525000</v>
      </c>
      <c r="H67" s="75" t="s">
        <v>494</v>
      </c>
      <c r="I67" s="142"/>
      <c r="J67" s="76"/>
    </row>
    <row r="68" spans="1:10" s="74" customFormat="1" ht="14.1" customHeight="1" outlineLevel="2">
      <c r="A68" s="144" t="s">
        <v>507</v>
      </c>
      <c r="B68" s="137" t="s">
        <v>481</v>
      </c>
      <c r="C68" s="138" t="s">
        <v>493</v>
      </c>
      <c r="D68" s="139">
        <v>1</v>
      </c>
      <c r="E68" s="139">
        <v>5</v>
      </c>
      <c r="F68" s="140">
        <v>105000</v>
      </c>
      <c r="G68" s="140">
        <f t="shared" si="3"/>
        <v>525000</v>
      </c>
      <c r="H68" s="75" t="s">
        <v>494</v>
      </c>
      <c r="I68" s="142"/>
      <c r="J68" s="76"/>
    </row>
    <row r="69" spans="1:10" s="74" customFormat="1" ht="14.1" customHeight="1" outlineLevel="2">
      <c r="A69" s="136" t="s">
        <v>508</v>
      </c>
      <c r="B69" s="137" t="s">
        <v>481</v>
      </c>
      <c r="C69" s="138" t="s">
        <v>493</v>
      </c>
      <c r="D69" s="145">
        <v>1</v>
      </c>
      <c r="E69" s="145">
        <v>5</v>
      </c>
      <c r="F69" s="140">
        <v>105000</v>
      </c>
      <c r="G69" s="140">
        <f t="shared" si="3"/>
        <v>525000</v>
      </c>
      <c r="H69" s="137" t="s">
        <v>501</v>
      </c>
      <c r="I69" s="142"/>
      <c r="J69" s="76"/>
    </row>
    <row r="70" spans="1:10" s="74" customFormat="1" ht="14.1" customHeight="1" outlineLevel="2">
      <c r="A70" s="144" t="s">
        <v>509</v>
      </c>
      <c r="B70" s="137" t="s">
        <v>481</v>
      </c>
      <c r="C70" s="138" t="s">
        <v>493</v>
      </c>
      <c r="D70" s="145">
        <v>1</v>
      </c>
      <c r="E70" s="145">
        <v>5</v>
      </c>
      <c r="F70" s="140">
        <v>105000</v>
      </c>
      <c r="G70" s="140">
        <f t="shared" si="3"/>
        <v>525000</v>
      </c>
      <c r="H70" s="137"/>
      <c r="I70" s="156"/>
      <c r="J70" s="146" t="s">
        <v>510</v>
      </c>
    </row>
    <row r="71" spans="1:10" s="74" customFormat="1" ht="14.1" customHeight="1" outlineLevel="2">
      <c r="A71" s="144" t="s">
        <v>511</v>
      </c>
      <c r="B71" s="137" t="s">
        <v>481</v>
      </c>
      <c r="C71" s="138" t="s">
        <v>493</v>
      </c>
      <c r="D71" s="145">
        <v>1</v>
      </c>
      <c r="E71" s="145">
        <v>5</v>
      </c>
      <c r="F71" s="140">
        <v>105000</v>
      </c>
      <c r="G71" s="140">
        <f t="shared" si="3"/>
        <v>525000</v>
      </c>
      <c r="H71" s="137"/>
      <c r="I71" s="156"/>
      <c r="J71" s="146" t="s">
        <v>512</v>
      </c>
    </row>
    <row r="72" spans="1:10" s="74" customFormat="1" ht="14.1" customHeight="1" outlineLevel="2">
      <c r="A72" s="144" t="s">
        <v>513</v>
      </c>
      <c r="B72" s="137" t="s">
        <v>481</v>
      </c>
      <c r="C72" s="138" t="s">
        <v>493</v>
      </c>
      <c r="D72" s="145">
        <v>1</v>
      </c>
      <c r="E72" s="145">
        <v>5</v>
      </c>
      <c r="F72" s="140">
        <v>105000</v>
      </c>
      <c r="G72" s="140">
        <f t="shared" si="3"/>
        <v>525000</v>
      </c>
      <c r="H72" s="137"/>
      <c r="I72" s="156"/>
      <c r="J72" s="146" t="s">
        <v>514</v>
      </c>
    </row>
    <row r="73" spans="1:10" s="74" customFormat="1" ht="14.1" customHeight="1" outlineLevel="1">
      <c r="A73" s="144"/>
      <c r="B73" s="137"/>
      <c r="C73" s="154" t="s">
        <v>948</v>
      </c>
      <c r="D73" s="145">
        <f>SUBTOTAL(9,D42:D72)</f>
        <v>36</v>
      </c>
      <c r="E73" s="145">
        <f>SUBTOTAL(9,E42:E72)</f>
        <v>195</v>
      </c>
      <c r="F73" s="140"/>
      <c r="G73" s="140">
        <f>SUBTOTAL(9,G42:G72)</f>
        <v>20475000</v>
      </c>
      <c r="H73" s="137"/>
      <c r="I73" s="156"/>
      <c r="J73" s="146"/>
    </row>
    <row r="74" spans="1:10" s="74" customFormat="1" ht="14.1" customHeight="1" outlineLevel="2">
      <c r="A74" s="136" t="s">
        <v>595</v>
      </c>
      <c r="B74" s="137" t="s">
        <v>560</v>
      </c>
      <c r="C74" s="138" t="s">
        <v>515</v>
      </c>
      <c r="D74" s="139">
        <v>2</v>
      </c>
      <c r="E74" s="139">
        <v>10</v>
      </c>
      <c r="F74" s="140">
        <v>105000</v>
      </c>
      <c r="G74" s="140">
        <f>ROUND(F74*E74,2)</f>
        <v>1050000</v>
      </c>
      <c r="H74" s="75" t="s">
        <v>516</v>
      </c>
      <c r="I74" s="142" t="s">
        <v>596</v>
      </c>
      <c r="J74" s="76"/>
    </row>
    <row r="75" spans="1:10" s="74" customFormat="1" ht="14.1" customHeight="1" outlineLevel="2">
      <c r="A75" s="136" t="s">
        <v>597</v>
      </c>
      <c r="B75" s="137" t="s">
        <v>560</v>
      </c>
      <c r="C75" s="138" t="s">
        <v>515</v>
      </c>
      <c r="D75" s="139">
        <v>2</v>
      </c>
      <c r="E75" s="139">
        <v>10</v>
      </c>
      <c r="F75" s="140">
        <v>105000</v>
      </c>
      <c r="G75" s="140">
        <f>ROUND(F75*E75,2)</f>
        <v>1050000</v>
      </c>
      <c r="H75" s="75" t="s">
        <v>516</v>
      </c>
      <c r="I75" s="142"/>
      <c r="J75" s="76"/>
    </row>
    <row r="76" spans="1:10" s="74" customFormat="1" ht="14.1" customHeight="1" outlineLevel="2">
      <c r="A76" s="136" t="s">
        <v>598</v>
      </c>
      <c r="B76" s="137" t="s">
        <v>560</v>
      </c>
      <c r="C76" s="138" t="s">
        <v>515</v>
      </c>
      <c r="D76" s="139">
        <v>2</v>
      </c>
      <c r="E76" s="139">
        <v>10</v>
      </c>
      <c r="F76" s="140">
        <v>105000</v>
      </c>
      <c r="G76" s="140">
        <f>ROUND(F76*E76,2)</f>
        <v>1050000</v>
      </c>
      <c r="H76" s="75" t="s">
        <v>516</v>
      </c>
      <c r="I76" s="142"/>
      <c r="J76" s="76"/>
    </row>
    <row r="77" spans="1:10" s="74" customFormat="1" ht="14.1" customHeight="1" outlineLevel="2">
      <c r="A77" s="136" t="s">
        <v>884</v>
      </c>
      <c r="B77" s="137" t="s">
        <v>855</v>
      </c>
      <c r="C77" s="138" t="s">
        <v>885</v>
      </c>
      <c r="D77" s="139">
        <v>1</v>
      </c>
      <c r="E77" s="139">
        <v>5</v>
      </c>
      <c r="F77" s="140">
        <v>105000</v>
      </c>
      <c r="G77" s="140">
        <f t="shared" ref="G77:G86" si="4">ROUND(F77*E77,2)</f>
        <v>525000</v>
      </c>
      <c r="H77" s="75" t="s">
        <v>516</v>
      </c>
      <c r="I77" s="142"/>
      <c r="J77" s="76"/>
    </row>
    <row r="78" spans="1:10" s="74" customFormat="1" ht="14.1" customHeight="1" outlineLevel="2">
      <c r="A78" s="144" t="s">
        <v>886</v>
      </c>
      <c r="B78" s="137" t="s">
        <v>855</v>
      </c>
      <c r="C78" s="138" t="s">
        <v>885</v>
      </c>
      <c r="D78" s="139">
        <v>1</v>
      </c>
      <c r="E78" s="139">
        <v>5</v>
      </c>
      <c r="F78" s="140">
        <v>105000</v>
      </c>
      <c r="G78" s="140">
        <f t="shared" si="4"/>
        <v>525000</v>
      </c>
      <c r="H78" s="75" t="s">
        <v>517</v>
      </c>
      <c r="I78" s="142"/>
      <c r="J78" s="76"/>
    </row>
    <row r="79" spans="1:10" s="74" customFormat="1" ht="14.1" customHeight="1" outlineLevel="2">
      <c r="A79" s="136" t="s">
        <v>887</v>
      </c>
      <c r="B79" s="137" t="s">
        <v>855</v>
      </c>
      <c r="C79" s="138" t="s">
        <v>885</v>
      </c>
      <c r="D79" s="139">
        <v>1</v>
      </c>
      <c r="E79" s="139">
        <v>5</v>
      </c>
      <c r="F79" s="140">
        <v>105000</v>
      </c>
      <c r="G79" s="140">
        <f t="shared" si="4"/>
        <v>525000</v>
      </c>
      <c r="H79" s="75" t="s">
        <v>517</v>
      </c>
      <c r="I79" s="142"/>
      <c r="J79" s="76"/>
    </row>
    <row r="80" spans="1:10" s="74" customFormat="1" ht="14.1" customHeight="1" outlineLevel="2">
      <c r="A80" s="144" t="s">
        <v>888</v>
      </c>
      <c r="B80" s="137" t="s">
        <v>855</v>
      </c>
      <c r="C80" s="138" t="s">
        <v>885</v>
      </c>
      <c r="D80" s="139">
        <v>1</v>
      </c>
      <c r="E80" s="139">
        <v>5</v>
      </c>
      <c r="F80" s="140">
        <v>105000</v>
      </c>
      <c r="G80" s="140">
        <f t="shared" si="4"/>
        <v>525000</v>
      </c>
      <c r="H80" s="75" t="s">
        <v>517</v>
      </c>
      <c r="I80" s="142"/>
      <c r="J80" s="76"/>
    </row>
    <row r="81" spans="1:10" s="74" customFormat="1" ht="14.1" customHeight="1" outlineLevel="2">
      <c r="A81" s="136" t="s">
        <v>889</v>
      </c>
      <c r="B81" s="137" t="s">
        <v>855</v>
      </c>
      <c r="C81" s="138" t="s">
        <v>885</v>
      </c>
      <c r="D81" s="139">
        <v>1</v>
      </c>
      <c r="E81" s="139">
        <v>5</v>
      </c>
      <c r="F81" s="140">
        <v>105000</v>
      </c>
      <c r="G81" s="140">
        <f t="shared" si="4"/>
        <v>525000</v>
      </c>
      <c r="H81" s="75" t="s">
        <v>890</v>
      </c>
      <c r="I81" s="142"/>
      <c r="J81" s="76"/>
    </row>
    <row r="82" spans="1:10" s="74" customFormat="1" ht="14.1" customHeight="1" outlineLevel="2">
      <c r="A82" s="136" t="s">
        <v>891</v>
      </c>
      <c r="B82" s="137" t="s">
        <v>855</v>
      </c>
      <c r="C82" s="138" t="s">
        <v>885</v>
      </c>
      <c r="D82" s="139">
        <v>1</v>
      </c>
      <c r="E82" s="139">
        <v>5</v>
      </c>
      <c r="F82" s="140">
        <v>105000</v>
      </c>
      <c r="G82" s="140">
        <f t="shared" si="4"/>
        <v>525000</v>
      </c>
      <c r="H82" s="75" t="s">
        <v>517</v>
      </c>
      <c r="I82" s="142"/>
      <c r="J82" s="76"/>
    </row>
    <row r="83" spans="1:10" s="74" customFormat="1" ht="14.1" customHeight="1" outlineLevel="2">
      <c r="A83" s="144" t="s">
        <v>892</v>
      </c>
      <c r="B83" s="137" t="s">
        <v>855</v>
      </c>
      <c r="C83" s="138" t="s">
        <v>885</v>
      </c>
      <c r="D83" s="139">
        <v>1</v>
      </c>
      <c r="E83" s="139">
        <v>5</v>
      </c>
      <c r="F83" s="140">
        <v>105000</v>
      </c>
      <c r="G83" s="140">
        <f t="shared" si="4"/>
        <v>525000</v>
      </c>
      <c r="H83" s="75" t="s">
        <v>890</v>
      </c>
      <c r="I83" s="142"/>
      <c r="J83" s="76"/>
    </row>
    <row r="84" spans="1:10" s="74" customFormat="1" ht="14.1" customHeight="1" outlineLevel="2">
      <c r="A84" s="144" t="s">
        <v>893</v>
      </c>
      <c r="B84" s="137" t="s">
        <v>855</v>
      </c>
      <c r="C84" s="138" t="s">
        <v>885</v>
      </c>
      <c r="D84" s="139">
        <v>1</v>
      </c>
      <c r="E84" s="139">
        <v>5</v>
      </c>
      <c r="F84" s="140">
        <v>105000</v>
      </c>
      <c r="G84" s="140">
        <f t="shared" si="4"/>
        <v>525000</v>
      </c>
      <c r="H84" s="75"/>
      <c r="I84" s="142"/>
      <c r="J84" s="76" t="s">
        <v>518</v>
      </c>
    </row>
    <row r="85" spans="1:10" s="74" customFormat="1" ht="14.1" customHeight="1" outlineLevel="2">
      <c r="A85" s="149" t="s">
        <v>629</v>
      </c>
      <c r="B85" s="137" t="s">
        <v>931</v>
      </c>
      <c r="C85" s="145" t="s">
        <v>944</v>
      </c>
      <c r="D85" s="139">
        <v>1</v>
      </c>
      <c r="E85" s="139">
        <v>7</v>
      </c>
      <c r="F85" s="141">
        <v>105000</v>
      </c>
      <c r="G85" s="141">
        <f t="shared" si="4"/>
        <v>735000</v>
      </c>
      <c r="H85" s="75"/>
      <c r="I85" s="142"/>
      <c r="J85" s="76"/>
    </row>
    <row r="86" spans="1:10" s="74" customFormat="1" ht="14.1" customHeight="1" outlineLevel="2">
      <c r="A86" s="149" t="s">
        <v>630</v>
      </c>
      <c r="B86" s="137" t="s">
        <v>931</v>
      </c>
      <c r="C86" s="145" t="s">
        <v>944</v>
      </c>
      <c r="D86" s="139">
        <v>1</v>
      </c>
      <c r="E86" s="139">
        <v>5</v>
      </c>
      <c r="F86" s="141">
        <v>105000</v>
      </c>
      <c r="G86" s="141">
        <f t="shared" si="4"/>
        <v>525000</v>
      </c>
      <c r="H86" s="75"/>
      <c r="I86" s="142"/>
      <c r="J86" s="76"/>
    </row>
    <row r="87" spans="1:10" s="74" customFormat="1" ht="14.1" customHeight="1" outlineLevel="1">
      <c r="A87" s="149"/>
      <c r="B87" s="137"/>
      <c r="C87" s="150" t="s">
        <v>949</v>
      </c>
      <c r="D87" s="139">
        <f>SUBTOTAL(9,D74:D86)</f>
        <v>16</v>
      </c>
      <c r="E87" s="139">
        <f>SUBTOTAL(9,E74:E86)</f>
        <v>82</v>
      </c>
      <c r="F87" s="141"/>
      <c r="G87" s="141">
        <f>SUBTOTAL(9,G74:G86)</f>
        <v>8610000</v>
      </c>
      <c r="H87" s="75"/>
      <c r="I87" s="142"/>
      <c r="J87" s="76"/>
    </row>
    <row r="88" spans="1:10" s="74" customFormat="1" ht="14.1" customHeight="1" outlineLevel="2">
      <c r="A88" s="136" t="s">
        <v>837</v>
      </c>
      <c r="B88" s="137" t="s">
        <v>568</v>
      </c>
      <c r="C88" s="138" t="s">
        <v>520</v>
      </c>
      <c r="D88" s="139">
        <v>2</v>
      </c>
      <c r="E88" s="139">
        <v>10</v>
      </c>
      <c r="F88" s="140">
        <v>105000</v>
      </c>
      <c r="G88" s="140">
        <f t="shared" ref="G88:G111" si="5">ROUND(F88*E88,2)</f>
        <v>1050000</v>
      </c>
      <c r="H88" s="75" t="s">
        <v>483</v>
      </c>
      <c r="I88" s="142" t="s">
        <v>838</v>
      </c>
      <c r="J88" s="76"/>
    </row>
    <row r="89" spans="1:10" s="74" customFormat="1" ht="14.1" customHeight="1" outlineLevel="2">
      <c r="A89" s="136" t="s">
        <v>599</v>
      </c>
      <c r="B89" s="137" t="s">
        <v>568</v>
      </c>
      <c r="C89" s="138" t="s">
        <v>520</v>
      </c>
      <c r="D89" s="139">
        <v>2</v>
      </c>
      <c r="E89" s="139">
        <v>8</v>
      </c>
      <c r="F89" s="140">
        <v>105000</v>
      </c>
      <c r="G89" s="140">
        <f t="shared" si="5"/>
        <v>840000</v>
      </c>
      <c r="H89" s="75" t="s">
        <v>483</v>
      </c>
      <c r="I89" s="142"/>
      <c r="J89" s="157" t="s">
        <v>839</v>
      </c>
    </row>
    <row r="90" spans="1:10" s="74" customFormat="1" ht="14.1" customHeight="1" outlineLevel="2">
      <c r="A90" s="136" t="s">
        <v>840</v>
      </c>
      <c r="B90" s="137" t="s">
        <v>565</v>
      </c>
      <c r="C90" s="138" t="s">
        <v>520</v>
      </c>
      <c r="D90" s="139">
        <v>1</v>
      </c>
      <c r="E90" s="139">
        <v>5</v>
      </c>
      <c r="F90" s="140">
        <v>105000</v>
      </c>
      <c r="G90" s="140">
        <f t="shared" si="5"/>
        <v>525000</v>
      </c>
      <c r="H90" s="75" t="s">
        <v>483</v>
      </c>
      <c r="I90" s="142"/>
      <c r="J90" s="76"/>
    </row>
    <row r="91" spans="1:10" s="74" customFormat="1" ht="14.1" customHeight="1" outlineLevel="2">
      <c r="A91" s="136" t="s">
        <v>600</v>
      </c>
      <c r="B91" s="137" t="s">
        <v>565</v>
      </c>
      <c r="C91" s="138" t="s">
        <v>520</v>
      </c>
      <c r="D91" s="139">
        <v>1</v>
      </c>
      <c r="E91" s="139">
        <v>5</v>
      </c>
      <c r="F91" s="140">
        <v>105000</v>
      </c>
      <c r="G91" s="140">
        <f t="shared" si="5"/>
        <v>525000</v>
      </c>
      <c r="H91" s="75" t="s">
        <v>483</v>
      </c>
      <c r="I91" s="142"/>
      <c r="J91" s="76"/>
    </row>
    <row r="92" spans="1:10" s="74" customFormat="1" ht="14.1" customHeight="1" outlineLevel="2">
      <c r="A92" s="144" t="s">
        <v>601</v>
      </c>
      <c r="B92" s="137" t="s">
        <v>565</v>
      </c>
      <c r="C92" s="138" t="s">
        <v>520</v>
      </c>
      <c r="D92" s="139">
        <v>1</v>
      </c>
      <c r="E92" s="139">
        <v>5</v>
      </c>
      <c r="F92" s="140">
        <v>105000</v>
      </c>
      <c r="G92" s="140">
        <f t="shared" si="5"/>
        <v>525000</v>
      </c>
      <c r="H92" s="75" t="s">
        <v>483</v>
      </c>
      <c r="I92" s="142"/>
      <c r="J92" s="146"/>
    </row>
    <row r="93" spans="1:10" s="74" customFormat="1" ht="14.1" customHeight="1" outlineLevel="2">
      <c r="A93" s="144" t="s">
        <v>841</v>
      </c>
      <c r="B93" s="137" t="s">
        <v>565</v>
      </c>
      <c r="C93" s="138" t="s">
        <v>520</v>
      </c>
      <c r="D93" s="145">
        <v>1</v>
      </c>
      <c r="E93" s="145">
        <v>5</v>
      </c>
      <c r="F93" s="140">
        <v>105000</v>
      </c>
      <c r="G93" s="140">
        <f t="shared" si="5"/>
        <v>525000</v>
      </c>
      <c r="H93" s="137" t="s">
        <v>483</v>
      </c>
      <c r="I93" s="142"/>
      <c r="J93" s="146"/>
    </row>
    <row r="94" spans="1:10" s="74" customFormat="1" ht="14.1" customHeight="1" outlineLevel="2">
      <c r="A94" s="136" t="s">
        <v>842</v>
      </c>
      <c r="B94" s="137" t="s">
        <v>560</v>
      </c>
      <c r="C94" s="138" t="s">
        <v>520</v>
      </c>
      <c r="D94" s="145">
        <v>1</v>
      </c>
      <c r="E94" s="145">
        <v>7</v>
      </c>
      <c r="F94" s="140">
        <v>105000</v>
      </c>
      <c r="G94" s="140">
        <f t="shared" si="5"/>
        <v>735000</v>
      </c>
      <c r="H94" s="137" t="s">
        <v>483</v>
      </c>
      <c r="I94" s="142"/>
      <c r="J94" s="146" t="s">
        <v>843</v>
      </c>
    </row>
    <row r="95" spans="1:10" s="74" customFormat="1" ht="14.1" customHeight="1" outlineLevel="2">
      <c r="A95" s="144" t="s">
        <v>602</v>
      </c>
      <c r="B95" s="137" t="s">
        <v>565</v>
      </c>
      <c r="C95" s="138" t="s">
        <v>520</v>
      </c>
      <c r="D95" s="139">
        <v>1</v>
      </c>
      <c r="E95" s="139">
        <v>5</v>
      </c>
      <c r="F95" s="140">
        <v>105000</v>
      </c>
      <c r="G95" s="140">
        <f t="shared" si="5"/>
        <v>525000</v>
      </c>
      <c r="H95" s="75" t="s">
        <v>483</v>
      </c>
      <c r="I95" s="75" t="s">
        <v>844</v>
      </c>
      <c r="J95" s="76"/>
    </row>
    <row r="96" spans="1:10" s="74" customFormat="1" ht="14.1" customHeight="1" outlineLevel="2">
      <c r="A96" s="144" t="s">
        <v>603</v>
      </c>
      <c r="B96" s="137" t="s">
        <v>568</v>
      </c>
      <c r="C96" s="138" t="s">
        <v>520</v>
      </c>
      <c r="D96" s="139">
        <v>1</v>
      </c>
      <c r="E96" s="139">
        <v>5</v>
      </c>
      <c r="F96" s="140">
        <v>105000</v>
      </c>
      <c r="G96" s="140">
        <f t="shared" si="5"/>
        <v>525000</v>
      </c>
      <c r="H96" s="75"/>
      <c r="I96" s="75"/>
      <c r="J96" s="76"/>
    </row>
    <row r="97" spans="1:10" s="74" customFormat="1" ht="14.1" customHeight="1" outlineLevel="2">
      <c r="A97" s="144" t="s">
        <v>519</v>
      </c>
      <c r="B97" s="137" t="s">
        <v>855</v>
      </c>
      <c r="C97" s="138" t="s">
        <v>894</v>
      </c>
      <c r="D97" s="139">
        <v>1</v>
      </c>
      <c r="E97" s="139">
        <v>6</v>
      </c>
      <c r="F97" s="140">
        <v>105000</v>
      </c>
      <c r="G97" s="140">
        <f t="shared" si="5"/>
        <v>630000</v>
      </c>
      <c r="H97" s="75" t="s">
        <v>857</v>
      </c>
      <c r="I97" s="156"/>
      <c r="J97" s="146" t="s">
        <v>895</v>
      </c>
    </row>
    <row r="98" spans="1:10" s="74" customFormat="1" ht="14.1" customHeight="1" outlineLevel="2">
      <c r="A98" s="144" t="s">
        <v>896</v>
      </c>
      <c r="B98" s="137" t="s">
        <v>855</v>
      </c>
      <c r="C98" s="138" t="s">
        <v>894</v>
      </c>
      <c r="D98" s="139">
        <v>1</v>
      </c>
      <c r="E98" s="139">
        <v>5</v>
      </c>
      <c r="F98" s="140">
        <v>105000</v>
      </c>
      <c r="G98" s="140">
        <f t="shared" si="5"/>
        <v>525000</v>
      </c>
      <c r="H98" s="75" t="s">
        <v>857</v>
      </c>
      <c r="I98" s="156"/>
      <c r="J98" s="146" t="s">
        <v>897</v>
      </c>
    </row>
    <row r="99" spans="1:10" s="74" customFormat="1" ht="14.1" customHeight="1" outlineLevel="2">
      <c r="A99" s="144" t="s">
        <v>898</v>
      </c>
      <c r="B99" s="137" t="s">
        <v>481</v>
      </c>
      <c r="C99" s="138" t="s">
        <v>894</v>
      </c>
      <c r="D99" s="139">
        <v>1</v>
      </c>
      <c r="E99" s="139">
        <v>5</v>
      </c>
      <c r="F99" s="140">
        <v>105000</v>
      </c>
      <c r="G99" s="140">
        <f t="shared" si="5"/>
        <v>525000</v>
      </c>
      <c r="H99" s="75" t="s">
        <v>857</v>
      </c>
      <c r="I99" s="142"/>
      <c r="J99" s="76"/>
    </row>
    <row r="100" spans="1:10" s="74" customFormat="1" ht="14.1" customHeight="1" outlineLevel="2">
      <c r="A100" s="144" t="s">
        <v>899</v>
      </c>
      <c r="B100" s="137" t="s">
        <v>855</v>
      </c>
      <c r="C100" s="138" t="s">
        <v>894</v>
      </c>
      <c r="D100" s="139">
        <v>1</v>
      </c>
      <c r="E100" s="139">
        <v>5</v>
      </c>
      <c r="F100" s="140">
        <v>105000</v>
      </c>
      <c r="G100" s="140">
        <f t="shared" si="5"/>
        <v>525000</v>
      </c>
      <c r="H100" s="75" t="s">
        <v>857</v>
      </c>
      <c r="I100" s="142"/>
      <c r="J100" s="76"/>
    </row>
    <row r="101" spans="1:10" s="74" customFormat="1" ht="14.1" customHeight="1" outlineLevel="2">
      <c r="A101" s="144" t="s">
        <v>900</v>
      </c>
      <c r="B101" s="137" t="s">
        <v>855</v>
      </c>
      <c r="C101" s="138" t="s">
        <v>894</v>
      </c>
      <c r="D101" s="139">
        <v>1</v>
      </c>
      <c r="E101" s="139">
        <v>5</v>
      </c>
      <c r="F101" s="140">
        <v>105000</v>
      </c>
      <c r="G101" s="140">
        <f t="shared" si="5"/>
        <v>525000</v>
      </c>
      <c r="H101" s="75" t="s">
        <v>491</v>
      </c>
      <c r="I101" s="142"/>
      <c r="J101" s="76"/>
    </row>
    <row r="102" spans="1:10" s="74" customFormat="1" ht="14.1" customHeight="1" outlineLevel="2">
      <c r="A102" s="144" t="s">
        <v>521</v>
      </c>
      <c r="B102" s="137" t="s">
        <v>855</v>
      </c>
      <c r="C102" s="138" t="s">
        <v>894</v>
      </c>
      <c r="D102" s="139">
        <v>1</v>
      </c>
      <c r="E102" s="139">
        <v>5</v>
      </c>
      <c r="F102" s="140">
        <v>105000</v>
      </c>
      <c r="G102" s="140">
        <f t="shared" si="5"/>
        <v>525000</v>
      </c>
      <c r="H102" s="75"/>
      <c r="I102" s="142"/>
      <c r="J102" s="76" t="s">
        <v>518</v>
      </c>
    </row>
    <row r="103" spans="1:10" s="74" customFormat="1" ht="14.1" customHeight="1" outlineLevel="2">
      <c r="A103" s="144" t="s">
        <v>901</v>
      </c>
      <c r="B103" s="137" t="s">
        <v>855</v>
      </c>
      <c r="C103" s="138" t="s">
        <v>894</v>
      </c>
      <c r="D103" s="139">
        <v>2</v>
      </c>
      <c r="E103" s="139">
        <v>6</v>
      </c>
      <c r="F103" s="140">
        <v>105000</v>
      </c>
      <c r="G103" s="140">
        <f t="shared" si="5"/>
        <v>630000</v>
      </c>
      <c r="H103" s="75"/>
      <c r="I103" s="142"/>
      <c r="J103" s="146" t="s">
        <v>902</v>
      </c>
    </row>
    <row r="104" spans="1:10" s="74" customFormat="1" ht="14.1" customHeight="1" outlineLevel="2">
      <c r="A104" s="144" t="s">
        <v>903</v>
      </c>
      <c r="B104" s="137" t="s">
        <v>855</v>
      </c>
      <c r="C104" s="138" t="s">
        <v>894</v>
      </c>
      <c r="D104" s="139">
        <v>1</v>
      </c>
      <c r="E104" s="139">
        <v>5</v>
      </c>
      <c r="F104" s="140">
        <v>105000</v>
      </c>
      <c r="G104" s="140">
        <f t="shared" si="5"/>
        <v>525000</v>
      </c>
      <c r="H104" s="75" t="s">
        <v>857</v>
      </c>
      <c r="I104" s="142"/>
      <c r="J104" s="146" t="s">
        <v>904</v>
      </c>
    </row>
    <row r="105" spans="1:10" s="74" customFormat="1" ht="14.1" customHeight="1" outlineLevel="2">
      <c r="A105" s="136" t="s">
        <v>905</v>
      </c>
      <c r="B105" s="137" t="s">
        <v>855</v>
      </c>
      <c r="C105" s="138" t="s">
        <v>894</v>
      </c>
      <c r="D105" s="145">
        <v>1</v>
      </c>
      <c r="E105" s="145">
        <v>5</v>
      </c>
      <c r="F105" s="140">
        <v>105000</v>
      </c>
      <c r="G105" s="140">
        <f t="shared" si="5"/>
        <v>525000</v>
      </c>
      <c r="H105" s="137" t="s">
        <v>906</v>
      </c>
      <c r="I105" s="142"/>
      <c r="J105" s="76"/>
    </row>
    <row r="106" spans="1:10" s="74" customFormat="1" ht="14.1" customHeight="1" outlineLevel="2">
      <c r="A106" s="144" t="s">
        <v>907</v>
      </c>
      <c r="B106" s="137" t="s">
        <v>855</v>
      </c>
      <c r="C106" s="138" t="s">
        <v>894</v>
      </c>
      <c r="D106" s="139">
        <v>1</v>
      </c>
      <c r="E106" s="139">
        <v>5</v>
      </c>
      <c r="F106" s="140">
        <v>105000</v>
      </c>
      <c r="G106" s="140">
        <f t="shared" si="5"/>
        <v>525000</v>
      </c>
      <c r="H106" s="75" t="s">
        <v>857</v>
      </c>
      <c r="I106" s="75" t="s">
        <v>908</v>
      </c>
      <c r="J106" s="76"/>
    </row>
    <row r="107" spans="1:10" s="74" customFormat="1" ht="14.1" customHeight="1" outlineLevel="2">
      <c r="A107" s="144" t="s">
        <v>909</v>
      </c>
      <c r="B107" s="137" t="s">
        <v>855</v>
      </c>
      <c r="C107" s="138" t="s">
        <v>894</v>
      </c>
      <c r="D107" s="145">
        <v>1</v>
      </c>
      <c r="E107" s="145">
        <v>5</v>
      </c>
      <c r="F107" s="140">
        <v>105000</v>
      </c>
      <c r="G107" s="140">
        <f t="shared" si="5"/>
        <v>525000</v>
      </c>
      <c r="H107" s="137" t="s">
        <v>857</v>
      </c>
      <c r="I107" s="142"/>
      <c r="J107" s="76"/>
    </row>
    <row r="108" spans="1:10" s="74" customFormat="1" ht="14.1" customHeight="1" outlineLevel="2">
      <c r="A108" s="144" t="s">
        <v>910</v>
      </c>
      <c r="B108" s="137" t="s">
        <v>855</v>
      </c>
      <c r="C108" s="138" t="s">
        <v>894</v>
      </c>
      <c r="D108" s="145">
        <v>1</v>
      </c>
      <c r="E108" s="145">
        <v>5</v>
      </c>
      <c r="F108" s="140">
        <v>105000</v>
      </c>
      <c r="G108" s="140">
        <f t="shared" si="5"/>
        <v>525000</v>
      </c>
      <c r="H108" s="137" t="s">
        <v>857</v>
      </c>
      <c r="I108" s="142"/>
      <c r="J108" s="76"/>
    </row>
    <row r="109" spans="1:10" s="74" customFormat="1" ht="14.1" customHeight="1" outlineLevel="2">
      <c r="A109" s="144" t="s">
        <v>911</v>
      </c>
      <c r="B109" s="137" t="s">
        <v>855</v>
      </c>
      <c r="C109" s="138" t="s">
        <v>894</v>
      </c>
      <c r="D109" s="139">
        <v>1</v>
      </c>
      <c r="E109" s="139">
        <v>5</v>
      </c>
      <c r="F109" s="140">
        <v>105000</v>
      </c>
      <c r="G109" s="140">
        <f t="shared" si="5"/>
        <v>525000</v>
      </c>
      <c r="H109" s="75"/>
      <c r="I109" s="75"/>
      <c r="J109" s="76" t="s">
        <v>912</v>
      </c>
    </row>
    <row r="110" spans="1:10" s="74" customFormat="1" ht="14.1" customHeight="1" outlineLevel="2">
      <c r="A110" s="158" t="s">
        <v>623</v>
      </c>
      <c r="B110" s="137" t="s">
        <v>931</v>
      </c>
      <c r="C110" s="142" t="s">
        <v>932</v>
      </c>
      <c r="D110" s="142">
        <v>1</v>
      </c>
      <c r="E110" s="142">
        <v>5</v>
      </c>
      <c r="F110" s="141">
        <v>105000</v>
      </c>
      <c r="G110" s="141">
        <f t="shared" si="5"/>
        <v>525000</v>
      </c>
      <c r="H110" s="75"/>
      <c r="I110" s="75"/>
      <c r="J110" s="76"/>
    </row>
    <row r="111" spans="1:10" s="74" customFormat="1" ht="14.1" customHeight="1" outlineLevel="2">
      <c r="A111" s="158" t="s">
        <v>624</v>
      </c>
      <c r="B111" s="137" t="s">
        <v>931</v>
      </c>
      <c r="C111" s="142" t="s">
        <v>932</v>
      </c>
      <c r="D111" s="142">
        <v>1</v>
      </c>
      <c r="E111" s="142">
        <v>5</v>
      </c>
      <c r="F111" s="141">
        <v>105000</v>
      </c>
      <c r="G111" s="141">
        <f t="shared" si="5"/>
        <v>525000</v>
      </c>
      <c r="H111" s="75"/>
      <c r="I111" s="75"/>
      <c r="J111" s="76"/>
    </row>
    <row r="112" spans="1:10" s="74" customFormat="1" ht="14.1" customHeight="1" outlineLevel="1">
      <c r="A112" s="158"/>
      <c r="B112" s="137"/>
      <c r="C112" s="159" t="s">
        <v>950</v>
      </c>
      <c r="D112" s="142">
        <f>SUBTOTAL(9,D88:D111)</f>
        <v>27</v>
      </c>
      <c r="E112" s="142">
        <f>SUBTOTAL(9,E88:E111)</f>
        <v>132</v>
      </c>
      <c r="F112" s="141"/>
      <c r="G112" s="141">
        <f>SUBTOTAL(9,G88:G111)</f>
        <v>13860000</v>
      </c>
      <c r="H112" s="75"/>
      <c r="I112" s="75"/>
      <c r="J112" s="76"/>
    </row>
    <row r="113" spans="1:10" s="74" customFormat="1" ht="14.1" customHeight="1" outlineLevel="2">
      <c r="A113" s="144" t="s">
        <v>845</v>
      </c>
      <c r="B113" s="137" t="s">
        <v>560</v>
      </c>
      <c r="C113" s="138" t="s">
        <v>525</v>
      </c>
      <c r="D113" s="139">
        <v>1</v>
      </c>
      <c r="E113" s="139">
        <v>5</v>
      </c>
      <c r="F113" s="140">
        <v>105000</v>
      </c>
      <c r="G113" s="140">
        <f t="shared" ref="G113:G140" si="6">ROUND(F113*E113,2)</f>
        <v>525000</v>
      </c>
      <c r="H113" s="75" t="s">
        <v>522</v>
      </c>
      <c r="I113" s="142"/>
      <c r="J113" s="76"/>
    </row>
    <row r="114" spans="1:10" s="74" customFormat="1" ht="14.1" customHeight="1" outlineLevel="2">
      <c r="A114" s="144" t="s">
        <v>380</v>
      </c>
      <c r="B114" s="137" t="s">
        <v>568</v>
      </c>
      <c r="C114" s="138" t="s">
        <v>525</v>
      </c>
      <c r="D114" s="139">
        <v>1</v>
      </c>
      <c r="E114" s="139">
        <v>7</v>
      </c>
      <c r="F114" s="140">
        <v>105000</v>
      </c>
      <c r="G114" s="140">
        <f t="shared" si="6"/>
        <v>735000</v>
      </c>
      <c r="H114" s="75" t="s">
        <v>522</v>
      </c>
      <c r="I114" s="142"/>
      <c r="J114" s="146" t="s">
        <v>846</v>
      </c>
    </row>
    <row r="115" spans="1:10" s="74" customFormat="1" ht="14.1" customHeight="1" outlineLevel="2">
      <c r="A115" s="136" t="s">
        <v>604</v>
      </c>
      <c r="B115" s="137" t="s">
        <v>568</v>
      </c>
      <c r="C115" s="138" t="s">
        <v>525</v>
      </c>
      <c r="D115" s="139">
        <v>1</v>
      </c>
      <c r="E115" s="139">
        <v>5</v>
      </c>
      <c r="F115" s="140">
        <v>105000</v>
      </c>
      <c r="G115" s="140">
        <f t="shared" si="6"/>
        <v>525000</v>
      </c>
      <c r="H115" s="75" t="s">
        <v>522</v>
      </c>
      <c r="I115" s="142"/>
      <c r="J115" s="76"/>
    </row>
    <row r="116" spans="1:10" s="74" customFormat="1" ht="14.1" customHeight="1" outlineLevel="2">
      <c r="A116" s="136" t="s">
        <v>605</v>
      </c>
      <c r="B116" s="137" t="s">
        <v>565</v>
      </c>
      <c r="C116" s="138" t="s">
        <v>525</v>
      </c>
      <c r="D116" s="139">
        <v>1</v>
      </c>
      <c r="E116" s="139">
        <v>5</v>
      </c>
      <c r="F116" s="140">
        <v>105000</v>
      </c>
      <c r="G116" s="140">
        <f t="shared" si="6"/>
        <v>525000</v>
      </c>
      <c r="H116" s="75" t="s">
        <v>522</v>
      </c>
      <c r="I116" s="142"/>
      <c r="J116" s="76"/>
    </row>
    <row r="117" spans="1:10" s="74" customFormat="1" ht="14.1" customHeight="1" outlineLevel="2">
      <c r="A117" s="144" t="s">
        <v>606</v>
      </c>
      <c r="B117" s="137" t="s">
        <v>565</v>
      </c>
      <c r="C117" s="138" t="s">
        <v>525</v>
      </c>
      <c r="D117" s="139">
        <v>1</v>
      </c>
      <c r="E117" s="139">
        <v>6</v>
      </c>
      <c r="F117" s="140">
        <v>105000</v>
      </c>
      <c r="G117" s="140">
        <f t="shared" si="6"/>
        <v>630000</v>
      </c>
      <c r="H117" s="75" t="s">
        <v>522</v>
      </c>
      <c r="I117" s="142"/>
      <c r="J117" s="76" t="s">
        <v>607</v>
      </c>
    </row>
    <row r="118" spans="1:10" s="74" customFormat="1" ht="14.1" customHeight="1" outlineLevel="2">
      <c r="A118" s="144" t="s">
        <v>847</v>
      </c>
      <c r="B118" s="137" t="s">
        <v>560</v>
      </c>
      <c r="C118" s="138" t="s">
        <v>525</v>
      </c>
      <c r="D118" s="139">
        <v>2</v>
      </c>
      <c r="E118" s="139">
        <v>10</v>
      </c>
      <c r="F118" s="140">
        <v>105000</v>
      </c>
      <c r="G118" s="140">
        <f t="shared" si="6"/>
        <v>1050000</v>
      </c>
      <c r="H118" s="75" t="s">
        <v>522</v>
      </c>
      <c r="I118" s="142"/>
      <c r="J118" s="76"/>
    </row>
    <row r="119" spans="1:10" s="74" customFormat="1" ht="14.1" customHeight="1" outlineLevel="2">
      <c r="A119" s="144" t="s">
        <v>381</v>
      </c>
      <c r="B119" s="137" t="s">
        <v>565</v>
      </c>
      <c r="C119" s="138" t="s">
        <v>525</v>
      </c>
      <c r="D119" s="139">
        <v>1</v>
      </c>
      <c r="E119" s="139">
        <v>5</v>
      </c>
      <c r="F119" s="140">
        <v>105000</v>
      </c>
      <c r="G119" s="140">
        <f t="shared" si="6"/>
        <v>525000</v>
      </c>
      <c r="H119" s="75" t="s">
        <v>522</v>
      </c>
      <c r="I119" s="142"/>
      <c r="J119" s="76"/>
    </row>
    <row r="120" spans="1:10" s="74" customFormat="1" ht="14.1" customHeight="1" outlineLevel="2">
      <c r="A120" s="144" t="s">
        <v>608</v>
      </c>
      <c r="B120" s="137" t="s">
        <v>565</v>
      </c>
      <c r="C120" s="138" t="s">
        <v>525</v>
      </c>
      <c r="D120" s="139">
        <v>1</v>
      </c>
      <c r="E120" s="139">
        <v>6</v>
      </c>
      <c r="F120" s="140">
        <v>105000</v>
      </c>
      <c r="G120" s="140">
        <f t="shared" si="6"/>
        <v>630000</v>
      </c>
      <c r="H120" s="75" t="s">
        <v>526</v>
      </c>
      <c r="I120" s="75"/>
      <c r="J120" s="76" t="s">
        <v>848</v>
      </c>
    </row>
    <row r="121" spans="1:10" s="74" customFormat="1" ht="14.1" customHeight="1" outlineLevel="2">
      <c r="A121" s="136" t="s">
        <v>609</v>
      </c>
      <c r="B121" s="137" t="s">
        <v>568</v>
      </c>
      <c r="C121" s="138" t="s">
        <v>525</v>
      </c>
      <c r="D121" s="139">
        <v>1</v>
      </c>
      <c r="E121" s="139">
        <v>7</v>
      </c>
      <c r="F121" s="140">
        <v>105000</v>
      </c>
      <c r="G121" s="140">
        <f t="shared" si="6"/>
        <v>735000</v>
      </c>
      <c r="H121" s="75" t="s">
        <v>526</v>
      </c>
      <c r="I121" s="139"/>
      <c r="J121" s="76" t="s">
        <v>610</v>
      </c>
    </row>
    <row r="122" spans="1:10" s="74" customFormat="1" ht="14.1" customHeight="1" outlineLevel="2">
      <c r="A122" s="144" t="s">
        <v>524</v>
      </c>
      <c r="B122" s="137" t="s">
        <v>855</v>
      </c>
      <c r="C122" s="138" t="s">
        <v>913</v>
      </c>
      <c r="D122" s="139">
        <v>1</v>
      </c>
      <c r="E122" s="139">
        <v>5</v>
      </c>
      <c r="F122" s="140">
        <v>105000</v>
      </c>
      <c r="G122" s="140">
        <f t="shared" si="6"/>
        <v>525000</v>
      </c>
      <c r="H122" s="75" t="s">
        <v>906</v>
      </c>
      <c r="I122" s="142"/>
      <c r="J122" s="76"/>
    </row>
    <row r="123" spans="1:10" s="74" customFormat="1" ht="14.1" customHeight="1" outlineLevel="2">
      <c r="A123" s="144" t="s">
        <v>914</v>
      </c>
      <c r="B123" s="137" t="s">
        <v>855</v>
      </c>
      <c r="C123" s="138" t="s">
        <v>913</v>
      </c>
      <c r="D123" s="139">
        <v>2</v>
      </c>
      <c r="E123" s="139">
        <v>10</v>
      </c>
      <c r="F123" s="140">
        <v>105000</v>
      </c>
      <c r="G123" s="140">
        <f t="shared" si="6"/>
        <v>1050000</v>
      </c>
      <c r="H123" s="75" t="s">
        <v>906</v>
      </c>
      <c r="I123" s="142" t="s">
        <v>915</v>
      </c>
      <c r="J123" s="76"/>
    </row>
    <row r="124" spans="1:10" s="74" customFormat="1" ht="14.1" customHeight="1" outlineLevel="2">
      <c r="A124" s="144" t="s">
        <v>916</v>
      </c>
      <c r="B124" s="137" t="s">
        <v>855</v>
      </c>
      <c r="C124" s="138" t="s">
        <v>525</v>
      </c>
      <c r="D124" s="139">
        <v>1</v>
      </c>
      <c r="E124" s="139">
        <v>5</v>
      </c>
      <c r="F124" s="140">
        <v>105000</v>
      </c>
      <c r="G124" s="140">
        <f t="shared" si="6"/>
        <v>525000</v>
      </c>
      <c r="H124" s="75" t="s">
        <v>492</v>
      </c>
      <c r="I124" s="142"/>
      <c r="J124" s="146"/>
    </row>
    <row r="125" spans="1:10" s="74" customFormat="1" ht="14.1" customHeight="1" outlineLevel="2">
      <c r="A125" s="136" t="s">
        <v>917</v>
      </c>
      <c r="B125" s="137" t="s">
        <v>855</v>
      </c>
      <c r="C125" s="138" t="s">
        <v>913</v>
      </c>
      <c r="D125" s="139">
        <v>1</v>
      </c>
      <c r="E125" s="139">
        <v>5</v>
      </c>
      <c r="F125" s="140">
        <v>105000</v>
      </c>
      <c r="G125" s="140">
        <f t="shared" si="6"/>
        <v>525000</v>
      </c>
      <c r="H125" s="75" t="s">
        <v>906</v>
      </c>
      <c r="I125" s="142"/>
      <c r="J125" s="76"/>
    </row>
    <row r="126" spans="1:10" s="74" customFormat="1" ht="14.1" customHeight="1" outlineLevel="2">
      <c r="A126" s="144" t="s">
        <v>918</v>
      </c>
      <c r="B126" s="137" t="s">
        <v>855</v>
      </c>
      <c r="C126" s="138" t="s">
        <v>913</v>
      </c>
      <c r="D126" s="139">
        <v>1</v>
      </c>
      <c r="E126" s="139">
        <v>5</v>
      </c>
      <c r="F126" s="140">
        <v>105000</v>
      </c>
      <c r="G126" s="140">
        <f t="shared" si="6"/>
        <v>525000</v>
      </c>
      <c r="H126" s="75" t="s">
        <v>906</v>
      </c>
      <c r="I126" s="142"/>
      <c r="J126" s="76"/>
    </row>
    <row r="127" spans="1:10" s="74" customFormat="1" ht="14.1" customHeight="1" outlineLevel="2">
      <c r="A127" s="144" t="s">
        <v>382</v>
      </c>
      <c r="B127" s="137" t="s">
        <v>855</v>
      </c>
      <c r="C127" s="138" t="s">
        <v>913</v>
      </c>
      <c r="D127" s="139">
        <v>1</v>
      </c>
      <c r="E127" s="139">
        <v>5</v>
      </c>
      <c r="F127" s="140">
        <v>105000</v>
      </c>
      <c r="G127" s="140">
        <f t="shared" si="6"/>
        <v>525000</v>
      </c>
      <c r="H127" s="75"/>
      <c r="I127" s="139"/>
      <c r="J127" s="76"/>
    </row>
    <row r="128" spans="1:10" s="74" customFormat="1" ht="14.1" customHeight="1" outlineLevel="2">
      <c r="A128" s="144" t="s">
        <v>919</v>
      </c>
      <c r="B128" s="137" t="s">
        <v>855</v>
      </c>
      <c r="C128" s="138" t="s">
        <v>913</v>
      </c>
      <c r="D128" s="139">
        <v>1</v>
      </c>
      <c r="E128" s="139">
        <v>5</v>
      </c>
      <c r="F128" s="140">
        <v>105000</v>
      </c>
      <c r="G128" s="140">
        <f t="shared" si="6"/>
        <v>525000</v>
      </c>
      <c r="H128" s="75" t="s">
        <v>526</v>
      </c>
      <c r="I128" s="142"/>
      <c r="J128" s="76"/>
    </row>
    <row r="129" spans="1:10" s="74" customFormat="1" ht="14.1" customHeight="1" outlineLevel="2">
      <c r="A129" s="144" t="s">
        <v>920</v>
      </c>
      <c r="B129" s="137" t="s">
        <v>855</v>
      </c>
      <c r="C129" s="138" t="s">
        <v>913</v>
      </c>
      <c r="D129" s="139">
        <v>1</v>
      </c>
      <c r="E129" s="139">
        <v>5</v>
      </c>
      <c r="F129" s="140">
        <v>105000</v>
      </c>
      <c r="G129" s="140">
        <f t="shared" si="6"/>
        <v>525000</v>
      </c>
      <c r="H129" s="75" t="s">
        <v>526</v>
      </c>
      <c r="I129" s="142"/>
      <c r="J129" s="76"/>
    </row>
    <row r="130" spans="1:10" s="74" customFormat="1" ht="14.1" customHeight="1" outlineLevel="2">
      <c r="A130" s="144" t="s">
        <v>921</v>
      </c>
      <c r="B130" s="137" t="s">
        <v>855</v>
      </c>
      <c r="C130" s="138" t="s">
        <v>525</v>
      </c>
      <c r="D130" s="139">
        <v>1</v>
      </c>
      <c r="E130" s="139">
        <v>5</v>
      </c>
      <c r="F130" s="140">
        <v>105000</v>
      </c>
      <c r="G130" s="140">
        <f t="shared" si="6"/>
        <v>525000</v>
      </c>
      <c r="H130" s="75" t="s">
        <v>526</v>
      </c>
      <c r="I130" s="142"/>
      <c r="J130" s="76"/>
    </row>
    <row r="131" spans="1:10" s="74" customFormat="1" ht="14.1" customHeight="1" outlineLevel="2">
      <c r="A131" s="144" t="s">
        <v>922</v>
      </c>
      <c r="B131" s="137" t="s">
        <v>855</v>
      </c>
      <c r="C131" s="138" t="s">
        <v>913</v>
      </c>
      <c r="D131" s="139">
        <v>1</v>
      </c>
      <c r="E131" s="139">
        <v>5</v>
      </c>
      <c r="F131" s="140">
        <v>105000</v>
      </c>
      <c r="G131" s="140">
        <f t="shared" si="6"/>
        <v>525000</v>
      </c>
      <c r="H131" s="75" t="s">
        <v>875</v>
      </c>
      <c r="I131" s="142"/>
      <c r="J131" s="76"/>
    </row>
    <row r="132" spans="1:10" s="74" customFormat="1" ht="14.1" customHeight="1" outlineLevel="2">
      <c r="A132" s="144" t="s">
        <v>923</v>
      </c>
      <c r="B132" s="137" t="s">
        <v>855</v>
      </c>
      <c r="C132" s="138" t="s">
        <v>913</v>
      </c>
      <c r="D132" s="139">
        <v>1</v>
      </c>
      <c r="E132" s="139">
        <v>5</v>
      </c>
      <c r="F132" s="140">
        <v>105000</v>
      </c>
      <c r="G132" s="140">
        <f t="shared" si="6"/>
        <v>525000</v>
      </c>
      <c r="H132" s="75"/>
      <c r="I132" s="142"/>
      <c r="J132" s="76" t="s">
        <v>924</v>
      </c>
    </row>
    <row r="133" spans="1:10" s="74" customFormat="1" ht="14.1" customHeight="1" outlineLevel="2">
      <c r="A133" s="136" t="s">
        <v>925</v>
      </c>
      <c r="B133" s="137" t="s">
        <v>855</v>
      </c>
      <c r="C133" s="138" t="s">
        <v>913</v>
      </c>
      <c r="D133" s="139">
        <v>1</v>
      </c>
      <c r="E133" s="139">
        <v>5</v>
      </c>
      <c r="F133" s="140">
        <v>105000</v>
      </c>
      <c r="G133" s="140">
        <f t="shared" si="6"/>
        <v>525000</v>
      </c>
      <c r="H133" s="75" t="s">
        <v>526</v>
      </c>
      <c r="I133" s="142"/>
      <c r="J133" s="76"/>
    </row>
    <row r="134" spans="1:10" s="74" customFormat="1" ht="14.1" customHeight="1" outlineLevel="2">
      <c r="A134" s="136" t="s">
        <v>926</v>
      </c>
      <c r="B134" s="137" t="s">
        <v>855</v>
      </c>
      <c r="C134" s="138" t="s">
        <v>913</v>
      </c>
      <c r="D134" s="139">
        <v>1</v>
      </c>
      <c r="E134" s="139">
        <v>5</v>
      </c>
      <c r="F134" s="140">
        <v>105000</v>
      </c>
      <c r="G134" s="140">
        <f t="shared" si="6"/>
        <v>525000</v>
      </c>
      <c r="H134" s="75" t="s">
        <v>526</v>
      </c>
      <c r="I134" s="142"/>
      <c r="J134" s="76"/>
    </row>
    <row r="135" spans="1:10" s="74" customFormat="1" ht="14.1" customHeight="1" outlineLevel="2">
      <c r="A135" s="144" t="s">
        <v>927</v>
      </c>
      <c r="B135" s="137" t="s">
        <v>855</v>
      </c>
      <c r="C135" s="138" t="s">
        <v>913</v>
      </c>
      <c r="D135" s="139">
        <v>1</v>
      </c>
      <c r="E135" s="139">
        <v>5</v>
      </c>
      <c r="F135" s="140">
        <v>105000</v>
      </c>
      <c r="G135" s="140">
        <f t="shared" si="6"/>
        <v>525000</v>
      </c>
      <c r="H135" s="75" t="s">
        <v>906</v>
      </c>
      <c r="I135" s="142"/>
      <c r="J135" s="76"/>
    </row>
    <row r="136" spans="1:10" s="74" customFormat="1" ht="14.1" customHeight="1" outlineLevel="2">
      <c r="A136" s="136" t="s">
        <v>527</v>
      </c>
      <c r="B136" s="137" t="s">
        <v>855</v>
      </c>
      <c r="C136" s="138" t="s">
        <v>913</v>
      </c>
      <c r="D136" s="139">
        <v>1</v>
      </c>
      <c r="E136" s="139">
        <v>5</v>
      </c>
      <c r="F136" s="140">
        <v>105000</v>
      </c>
      <c r="G136" s="140">
        <f t="shared" si="6"/>
        <v>525000</v>
      </c>
      <c r="H136" s="75" t="s">
        <v>526</v>
      </c>
      <c r="I136" s="139"/>
      <c r="J136" s="76"/>
    </row>
    <row r="137" spans="1:10" s="74" customFormat="1" ht="14.1" customHeight="1" outlineLevel="2">
      <c r="A137" s="144" t="s">
        <v>928</v>
      </c>
      <c r="B137" s="137" t="s">
        <v>855</v>
      </c>
      <c r="C137" s="138" t="s">
        <v>913</v>
      </c>
      <c r="D137" s="139">
        <v>1</v>
      </c>
      <c r="E137" s="139">
        <v>5</v>
      </c>
      <c r="F137" s="140">
        <v>105000</v>
      </c>
      <c r="G137" s="140">
        <f t="shared" si="6"/>
        <v>525000</v>
      </c>
      <c r="H137" s="75"/>
      <c r="I137" s="139"/>
      <c r="J137" s="76" t="s">
        <v>862</v>
      </c>
    </row>
    <row r="138" spans="1:10" s="74" customFormat="1" ht="14.1" customHeight="1" outlineLevel="2">
      <c r="A138" s="144" t="s">
        <v>528</v>
      </c>
      <c r="B138" s="137" t="s">
        <v>855</v>
      </c>
      <c r="C138" s="75" t="s">
        <v>913</v>
      </c>
      <c r="D138" s="139">
        <v>1</v>
      </c>
      <c r="E138" s="139">
        <v>5</v>
      </c>
      <c r="F138" s="140">
        <v>105000</v>
      </c>
      <c r="G138" s="140">
        <f t="shared" si="6"/>
        <v>525000</v>
      </c>
      <c r="H138" s="75"/>
      <c r="I138" s="139"/>
      <c r="J138" s="146" t="s">
        <v>929</v>
      </c>
    </row>
    <row r="139" spans="1:10" s="74" customFormat="1" ht="14.1" customHeight="1" outlineLevel="2">
      <c r="A139" s="146" t="s">
        <v>936</v>
      </c>
      <c r="B139" s="137" t="s">
        <v>931</v>
      </c>
      <c r="C139" s="156" t="s">
        <v>933</v>
      </c>
      <c r="D139" s="142">
        <v>1</v>
      </c>
      <c r="E139" s="142">
        <v>5</v>
      </c>
      <c r="F139" s="141">
        <v>105000</v>
      </c>
      <c r="G139" s="141">
        <f t="shared" si="6"/>
        <v>525000</v>
      </c>
      <c r="H139" s="75"/>
      <c r="I139" s="139"/>
      <c r="J139" s="76"/>
    </row>
    <row r="140" spans="1:10" s="74" customFormat="1" ht="14.1" customHeight="1" outlineLevel="2">
      <c r="A140" s="146" t="s">
        <v>937</v>
      </c>
      <c r="B140" s="137" t="s">
        <v>931</v>
      </c>
      <c r="C140" s="156" t="s">
        <v>934</v>
      </c>
      <c r="D140" s="142">
        <v>1</v>
      </c>
      <c r="E140" s="142">
        <v>5</v>
      </c>
      <c r="F140" s="160">
        <v>105000</v>
      </c>
      <c r="G140" s="141">
        <f t="shared" si="6"/>
        <v>525000</v>
      </c>
      <c r="H140" s="75"/>
      <c r="I140" s="139"/>
      <c r="J140" s="76"/>
    </row>
    <row r="141" spans="1:10" s="74" customFormat="1" ht="14.1" customHeight="1" outlineLevel="2">
      <c r="A141" s="161" t="s">
        <v>938</v>
      </c>
      <c r="B141" s="137" t="s">
        <v>931</v>
      </c>
      <c r="C141" s="145" t="s">
        <v>935</v>
      </c>
      <c r="D141" s="139">
        <v>1</v>
      </c>
      <c r="E141" s="139">
        <v>5</v>
      </c>
      <c r="F141" s="141">
        <v>105000</v>
      </c>
      <c r="G141" s="141">
        <f>ROUND(F141*E141,2)</f>
        <v>525000</v>
      </c>
      <c r="H141" s="75"/>
      <c r="I141" s="139"/>
      <c r="J141" s="76"/>
    </row>
    <row r="142" spans="1:10" s="74" customFormat="1" ht="14.1" customHeight="1" outlineLevel="1">
      <c r="A142" s="161"/>
      <c r="B142" s="137"/>
      <c r="C142" s="150" t="s">
        <v>951</v>
      </c>
      <c r="D142" s="139">
        <f>SUBTOTAL(9,D113:D141)</f>
        <v>31</v>
      </c>
      <c r="E142" s="139">
        <f>SUBTOTAL(9,E113:E141)</f>
        <v>161</v>
      </c>
      <c r="F142" s="141"/>
      <c r="G142" s="141">
        <f>SUBTOTAL(9,G113:G141)</f>
        <v>16905000</v>
      </c>
      <c r="H142" s="75"/>
      <c r="I142" s="139"/>
      <c r="J142" s="76"/>
    </row>
    <row r="143" spans="1:10" s="74" customFormat="1" ht="14.1" customHeight="1" outlineLevel="2">
      <c r="A143" s="136" t="s">
        <v>611</v>
      </c>
      <c r="B143" s="137" t="s">
        <v>568</v>
      </c>
      <c r="C143" s="145" t="s">
        <v>530</v>
      </c>
      <c r="D143" s="139">
        <v>1</v>
      </c>
      <c r="E143" s="145">
        <v>5</v>
      </c>
      <c r="F143" s="140">
        <v>105000</v>
      </c>
      <c r="G143" s="140">
        <f t="shared" ref="G143:G170" si="7">F143*E143</f>
        <v>525000</v>
      </c>
      <c r="H143" s="75" t="s">
        <v>531</v>
      </c>
      <c r="I143" s="139"/>
      <c r="J143" s="76"/>
    </row>
    <row r="144" spans="1:10" s="74" customFormat="1" ht="14.1" customHeight="1" outlineLevel="2">
      <c r="A144" s="136" t="s">
        <v>612</v>
      </c>
      <c r="B144" s="137" t="s">
        <v>568</v>
      </c>
      <c r="C144" s="145" t="s">
        <v>530</v>
      </c>
      <c r="D144" s="139">
        <v>1</v>
      </c>
      <c r="E144" s="145">
        <v>5</v>
      </c>
      <c r="F144" s="140">
        <v>105000</v>
      </c>
      <c r="G144" s="140">
        <f t="shared" si="7"/>
        <v>525000</v>
      </c>
      <c r="H144" s="75" t="s">
        <v>531</v>
      </c>
      <c r="I144" s="139"/>
      <c r="J144" s="76"/>
    </row>
    <row r="145" spans="1:10" s="74" customFormat="1" ht="14.1" customHeight="1" outlineLevel="2">
      <c r="A145" s="136" t="s">
        <v>613</v>
      </c>
      <c r="B145" s="137" t="s">
        <v>565</v>
      </c>
      <c r="C145" s="145" t="s">
        <v>530</v>
      </c>
      <c r="D145" s="139">
        <v>1</v>
      </c>
      <c r="E145" s="145">
        <v>5</v>
      </c>
      <c r="F145" s="140">
        <v>105000</v>
      </c>
      <c r="G145" s="140">
        <f t="shared" si="7"/>
        <v>525000</v>
      </c>
      <c r="H145" s="75" t="s">
        <v>531</v>
      </c>
      <c r="I145" s="139"/>
      <c r="J145" s="76"/>
    </row>
    <row r="146" spans="1:10" s="74" customFormat="1" ht="14.1" customHeight="1" outlineLevel="2">
      <c r="A146" s="144" t="s">
        <v>849</v>
      </c>
      <c r="B146" s="137" t="s">
        <v>565</v>
      </c>
      <c r="C146" s="145" t="s">
        <v>530</v>
      </c>
      <c r="D146" s="139">
        <v>1</v>
      </c>
      <c r="E146" s="145">
        <v>6</v>
      </c>
      <c r="F146" s="140">
        <v>105000</v>
      </c>
      <c r="G146" s="140">
        <f t="shared" si="7"/>
        <v>630000</v>
      </c>
      <c r="H146" s="75" t="s">
        <v>531</v>
      </c>
      <c r="I146" s="139" t="s">
        <v>541</v>
      </c>
      <c r="J146" s="76" t="s">
        <v>614</v>
      </c>
    </row>
    <row r="147" spans="1:10" s="74" customFormat="1" ht="14.1" customHeight="1" outlineLevel="2">
      <c r="A147" s="136" t="s">
        <v>615</v>
      </c>
      <c r="B147" s="137" t="s">
        <v>565</v>
      </c>
      <c r="C147" s="145" t="s">
        <v>530</v>
      </c>
      <c r="D147" s="139">
        <v>1</v>
      </c>
      <c r="E147" s="145">
        <v>5</v>
      </c>
      <c r="F147" s="140">
        <v>105000</v>
      </c>
      <c r="G147" s="140">
        <f t="shared" si="7"/>
        <v>525000</v>
      </c>
      <c r="H147" s="75" t="s">
        <v>531</v>
      </c>
      <c r="I147" s="139"/>
      <c r="J147" s="76"/>
    </row>
    <row r="148" spans="1:10" s="74" customFormat="1" ht="14.1" customHeight="1" outlineLevel="2">
      <c r="A148" s="144" t="s">
        <v>233</v>
      </c>
      <c r="B148" s="137" t="s">
        <v>565</v>
      </c>
      <c r="C148" s="145" t="s">
        <v>530</v>
      </c>
      <c r="D148" s="139">
        <v>2</v>
      </c>
      <c r="E148" s="145">
        <v>10</v>
      </c>
      <c r="F148" s="140">
        <v>105000</v>
      </c>
      <c r="G148" s="140">
        <f t="shared" si="7"/>
        <v>1050000</v>
      </c>
      <c r="H148" s="75" t="s">
        <v>531</v>
      </c>
      <c r="I148" s="75" t="s">
        <v>850</v>
      </c>
      <c r="J148" s="76"/>
    </row>
    <row r="149" spans="1:10" s="74" customFormat="1" ht="14.1" customHeight="1" outlineLevel="2">
      <c r="A149" s="144" t="s">
        <v>616</v>
      </c>
      <c r="B149" s="137" t="s">
        <v>568</v>
      </c>
      <c r="C149" s="145" t="s">
        <v>530</v>
      </c>
      <c r="D149" s="139">
        <v>2</v>
      </c>
      <c r="E149" s="145">
        <v>6</v>
      </c>
      <c r="F149" s="140">
        <v>105000</v>
      </c>
      <c r="G149" s="140">
        <f t="shared" si="7"/>
        <v>630000</v>
      </c>
      <c r="H149" s="75" t="s">
        <v>531</v>
      </c>
      <c r="I149" s="139"/>
      <c r="J149" s="76" t="s">
        <v>851</v>
      </c>
    </row>
    <row r="150" spans="1:10" s="74" customFormat="1" ht="14.1" customHeight="1" outlineLevel="2">
      <c r="A150" s="144" t="s">
        <v>617</v>
      </c>
      <c r="B150" s="137" t="s">
        <v>568</v>
      </c>
      <c r="C150" s="137" t="s">
        <v>544</v>
      </c>
      <c r="D150" s="139">
        <v>1</v>
      </c>
      <c r="E150" s="145">
        <v>5</v>
      </c>
      <c r="F150" s="140">
        <v>105000</v>
      </c>
      <c r="G150" s="140">
        <f t="shared" si="7"/>
        <v>525000</v>
      </c>
      <c r="H150" s="75"/>
      <c r="I150" s="139"/>
      <c r="J150" s="76" t="s">
        <v>518</v>
      </c>
    </row>
    <row r="151" spans="1:10" s="74" customFormat="1" ht="14.1" customHeight="1" outlineLevel="2">
      <c r="A151" s="136" t="s">
        <v>618</v>
      </c>
      <c r="B151" s="137" t="s">
        <v>565</v>
      </c>
      <c r="C151" s="145" t="s">
        <v>530</v>
      </c>
      <c r="D151" s="139">
        <v>1</v>
      </c>
      <c r="E151" s="145">
        <v>5</v>
      </c>
      <c r="F151" s="140">
        <v>105000</v>
      </c>
      <c r="G151" s="140">
        <f t="shared" si="7"/>
        <v>525000</v>
      </c>
      <c r="H151" s="75" t="s">
        <v>531</v>
      </c>
      <c r="I151" s="139"/>
      <c r="J151" s="76"/>
    </row>
    <row r="152" spans="1:10" s="74" customFormat="1" ht="14.1" customHeight="1" outlineLevel="2">
      <c r="A152" s="144" t="s">
        <v>619</v>
      </c>
      <c r="B152" s="137" t="s">
        <v>565</v>
      </c>
      <c r="C152" s="145" t="s">
        <v>530</v>
      </c>
      <c r="D152" s="139">
        <v>1</v>
      </c>
      <c r="E152" s="145">
        <v>5</v>
      </c>
      <c r="F152" s="140">
        <v>105000</v>
      </c>
      <c r="G152" s="140">
        <f t="shared" si="7"/>
        <v>525000</v>
      </c>
      <c r="H152" s="75" t="s">
        <v>531</v>
      </c>
      <c r="I152" s="139"/>
      <c r="J152" s="76"/>
    </row>
    <row r="153" spans="1:10" s="74" customFormat="1" ht="14.1" customHeight="1" outlineLevel="2">
      <c r="A153" s="144" t="s">
        <v>620</v>
      </c>
      <c r="B153" s="137" t="s">
        <v>560</v>
      </c>
      <c r="C153" s="145" t="s">
        <v>530</v>
      </c>
      <c r="D153" s="139">
        <v>3</v>
      </c>
      <c r="E153" s="145">
        <v>12</v>
      </c>
      <c r="F153" s="140">
        <v>105000</v>
      </c>
      <c r="G153" s="140">
        <f t="shared" si="7"/>
        <v>1260000</v>
      </c>
      <c r="H153" s="75"/>
      <c r="I153" s="139"/>
      <c r="J153" s="157" t="s">
        <v>852</v>
      </c>
    </row>
    <row r="154" spans="1:10" s="74" customFormat="1" ht="14.1" customHeight="1" outlineLevel="2">
      <c r="A154" s="144" t="s">
        <v>235</v>
      </c>
      <c r="B154" s="137" t="s">
        <v>560</v>
      </c>
      <c r="C154" s="137" t="s">
        <v>544</v>
      </c>
      <c r="D154" s="139">
        <v>1</v>
      </c>
      <c r="E154" s="145">
        <v>5</v>
      </c>
      <c r="F154" s="140">
        <v>105000</v>
      </c>
      <c r="G154" s="140">
        <f t="shared" si="7"/>
        <v>525000</v>
      </c>
      <c r="H154" s="75"/>
      <c r="I154" s="139"/>
      <c r="J154" s="76" t="s">
        <v>853</v>
      </c>
    </row>
    <row r="155" spans="1:10" s="74" customFormat="1" ht="14.1" customHeight="1" outlineLevel="2">
      <c r="A155" s="136" t="s">
        <v>529</v>
      </c>
      <c r="B155" s="137" t="s">
        <v>481</v>
      </c>
      <c r="C155" s="145" t="s">
        <v>530</v>
      </c>
      <c r="D155" s="139">
        <v>1</v>
      </c>
      <c r="E155" s="145">
        <v>5</v>
      </c>
      <c r="F155" s="140">
        <v>105000</v>
      </c>
      <c r="G155" s="140">
        <f t="shared" si="7"/>
        <v>525000</v>
      </c>
      <c r="H155" s="75" t="s">
        <v>531</v>
      </c>
      <c r="I155" s="139"/>
      <c r="J155" s="76"/>
    </row>
    <row r="156" spans="1:10" s="74" customFormat="1" ht="14.1" customHeight="1" outlineLevel="2">
      <c r="A156" s="144" t="s">
        <v>532</v>
      </c>
      <c r="B156" s="137" t="s">
        <v>481</v>
      </c>
      <c r="C156" s="145" t="s">
        <v>530</v>
      </c>
      <c r="D156" s="139">
        <v>1</v>
      </c>
      <c r="E156" s="145">
        <v>5</v>
      </c>
      <c r="F156" s="140">
        <v>105000</v>
      </c>
      <c r="G156" s="140">
        <f t="shared" si="7"/>
        <v>525000</v>
      </c>
      <c r="H156" s="75" t="s">
        <v>531</v>
      </c>
      <c r="I156" s="139"/>
      <c r="J156" s="76"/>
    </row>
    <row r="157" spans="1:10" s="74" customFormat="1" ht="14.1" customHeight="1" outlineLevel="2">
      <c r="A157" s="136" t="s">
        <v>533</v>
      </c>
      <c r="B157" s="137" t="s">
        <v>481</v>
      </c>
      <c r="C157" s="145" t="s">
        <v>530</v>
      </c>
      <c r="D157" s="139">
        <v>1</v>
      </c>
      <c r="E157" s="145">
        <v>5</v>
      </c>
      <c r="F157" s="140">
        <v>105000</v>
      </c>
      <c r="G157" s="140">
        <f t="shared" si="7"/>
        <v>525000</v>
      </c>
      <c r="H157" s="75" t="s">
        <v>531</v>
      </c>
      <c r="I157" s="139"/>
      <c r="J157" s="76"/>
    </row>
    <row r="158" spans="1:10" s="74" customFormat="1" ht="14.1" customHeight="1" outlineLevel="2">
      <c r="A158" s="144" t="s">
        <v>534</v>
      </c>
      <c r="B158" s="137" t="s">
        <v>481</v>
      </c>
      <c r="C158" s="145" t="s">
        <v>530</v>
      </c>
      <c r="D158" s="139">
        <v>1</v>
      </c>
      <c r="E158" s="145">
        <v>5</v>
      </c>
      <c r="F158" s="140">
        <v>105000</v>
      </c>
      <c r="G158" s="140">
        <f t="shared" si="7"/>
        <v>525000</v>
      </c>
      <c r="H158" s="75" t="s">
        <v>531</v>
      </c>
      <c r="I158" s="139"/>
      <c r="J158" s="76"/>
    </row>
    <row r="159" spans="1:10" s="74" customFormat="1" ht="14.1" customHeight="1" outlineLevel="2">
      <c r="A159" s="144" t="s">
        <v>535</v>
      </c>
      <c r="B159" s="137" t="s">
        <v>481</v>
      </c>
      <c r="C159" s="145" t="s">
        <v>530</v>
      </c>
      <c r="D159" s="139">
        <v>1</v>
      </c>
      <c r="E159" s="145">
        <v>5</v>
      </c>
      <c r="F159" s="140">
        <v>105000</v>
      </c>
      <c r="G159" s="140">
        <f t="shared" si="7"/>
        <v>525000</v>
      </c>
      <c r="H159" s="75" t="s">
        <v>531</v>
      </c>
      <c r="I159" s="139"/>
      <c r="J159" s="76"/>
    </row>
    <row r="160" spans="1:10" s="74" customFormat="1" ht="14.1" customHeight="1" outlineLevel="2">
      <c r="A160" s="144" t="s">
        <v>536</v>
      </c>
      <c r="B160" s="137" t="s">
        <v>481</v>
      </c>
      <c r="C160" s="145" t="s">
        <v>530</v>
      </c>
      <c r="D160" s="139">
        <v>1</v>
      </c>
      <c r="E160" s="145">
        <v>5</v>
      </c>
      <c r="F160" s="140">
        <v>105000</v>
      </c>
      <c r="G160" s="140">
        <f t="shared" si="7"/>
        <v>525000</v>
      </c>
      <c r="H160" s="75"/>
      <c r="I160" s="139"/>
      <c r="J160" s="76" t="s">
        <v>523</v>
      </c>
    </row>
    <row r="161" spans="1:10" s="74" customFormat="1" ht="14.1" customHeight="1" outlineLevel="2">
      <c r="A161" s="144" t="s">
        <v>537</v>
      </c>
      <c r="B161" s="137" t="s">
        <v>481</v>
      </c>
      <c r="C161" s="145" t="s">
        <v>530</v>
      </c>
      <c r="D161" s="139">
        <v>1</v>
      </c>
      <c r="E161" s="145">
        <v>5</v>
      </c>
      <c r="F161" s="140">
        <v>105000</v>
      </c>
      <c r="G161" s="140">
        <f t="shared" si="7"/>
        <v>525000</v>
      </c>
      <c r="H161" s="75" t="s">
        <v>531</v>
      </c>
      <c r="I161" s="139"/>
      <c r="J161" s="146"/>
    </row>
    <row r="162" spans="1:10" s="74" customFormat="1" ht="14.1" customHeight="1" outlineLevel="2">
      <c r="A162" s="144" t="s">
        <v>538</v>
      </c>
      <c r="B162" s="137" t="s">
        <v>481</v>
      </c>
      <c r="C162" s="145" t="s">
        <v>530</v>
      </c>
      <c r="D162" s="139">
        <v>1</v>
      </c>
      <c r="E162" s="145">
        <v>5</v>
      </c>
      <c r="F162" s="140">
        <v>105000</v>
      </c>
      <c r="G162" s="140">
        <f t="shared" si="7"/>
        <v>525000</v>
      </c>
      <c r="H162" s="75" t="s">
        <v>531</v>
      </c>
      <c r="I162" s="145"/>
      <c r="J162" s="146"/>
    </row>
    <row r="163" spans="1:10" s="74" customFormat="1" ht="14.1" customHeight="1" outlineLevel="2">
      <c r="A163" s="136" t="s">
        <v>539</v>
      </c>
      <c r="B163" s="137" t="s">
        <v>481</v>
      </c>
      <c r="C163" s="145" t="s">
        <v>530</v>
      </c>
      <c r="D163" s="139">
        <v>1</v>
      </c>
      <c r="E163" s="145">
        <v>5</v>
      </c>
      <c r="F163" s="140">
        <v>105000</v>
      </c>
      <c r="G163" s="140">
        <f t="shared" si="7"/>
        <v>525000</v>
      </c>
      <c r="H163" s="75" t="s">
        <v>531</v>
      </c>
      <c r="I163" s="139"/>
      <c r="J163" s="76"/>
    </row>
    <row r="164" spans="1:10" s="74" customFormat="1" ht="14.1" customHeight="1" outlineLevel="2">
      <c r="A164" s="144" t="s">
        <v>540</v>
      </c>
      <c r="B164" s="137" t="s">
        <v>481</v>
      </c>
      <c r="C164" s="145" t="s">
        <v>530</v>
      </c>
      <c r="D164" s="139">
        <v>1</v>
      </c>
      <c r="E164" s="145">
        <v>5</v>
      </c>
      <c r="F164" s="140">
        <v>105000</v>
      </c>
      <c r="G164" s="140">
        <f t="shared" si="7"/>
        <v>525000</v>
      </c>
      <c r="H164" s="75" t="s">
        <v>531</v>
      </c>
      <c r="I164" s="139" t="s">
        <v>541</v>
      </c>
      <c r="J164" s="76"/>
    </row>
    <row r="165" spans="1:10" s="74" customFormat="1" ht="14.1" customHeight="1" outlineLevel="2">
      <c r="A165" s="144" t="s">
        <v>542</v>
      </c>
      <c r="B165" s="137" t="s">
        <v>481</v>
      </c>
      <c r="C165" s="145" t="s">
        <v>530</v>
      </c>
      <c r="D165" s="139">
        <v>1</v>
      </c>
      <c r="E165" s="145">
        <v>5</v>
      </c>
      <c r="F165" s="140">
        <v>105000</v>
      </c>
      <c r="G165" s="140">
        <f t="shared" si="7"/>
        <v>525000</v>
      </c>
      <c r="H165" s="75" t="s">
        <v>531</v>
      </c>
      <c r="I165" s="139"/>
      <c r="J165" s="76"/>
    </row>
    <row r="166" spans="1:10" s="74" customFormat="1" ht="14.1" customHeight="1" outlineLevel="2">
      <c r="A166" s="144" t="s">
        <v>543</v>
      </c>
      <c r="B166" s="137" t="s">
        <v>481</v>
      </c>
      <c r="C166" s="137" t="s">
        <v>544</v>
      </c>
      <c r="D166" s="139">
        <v>1</v>
      </c>
      <c r="E166" s="145">
        <v>5</v>
      </c>
      <c r="F166" s="140">
        <v>105000</v>
      </c>
      <c r="G166" s="140">
        <f t="shared" si="7"/>
        <v>525000</v>
      </c>
      <c r="H166" s="75"/>
      <c r="I166" s="139"/>
      <c r="J166" s="76" t="s">
        <v>518</v>
      </c>
    </row>
    <row r="167" spans="1:10" s="74" customFormat="1" ht="14.1" customHeight="1" outlineLevel="2">
      <c r="A167" s="136" t="s">
        <v>545</v>
      </c>
      <c r="B167" s="137" t="s">
        <v>481</v>
      </c>
      <c r="C167" s="145" t="s">
        <v>530</v>
      </c>
      <c r="D167" s="139">
        <v>1</v>
      </c>
      <c r="E167" s="145">
        <v>5</v>
      </c>
      <c r="F167" s="140">
        <v>105000</v>
      </c>
      <c r="G167" s="140">
        <f t="shared" si="7"/>
        <v>525000</v>
      </c>
      <c r="H167" s="75" t="s">
        <v>531</v>
      </c>
      <c r="I167" s="139"/>
      <c r="J167" s="76"/>
    </row>
    <row r="168" spans="1:10" s="74" customFormat="1" ht="14.1" customHeight="1" outlineLevel="2">
      <c r="A168" s="144" t="s">
        <v>546</v>
      </c>
      <c r="B168" s="137" t="s">
        <v>481</v>
      </c>
      <c r="C168" s="145" t="s">
        <v>530</v>
      </c>
      <c r="D168" s="139">
        <v>1</v>
      </c>
      <c r="E168" s="145">
        <v>5</v>
      </c>
      <c r="F168" s="140">
        <v>105000</v>
      </c>
      <c r="G168" s="140">
        <f t="shared" si="7"/>
        <v>525000</v>
      </c>
      <c r="H168" s="75" t="s">
        <v>531</v>
      </c>
      <c r="I168" s="139"/>
      <c r="J168" s="76"/>
    </row>
    <row r="169" spans="1:10" s="74" customFormat="1" ht="14.1" customHeight="1" outlineLevel="2">
      <c r="A169" s="144" t="s">
        <v>547</v>
      </c>
      <c r="B169" s="137" t="s">
        <v>481</v>
      </c>
      <c r="C169" s="145" t="s">
        <v>530</v>
      </c>
      <c r="D169" s="139">
        <v>1</v>
      </c>
      <c r="E169" s="145">
        <v>5</v>
      </c>
      <c r="F169" s="140">
        <v>105000</v>
      </c>
      <c r="G169" s="140">
        <f t="shared" si="7"/>
        <v>525000</v>
      </c>
      <c r="H169" s="75" t="s">
        <v>531</v>
      </c>
      <c r="I169" s="139" t="s">
        <v>541</v>
      </c>
      <c r="J169" s="76"/>
    </row>
    <row r="170" spans="1:10" s="74" customFormat="1" ht="14.1" customHeight="1" outlineLevel="2">
      <c r="A170" s="144" t="s">
        <v>548</v>
      </c>
      <c r="B170" s="137" t="s">
        <v>549</v>
      </c>
      <c r="C170" s="145" t="s">
        <v>530</v>
      </c>
      <c r="D170" s="139">
        <v>1</v>
      </c>
      <c r="E170" s="145">
        <v>5</v>
      </c>
      <c r="F170" s="140">
        <v>105000</v>
      </c>
      <c r="G170" s="140">
        <f t="shared" si="7"/>
        <v>525000</v>
      </c>
      <c r="H170" s="75" t="s">
        <v>531</v>
      </c>
      <c r="I170" s="162" t="s">
        <v>550</v>
      </c>
      <c r="J170" s="76"/>
    </row>
    <row r="171" spans="1:10" s="74" customFormat="1" ht="14.1" customHeight="1" outlineLevel="2">
      <c r="A171" s="149" t="s">
        <v>625</v>
      </c>
      <c r="B171" s="137" t="s">
        <v>931</v>
      </c>
      <c r="C171" s="145" t="s">
        <v>939</v>
      </c>
      <c r="D171" s="139">
        <v>1</v>
      </c>
      <c r="E171" s="139">
        <v>5</v>
      </c>
      <c r="F171" s="141">
        <v>105000</v>
      </c>
      <c r="G171" s="141">
        <f t="shared" ref="G171:G172" si="8">ROUND(F171*E171,2)</f>
        <v>525000</v>
      </c>
      <c r="H171" s="75"/>
      <c r="I171" s="139"/>
      <c r="J171" s="76"/>
    </row>
    <row r="172" spans="1:10" s="74" customFormat="1" ht="14.1" customHeight="1" outlineLevel="2">
      <c r="A172" s="149" t="s">
        <v>626</v>
      </c>
      <c r="B172" s="137" t="s">
        <v>931</v>
      </c>
      <c r="C172" s="145" t="s">
        <v>939</v>
      </c>
      <c r="D172" s="139">
        <v>1</v>
      </c>
      <c r="E172" s="139">
        <v>5</v>
      </c>
      <c r="F172" s="141">
        <v>105000</v>
      </c>
      <c r="G172" s="141">
        <f t="shared" si="8"/>
        <v>525000</v>
      </c>
      <c r="H172" s="75"/>
      <c r="I172" s="139"/>
      <c r="J172" s="76"/>
    </row>
    <row r="173" spans="1:10" s="74" customFormat="1" ht="14.1" customHeight="1" outlineLevel="1">
      <c r="A173" s="149"/>
      <c r="B173" s="137"/>
      <c r="C173" s="150" t="s">
        <v>952</v>
      </c>
      <c r="D173" s="139">
        <f>SUBTOTAL(9,D143:D172)</f>
        <v>34</v>
      </c>
      <c r="E173" s="139">
        <f>SUBTOTAL(9,E143:E172)</f>
        <v>164</v>
      </c>
      <c r="F173" s="141"/>
      <c r="G173" s="141">
        <f>SUBTOTAL(9,G143:G172)</f>
        <v>17220000</v>
      </c>
      <c r="H173" s="75"/>
      <c r="I173" s="139"/>
      <c r="J173" s="76"/>
    </row>
    <row r="174" spans="1:10" s="74" customFormat="1" ht="14.1" customHeight="1" outlineLevel="2">
      <c r="A174" s="136" t="s">
        <v>621</v>
      </c>
      <c r="B174" s="137" t="s">
        <v>565</v>
      </c>
      <c r="C174" s="145" t="s">
        <v>552</v>
      </c>
      <c r="D174" s="139">
        <v>1</v>
      </c>
      <c r="E174" s="145">
        <v>5</v>
      </c>
      <c r="F174" s="140">
        <v>105000</v>
      </c>
      <c r="G174" s="140">
        <f t="shared" ref="G174:G179" si="9">F174*E174</f>
        <v>525000</v>
      </c>
      <c r="H174" s="137" t="s">
        <v>553</v>
      </c>
      <c r="I174" s="139"/>
      <c r="J174" s="76"/>
    </row>
    <row r="175" spans="1:10" s="74" customFormat="1" ht="14.1" customHeight="1" outlineLevel="2">
      <c r="A175" s="144" t="s">
        <v>551</v>
      </c>
      <c r="B175" s="137" t="s">
        <v>481</v>
      </c>
      <c r="C175" s="145" t="s">
        <v>552</v>
      </c>
      <c r="D175" s="139">
        <v>1</v>
      </c>
      <c r="E175" s="145">
        <v>5</v>
      </c>
      <c r="F175" s="140">
        <v>105000</v>
      </c>
      <c r="G175" s="140">
        <f t="shared" si="9"/>
        <v>525000</v>
      </c>
      <c r="H175" s="137" t="s">
        <v>553</v>
      </c>
      <c r="I175" s="139"/>
      <c r="J175" s="76"/>
    </row>
    <row r="176" spans="1:10" s="74" customFormat="1" ht="14.1" customHeight="1" outlineLevel="2">
      <c r="A176" s="136" t="s">
        <v>554</v>
      </c>
      <c r="B176" s="137" t="s">
        <v>481</v>
      </c>
      <c r="C176" s="145" t="s">
        <v>552</v>
      </c>
      <c r="D176" s="139">
        <v>1</v>
      </c>
      <c r="E176" s="145">
        <v>5</v>
      </c>
      <c r="F176" s="140">
        <v>105000</v>
      </c>
      <c r="G176" s="140">
        <f t="shared" si="9"/>
        <v>525000</v>
      </c>
      <c r="H176" s="137" t="s">
        <v>553</v>
      </c>
      <c r="I176" s="139"/>
      <c r="J176" s="76"/>
    </row>
    <row r="177" spans="1:10" s="74" customFormat="1" ht="14.1" customHeight="1" outlineLevel="2">
      <c r="A177" s="144" t="s">
        <v>555</v>
      </c>
      <c r="B177" s="137" t="s">
        <v>481</v>
      </c>
      <c r="C177" s="145" t="s">
        <v>552</v>
      </c>
      <c r="D177" s="139">
        <v>1</v>
      </c>
      <c r="E177" s="145">
        <v>5</v>
      </c>
      <c r="F177" s="140">
        <v>105000</v>
      </c>
      <c r="G177" s="140">
        <f t="shared" si="9"/>
        <v>525000</v>
      </c>
      <c r="H177" s="137" t="s">
        <v>553</v>
      </c>
      <c r="I177" s="139" t="s">
        <v>556</v>
      </c>
      <c r="J177" s="76"/>
    </row>
    <row r="178" spans="1:10" s="74" customFormat="1" ht="14.1" customHeight="1" outlineLevel="2">
      <c r="A178" s="144" t="s">
        <v>557</v>
      </c>
      <c r="B178" s="137" t="s">
        <v>481</v>
      </c>
      <c r="C178" s="145" t="s">
        <v>552</v>
      </c>
      <c r="D178" s="139">
        <v>1</v>
      </c>
      <c r="E178" s="145">
        <v>5</v>
      </c>
      <c r="F178" s="140">
        <v>105000</v>
      </c>
      <c r="G178" s="140">
        <f t="shared" si="9"/>
        <v>525000</v>
      </c>
      <c r="H178" s="137" t="s">
        <v>553</v>
      </c>
      <c r="I178" s="139"/>
      <c r="J178" s="146"/>
    </row>
    <row r="179" spans="1:10" s="74" customFormat="1" ht="14.1" customHeight="1" outlineLevel="2">
      <c r="A179" s="136" t="s">
        <v>558</v>
      </c>
      <c r="B179" s="137" t="s">
        <v>549</v>
      </c>
      <c r="C179" s="145" t="s">
        <v>552</v>
      </c>
      <c r="D179" s="139">
        <v>1</v>
      </c>
      <c r="E179" s="145">
        <v>5</v>
      </c>
      <c r="F179" s="140">
        <v>105000</v>
      </c>
      <c r="G179" s="140">
        <f t="shared" si="9"/>
        <v>525000</v>
      </c>
      <c r="H179" s="137" t="s">
        <v>553</v>
      </c>
      <c r="I179" s="162" t="s">
        <v>550</v>
      </c>
      <c r="J179" s="76"/>
    </row>
    <row r="180" spans="1:10" s="74" customFormat="1" ht="14.1" customHeight="1" outlineLevel="2">
      <c r="A180" s="161" t="s">
        <v>627</v>
      </c>
      <c r="B180" s="137" t="s">
        <v>931</v>
      </c>
      <c r="C180" s="145" t="s">
        <v>940</v>
      </c>
      <c r="D180" s="139">
        <v>1</v>
      </c>
      <c r="E180" s="139">
        <v>5</v>
      </c>
      <c r="F180" s="141">
        <v>105000</v>
      </c>
      <c r="G180" s="141">
        <f t="shared" ref="G180:G181" si="10">ROUND(F180*E180,2)</f>
        <v>525000</v>
      </c>
      <c r="H180" s="137"/>
      <c r="I180" s="139"/>
      <c r="J180" s="76"/>
    </row>
    <row r="181" spans="1:10" s="74" customFormat="1" ht="14.1" customHeight="1" outlineLevel="2">
      <c r="A181" s="161" t="s">
        <v>942</v>
      </c>
      <c r="B181" s="137" t="s">
        <v>931</v>
      </c>
      <c r="C181" s="137" t="s">
        <v>941</v>
      </c>
      <c r="D181" s="139">
        <v>1</v>
      </c>
      <c r="E181" s="139">
        <v>5</v>
      </c>
      <c r="F181" s="141">
        <v>105000</v>
      </c>
      <c r="G181" s="141">
        <f t="shared" si="10"/>
        <v>525000</v>
      </c>
      <c r="H181" s="137"/>
      <c r="I181" s="139"/>
      <c r="J181" s="76"/>
    </row>
    <row r="182" spans="1:10" s="74" customFormat="1" ht="14.1" customHeight="1" outlineLevel="1">
      <c r="A182" s="161"/>
      <c r="B182" s="137"/>
      <c r="C182" s="163" t="s">
        <v>953</v>
      </c>
      <c r="D182" s="139">
        <f>SUBTOTAL(9,D174:D181)</f>
        <v>8</v>
      </c>
      <c r="E182" s="139">
        <f>SUBTOTAL(9,E174:E181)</f>
        <v>40</v>
      </c>
      <c r="F182" s="141"/>
      <c r="G182" s="141">
        <f>SUBTOTAL(9,G174:G181)</f>
        <v>4200000</v>
      </c>
      <c r="H182" s="137"/>
      <c r="I182" s="139"/>
      <c r="J182" s="76"/>
    </row>
    <row r="183" spans="1:10" s="74" customFormat="1" ht="14.1" customHeight="1">
      <c r="A183" s="161"/>
      <c r="B183" s="137"/>
      <c r="C183" s="163" t="s">
        <v>252</v>
      </c>
      <c r="D183" s="139">
        <f>SUBTOTAL(9,D3:D181)</f>
        <v>189</v>
      </c>
      <c r="E183" s="139">
        <f>SUBTOTAL(9,E3:E181)</f>
        <v>964</v>
      </c>
      <c r="F183" s="141"/>
      <c r="G183" s="141">
        <f>SUBTOTAL(9,G3:G181)</f>
        <v>101220000</v>
      </c>
      <c r="H183" s="137"/>
      <c r="I183" s="139"/>
      <c r="J183" s="76"/>
    </row>
    <row r="184" spans="1:10">
      <c r="F184" s="126"/>
      <c r="G184" s="127"/>
    </row>
    <row r="185" spans="1:10">
      <c r="F185" s="126"/>
      <c r="G185" s="127"/>
    </row>
  </sheetData>
  <autoFilter ref="A2:J182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O116"/>
  <sheetViews>
    <sheetView topLeftCell="B1" workbookViewId="0">
      <pane xSplit="2" ySplit="1" topLeftCell="D2" activePane="bottomRight" state="frozen"/>
      <selection activeCell="B1" sqref="B1"/>
      <selection pane="topRight" activeCell="D1" sqref="D1"/>
      <selection pane="bottomLeft" activeCell="B4" sqref="B4"/>
      <selection pane="bottomRight" activeCell="AC21" sqref="AC21"/>
    </sheetView>
  </sheetViews>
  <sheetFormatPr defaultColWidth="9" defaultRowHeight="11.25"/>
  <cols>
    <col min="1" max="1" width="8.125" style="77" hidden="1" customWidth="1"/>
    <col min="2" max="2" width="20.375" style="77" customWidth="1"/>
    <col min="3" max="3" width="5.75" style="77" customWidth="1"/>
    <col min="4" max="4" width="9.75" style="77" hidden="1" customWidth="1"/>
    <col min="5" max="18" width="9" style="77" hidden="1" customWidth="1"/>
    <col min="19" max="19" width="9" style="94" hidden="1" customWidth="1"/>
    <col min="20" max="23" width="9" style="77" hidden="1" customWidth="1"/>
    <col min="24" max="24" width="9" style="94" hidden="1" customWidth="1"/>
    <col min="25" max="25" width="8.375" style="77" customWidth="1"/>
    <col min="26" max="26" width="9.625" style="77" customWidth="1"/>
    <col min="27" max="27" width="9.375" style="77" customWidth="1"/>
    <col min="28" max="28" width="12.5" style="77" customWidth="1"/>
    <col min="29" max="29" width="9.875" style="77" customWidth="1"/>
    <col min="30" max="30" width="11.625" style="77" customWidth="1"/>
    <col min="31" max="31" width="10.5" style="77" customWidth="1"/>
    <col min="32" max="32" width="10.875" style="77" customWidth="1"/>
    <col min="33" max="33" width="11.375" style="77" customWidth="1"/>
    <col min="34" max="34" width="11.625" style="77" customWidth="1"/>
    <col min="35" max="35" width="11.375" style="77" customWidth="1"/>
    <col min="36" max="36" width="9.5" style="77" bestFit="1" customWidth="1"/>
    <col min="37" max="37" width="11" style="77" customWidth="1"/>
    <col min="38" max="38" width="12.125" style="77" customWidth="1"/>
    <col min="39" max="39" width="12.5" style="88" customWidth="1"/>
    <col min="40" max="40" width="10.5" style="122" customWidth="1"/>
    <col min="41" max="41" width="13" style="123" bestFit="1" customWidth="1"/>
    <col min="42" max="16384" width="9" style="77"/>
  </cols>
  <sheetData>
    <row r="1" spans="1:41" ht="18.75">
      <c r="A1" s="382" t="s">
        <v>965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83"/>
      <c r="W1" s="383"/>
      <c r="X1" s="383"/>
      <c r="Y1" s="383"/>
      <c r="Z1" s="383"/>
      <c r="AA1" s="383"/>
      <c r="AB1" s="383"/>
      <c r="AC1" s="383"/>
      <c r="AD1" s="383"/>
      <c r="AE1" s="383"/>
      <c r="AF1" s="383"/>
      <c r="AG1" s="383"/>
      <c r="AH1" s="383"/>
      <c r="AI1" s="383"/>
      <c r="AJ1" s="383"/>
      <c r="AK1" s="383"/>
      <c r="AL1" s="383"/>
      <c r="AM1" s="383"/>
      <c r="AN1" s="384"/>
      <c r="AO1" s="384"/>
    </row>
    <row r="2" spans="1:41" ht="11.25" customHeight="1">
      <c r="A2" s="385" t="s">
        <v>631</v>
      </c>
      <c r="B2" s="385" t="s">
        <v>632</v>
      </c>
      <c r="C2" s="385" t="s">
        <v>955</v>
      </c>
      <c r="D2" s="385" t="s">
        <v>633</v>
      </c>
      <c r="E2" s="385" t="s">
        <v>634</v>
      </c>
      <c r="F2" s="385"/>
      <c r="G2" s="385"/>
      <c r="H2" s="385"/>
      <c r="I2" s="385"/>
      <c r="J2" s="385" t="s">
        <v>966</v>
      </c>
      <c r="K2" s="385"/>
      <c r="L2" s="385"/>
      <c r="M2" s="385"/>
      <c r="N2" s="385"/>
      <c r="O2" s="386" t="s">
        <v>635</v>
      </c>
      <c r="P2" s="386"/>
      <c r="Q2" s="386"/>
      <c r="R2" s="386"/>
      <c r="S2" s="386"/>
      <c r="T2" s="386" t="s">
        <v>636</v>
      </c>
      <c r="U2" s="386"/>
      <c r="V2" s="386"/>
      <c r="W2" s="386"/>
      <c r="X2" s="386"/>
      <c r="Y2" s="386" t="s">
        <v>637</v>
      </c>
      <c r="Z2" s="386"/>
      <c r="AA2" s="386"/>
      <c r="AB2" s="386"/>
      <c r="AC2" s="386"/>
      <c r="AD2" s="385" t="s">
        <v>967</v>
      </c>
      <c r="AE2" s="385"/>
      <c r="AF2" s="385"/>
      <c r="AG2" s="385"/>
      <c r="AH2" s="385"/>
      <c r="AI2" s="385"/>
      <c r="AJ2" s="385"/>
      <c r="AK2" s="385"/>
      <c r="AL2" s="385"/>
      <c r="AM2" s="385"/>
      <c r="AN2" s="380" t="s">
        <v>968</v>
      </c>
      <c r="AO2" s="380" t="s">
        <v>267</v>
      </c>
    </row>
    <row r="3" spans="1:41" ht="33.75">
      <c r="A3" s="385"/>
      <c r="B3" s="385"/>
      <c r="C3" s="385"/>
      <c r="D3" s="385"/>
      <c r="E3" s="78" t="s">
        <v>638</v>
      </c>
      <c r="F3" s="78" t="s">
        <v>639</v>
      </c>
      <c r="G3" s="78" t="s">
        <v>640</v>
      </c>
      <c r="H3" s="78" t="s">
        <v>641</v>
      </c>
      <c r="I3" s="165" t="s">
        <v>17</v>
      </c>
      <c r="J3" s="78" t="s">
        <v>638</v>
      </c>
      <c r="K3" s="78" t="s">
        <v>639</v>
      </c>
      <c r="L3" s="78" t="s">
        <v>640</v>
      </c>
      <c r="M3" s="78" t="s">
        <v>641</v>
      </c>
      <c r="N3" s="165" t="s">
        <v>17</v>
      </c>
      <c r="O3" s="78" t="s">
        <v>638</v>
      </c>
      <c r="P3" s="78" t="s">
        <v>639</v>
      </c>
      <c r="Q3" s="78" t="s">
        <v>640</v>
      </c>
      <c r="R3" s="78" t="s">
        <v>641</v>
      </c>
      <c r="S3" s="92" t="s">
        <v>17</v>
      </c>
      <c r="T3" s="78" t="s">
        <v>638</v>
      </c>
      <c r="U3" s="78" t="s">
        <v>639</v>
      </c>
      <c r="V3" s="78" t="s">
        <v>640</v>
      </c>
      <c r="W3" s="78" t="s">
        <v>641</v>
      </c>
      <c r="X3" s="92" t="s">
        <v>17</v>
      </c>
      <c r="Y3" s="78" t="s">
        <v>638</v>
      </c>
      <c r="Z3" s="78" t="s">
        <v>639</v>
      </c>
      <c r="AA3" s="78" t="s">
        <v>640</v>
      </c>
      <c r="AB3" s="78" t="s">
        <v>641</v>
      </c>
      <c r="AC3" s="165" t="s">
        <v>17</v>
      </c>
      <c r="AD3" s="78" t="s">
        <v>642</v>
      </c>
      <c r="AE3" s="78" t="s">
        <v>643</v>
      </c>
      <c r="AF3" s="78" t="s">
        <v>644</v>
      </c>
      <c r="AG3" s="78" t="s">
        <v>645</v>
      </c>
      <c r="AH3" s="78" t="s">
        <v>646</v>
      </c>
      <c r="AI3" s="78" t="s">
        <v>969</v>
      </c>
      <c r="AJ3" s="78" t="s">
        <v>970</v>
      </c>
      <c r="AK3" s="78" t="s">
        <v>733</v>
      </c>
      <c r="AL3" s="78" t="s">
        <v>647</v>
      </c>
      <c r="AM3" s="84" t="s">
        <v>971</v>
      </c>
      <c r="AN3" s="381"/>
      <c r="AO3" s="381"/>
    </row>
    <row r="4" spans="1:41" ht="18" customHeight="1">
      <c r="A4" s="79" t="s">
        <v>10</v>
      </c>
      <c r="B4" s="80" t="s">
        <v>648</v>
      </c>
      <c r="C4" s="80" t="s">
        <v>649</v>
      </c>
      <c r="D4" s="81">
        <v>2</v>
      </c>
      <c r="E4" s="166">
        <v>0</v>
      </c>
      <c r="F4" s="166">
        <v>2</v>
      </c>
      <c r="G4" s="166">
        <v>20.149999999999999</v>
      </c>
      <c r="H4" s="166">
        <v>3</v>
      </c>
      <c r="I4" s="82">
        <f>SUM(E4:H4)</f>
        <v>25.15</v>
      </c>
      <c r="J4" s="167">
        <v>0</v>
      </c>
      <c r="K4" s="167">
        <v>0</v>
      </c>
      <c r="L4" s="167">
        <v>0</v>
      </c>
      <c r="M4" s="167">
        <v>0</v>
      </c>
      <c r="N4" s="82">
        <f>SUM(J4:M4)</f>
        <v>0</v>
      </c>
      <c r="O4" s="82">
        <f>E4+J4</f>
        <v>0</v>
      </c>
      <c r="P4" s="82">
        <f t="shared" ref="P4:R13" si="0">F4+K4</f>
        <v>2</v>
      </c>
      <c r="Q4" s="82">
        <f t="shared" si="0"/>
        <v>20.149999999999999</v>
      </c>
      <c r="R4" s="82">
        <f t="shared" si="0"/>
        <v>3</v>
      </c>
      <c r="S4" s="93">
        <f>SUM(O4:R4)</f>
        <v>25.15</v>
      </c>
      <c r="T4" s="167">
        <v>0</v>
      </c>
      <c r="U4" s="167">
        <v>1</v>
      </c>
      <c r="V4" s="167">
        <v>20</v>
      </c>
      <c r="W4" s="167">
        <v>3</v>
      </c>
      <c r="X4" s="93">
        <f>SUM(T4:W4)</f>
        <v>24</v>
      </c>
      <c r="Y4" s="167">
        <v>0</v>
      </c>
      <c r="Z4" s="167">
        <v>1</v>
      </c>
      <c r="AA4" s="167">
        <v>20</v>
      </c>
      <c r="AB4" s="167">
        <v>3</v>
      </c>
      <c r="AC4" s="82">
        <f>SUM(Y4:AB4)</f>
        <v>24</v>
      </c>
      <c r="AD4" s="82">
        <f t="shared" ref="AD4:AD9" si="1">(Y4*7050+Z4*6485+AA4*5800+AB4*4900)*12</f>
        <v>1646220</v>
      </c>
      <c r="AE4" s="82">
        <f>AC4*4320</f>
        <v>103680</v>
      </c>
      <c r="AF4" s="82">
        <f>AC4*6000</f>
        <v>144000</v>
      </c>
      <c r="AG4" s="82">
        <f>AC4*2400</f>
        <v>57600</v>
      </c>
      <c r="AH4" s="82">
        <f>AC4*9400</f>
        <v>225600</v>
      </c>
      <c r="AI4" s="82">
        <f>AC4*800</f>
        <v>19200</v>
      </c>
      <c r="AJ4" s="82">
        <f>D4*50*200</f>
        <v>20000</v>
      </c>
      <c r="AK4" s="82">
        <f>AC4*960</f>
        <v>23040</v>
      </c>
      <c r="AL4" s="82">
        <f>ROUND((7384*0.34256*AC4*12),2)</f>
        <v>728485.36</v>
      </c>
      <c r="AM4" s="82">
        <f>ROUND(SUM(AD4:AL4),0)</f>
        <v>2967825</v>
      </c>
      <c r="AN4" s="119"/>
      <c r="AO4" s="121">
        <f>AM4+AN4</f>
        <v>2967825</v>
      </c>
    </row>
    <row r="5" spans="1:41" ht="18" customHeight="1">
      <c r="A5" s="79" t="s">
        <v>10</v>
      </c>
      <c r="B5" s="80" t="s">
        <v>650</v>
      </c>
      <c r="C5" s="80" t="s">
        <v>649</v>
      </c>
      <c r="D5" s="81">
        <v>2</v>
      </c>
      <c r="E5" s="166">
        <v>0</v>
      </c>
      <c r="F5" s="166">
        <v>0</v>
      </c>
      <c r="G5" s="166">
        <v>17.675000000000001</v>
      </c>
      <c r="H5" s="166">
        <v>3</v>
      </c>
      <c r="I5" s="82">
        <f t="shared" ref="I5:I68" si="2">SUM(E5:H5)</f>
        <v>20.675000000000001</v>
      </c>
      <c r="J5" s="167">
        <v>0</v>
      </c>
      <c r="K5" s="167">
        <v>0</v>
      </c>
      <c r="L5" s="167">
        <v>0</v>
      </c>
      <c r="M5" s="167">
        <v>0</v>
      </c>
      <c r="N5" s="82">
        <f t="shared" ref="N5:N68" si="3">SUM(J5:M5)</f>
        <v>0</v>
      </c>
      <c r="O5" s="82">
        <f t="shared" ref="O5:O13" si="4">E5+J5</f>
        <v>0</v>
      </c>
      <c r="P5" s="82">
        <f t="shared" si="0"/>
        <v>0</v>
      </c>
      <c r="Q5" s="82">
        <f t="shared" si="0"/>
        <v>17.675000000000001</v>
      </c>
      <c r="R5" s="82">
        <f t="shared" si="0"/>
        <v>3</v>
      </c>
      <c r="S5" s="93">
        <f t="shared" ref="S5:S68" si="5">SUM(O5:R5)</f>
        <v>20.675000000000001</v>
      </c>
      <c r="T5" s="167">
        <v>0</v>
      </c>
      <c r="U5" s="167">
        <v>0</v>
      </c>
      <c r="V5" s="167">
        <v>18</v>
      </c>
      <c r="W5" s="167">
        <v>2</v>
      </c>
      <c r="X5" s="93">
        <f t="shared" ref="X5:X68" si="6">SUM(T5:W5)</f>
        <v>20</v>
      </c>
      <c r="Y5" s="167">
        <v>0</v>
      </c>
      <c r="Z5" s="167">
        <v>0</v>
      </c>
      <c r="AA5" s="167">
        <v>18</v>
      </c>
      <c r="AB5" s="167">
        <v>2</v>
      </c>
      <c r="AC5" s="82">
        <f t="shared" ref="AC5:AC68" si="7">SUM(Y5:AB5)</f>
        <v>20</v>
      </c>
      <c r="AD5" s="82">
        <f t="shared" si="1"/>
        <v>1370400</v>
      </c>
      <c r="AE5" s="82">
        <f t="shared" ref="AE5:AE68" si="8">AC5*4320</f>
        <v>86400</v>
      </c>
      <c r="AF5" s="82">
        <f t="shared" ref="AF5:AF68" si="9">AC5*6000</f>
        <v>120000</v>
      </c>
      <c r="AG5" s="82">
        <f t="shared" ref="AG5:AG68" si="10">AC5*2400</f>
        <v>48000</v>
      </c>
      <c r="AH5" s="82">
        <f t="shared" ref="AH5:AH68" si="11">AC5*9400</f>
        <v>188000</v>
      </c>
      <c r="AI5" s="82">
        <f t="shared" ref="AI5:AI67" si="12">AC5*800</f>
        <v>16000</v>
      </c>
      <c r="AJ5" s="82">
        <f t="shared" ref="AJ5:AJ69" si="13">D5*50*200</f>
        <v>20000</v>
      </c>
      <c r="AK5" s="82">
        <f t="shared" ref="AK5:AK69" si="14">AC5*960</f>
        <v>19200</v>
      </c>
      <c r="AL5" s="82">
        <f t="shared" ref="AL5:AL68" si="15">ROUND((7384*0.34256*AC5*12),2)</f>
        <v>607071.13</v>
      </c>
      <c r="AM5" s="82">
        <f t="shared" ref="AM5:AM68" si="16">ROUND(SUM(AD5:AL5),0)</f>
        <v>2475071</v>
      </c>
      <c r="AN5" s="119"/>
      <c r="AO5" s="121">
        <f t="shared" ref="AO5:AO13" si="17">AM5+AN5</f>
        <v>2475071</v>
      </c>
    </row>
    <row r="6" spans="1:41" s="83" customFormat="1" ht="18" customHeight="1">
      <c r="A6" s="79" t="s">
        <v>10</v>
      </c>
      <c r="B6" s="80" t="s">
        <v>651</v>
      </c>
      <c r="C6" s="80" t="s">
        <v>649</v>
      </c>
      <c r="D6" s="81">
        <v>2</v>
      </c>
      <c r="E6" s="166">
        <v>0</v>
      </c>
      <c r="F6" s="166">
        <v>2</v>
      </c>
      <c r="G6" s="166">
        <v>20.512499999999999</v>
      </c>
      <c r="H6" s="166">
        <v>3</v>
      </c>
      <c r="I6" s="82">
        <f t="shared" si="2"/>
        <v>25.512499999999999</v>
      </c>
      <c r="J6" s="167">
        <v>1</v>
      </c>
      <c r="K6" s="167">
        <v>0</v>
      </c>
      <c r="L6" s="167">
        <v>1</v>
      </c>
      <c r="M6" s="167">
        <v>0</v>
      </c>
      <c r="N6" s="82">
        <f t="shared" si="3"/>
        <v>2</v>
      </c>
      <c r="O6" s="82">
        <f t="shared" si="4"/>
        <v>1</v>
      </c>
      <c r="P6" s="82">
        <f t="shared" si="0"/>
        <v>2</v>
      </c>
      <c r="Q6" s="82">
        <f t="shared" si="0"/>
        <v>21.512499999999999</v>
      </c>
      <c r="R6" s="82">
        <f t="shared" si="0"/>
        <v>3</v>
      </c>
      <c r="S6" s="93">
        <f t="shared" si="5"/>
        <v>27.512499999999999</v>
      </c>
      <c r="T6" s="167">
        <v>1</v>
      </c>
      <c r="U6" s="167">
        <v>2</v>
      </c>
      <c r="V6" s="167">
        <v>22</v>
      </c>
      <c r="W6" s="167">
        <v>3</v>
      </c>
      <c r="X6" s="93">
        <f t="shared" si="6"/>
        <v>28</v>
      </c>
      <c r="Y6" s="167">
        <v>1</v>
      </c>
      <c r="Z6" s="167">
        <v>2</v>
      </c>
      <c r="AA6" s="167">
        <v>21.512499999999999</v>
      </c>
      <c r="AB6" s="167">
        <v>3</v>
      </c>
      <c r="AC6" s="82">
        <f t="shared" si="7"/>
        <v>27.512499999999999</v>
      </c>
      <c r="AD6" s="82">
        <f t="shared" si="1"/>
        <v>1913910</v>
      </c>
      <c r="AE6" s="82">
        <f t="shared" si="8"/>
        <v>118854</v>
      </c>
      <c r="AF6" s="82">
        <f t="shared" si="9"/>
        <v>165075</v>
      </c>
      <c r="AG6" s="82">
        <f t="shared" si="10"/>
        <v>66030</v>
      </c>
      <c r="AH6" s="82">
        <f t="shared" si="11"/>
        <v>258617.5</v>
      </c>
      <c r="AI6" s="82">
        <f t="shared" si="12"/>
        <v>22010</v>
      </c>
      <c r="AJ6" s="82">
        <f t="shared" si="13"/>
        <v>20000</v>
      </c>
      <c r="AK6" s="82">
        <f t="shared" si="14"/>
        <v>26412</v>
      </c>
      <c r="AL6" s="82">
        <f t="shared" si="15"/>
        <v>835102.22</v>
      </c>
      <c r="AM6" s="82">
        <f t="shared" si="16"/>
        <v>3426011</v>
      </c>
      <c r="AN6" s="120"/>
      <c r="AO6" s="121">
        <f t="shared" si="17"/>
        <v>3426011</v>
      </c>
    </row>
    <row r="7" spans="1:41" ht="18" customHeight="1">
      <c r="A7" s="79" t="s">
        <v>10</v>
      </c>
      <c r="B7" s="80" t="s">
        <v>652</v>
      </c>
      <c r="C7" s="80" t="s">
        <v>649</v>
      </c>
      <c r="D7" s="81">
        <v>2</v>
      </c>
      <c r="E7" s="166">
        <v>0</v>
      </c>
      <c r="F7" s="166">
        <v>0</v>
      </c>
      <c r="G7" s="166">
        <v>25.712499999999999</v>
      </c>
      <c r="H7" s="166">
        <v>3</v>
      </c>
      <c r="I7" s="82">
        <f t="shared" si="2"/>
        <v>28.712499999999999</v>
      </c>
      <c r="J7" s="167">
        <v>1</v>
      </c>
      <c r="K7" s="167">
        <v>0</v>
      </c>
      <c r="L7" s="167">
        <v>0</v>
      </c>
      <c r="M7" s="167">
        <v>1</v>
      </c>
      <c r="N7" s="82">
        <f t="shared" si="3"/>
        <v>2</v>
      </c>
      <c r="O7" s="82">
        <f t="shared" si="4"/>
        <v>1</v>
      </c>
      <c r="P7" s="82">
        <f t="shared" si="0"/>
        <v>0</v>
      </c>
      <c r="Q7" s="82">
        <f t="shared" si="0"/>
        <v>25.712499999999999</v>
      </c>
      <c r="R7" s="82">
        <f t="shared" si="0"/>
        <v>4</v>
      </c>
      <c r="S7" s="93">
        <f t="shared" si="5"/>
        <v>30.712499999999999</v>
      </c>
      <c r="T7" s="167">
        <v>1</v>
      </c>
      <c r="U7" s="167">
        <v>0</v>
      </c>
      <c r="V7" s="167">
        <v>26</v>
      </c>
      <c r="W7" s="167">
        <v>3</v>
      </c>
      <c r="X7" s="93">
        <f t="shared" si="6"/>
        <v>30</v>
      </c>
      <c r="Y7" s="167">
        <v>1</v>
      </c>
      <c r="Z7" s="167">
        <v>0</v>
      </c>
      <c r="AA7" s="167">
        <v>26</v>
      </c>
      <c r="AB7" s="167">
        <v>3</v>
      </c>
      <c r="AC7" s="82">
        <f t="shared" si="7"/>
        <v>30</v>
      </c>
      <c r="AD7" s="82">
        <f t="shared" si="1"/>
        <v>2070600</v>
      </c>
      <c r="AE7" s="82">
        <f t="shared" si="8"/>
        <v>129600</v>
      </c>
      <c r="AF7" s="82">
        <f t="shared" si="9"/>
        <v>180000</v>
      </c>
      <c r="AG7" s="82">
        <f t="shared" si="10"/>
        <v>72000</v>
      </c>
      <c r="AH7" s="82">
        <f t="shared" si="11"/>
        <v>282000</v>
      </c>
      <c r="AI7" s="82">
        <f t="shared" si="12"/>
        <v>24000</v>
      </c>
      <c r="AJ7" s="82">
        <f t="shared" si="13"/>
        <v>20000</v>
      </c>
      <c r="AK7" s="82">
        <f t="shared" si="14"/>
        <v>28800</v>
      </c>
      <c r="AL7" s="82">
        <f t="shared" si="15"/>
        <v>910606.69</v>
      </c>
      <c r="AM7" s="82">
        <f t="shared" si="16"/>
        <v>3717607</v>
      </c>
      <c r="AN7" s="119"/>
      <c r="AO7" s="121">
        <f t="shared" si="17"/>
        <v>3717607</v>
      </c>
    </row>
    <row r="8" spans="1:41" ht="18" customHeight="1">
      <c r="A8" s="79" t="s">
        <v>10</v>
      </c>
      <c r="B8" s="80" t="s">
        <v>223</v>
      </c>
      <c r="C8" s="80" t="s">
        <v>959</v>
      </c>
      <c r="D8" s="81"/>
      <c r="E8" s="166">
        <v>1.2068965517240999</v>
      </c>
      <c r="F8" s="166">
        <v>9</v>
      </c>
      <c r="G8" s="166">
        <v>0</v>
      </c>
      <c r="H8" s="166">
        <v>5.5</v>
      </c>
      <c r="I8" s="82">
        <f t="shared" si="2"/>
        <v>15.7068965517241</v>
      </c>
      <c r="J8" s="167">
        <v>0</v>
      </c>
      <c r="K8" s="167">
        <v>0</v>
      </c>
      <c r="L8" s="167">
        <v>0</v>
      </c>
      <c r="M8" s="167">
        <v>0</v>
      </c>
      <c r="N8" s="82">
        <f t="shared" si="3"/>
        <v>0</v>
      </c>
      <c r="O8" s="82">
        <f t="shared" si="4"/>
        <v>1.2068965517240999</v>
      </c>
      <c r="P8" s="82">
        <f t="shared" si="0"/>
        <v>9</v>
      </c>
      <c r="Q8" s="82">
        <f t="shared" si="0"/>
        <v>0</v>
      </c>
      <c r="R8" s="82">
        <f t="shared" si="0"/>
        <v>5.5</v>
      </c>
      <c r="S8" s="93">
        <f t="shared" si="5"/>
        <v>15.7068965517241</v>
      </c>
      <c r="T8" s="167">
        <v>4</v>
      </c>
      <c r="U8" s="167">
        <v>3</v>
      </c>
      <c r="V8" s="167">
        <v>0</v>
      </c>
      <c r="W8" s="167">
        <v>1</v>
      </c>
      <c r="X8" s="93">
        <f t="shared" si="6"/>
        <v>8</v>
      </c>
      <c r="Y8" s="167">
        <v>4</v>
      </c>
      <c r="Z8" s="167">
        <v>3</v>
      </c>
      <c r="AA8" s="167">
        <v>0</v>
      </c>
      <c r="AB8" s="167">
        <v>1</v>
      </c>
      <c r="AC8" s="82">
        <f t="shared" si="7"/>
        <v>8</v>
      </c>
      <c r="AD8" s="82">
        <f t="shared" si="1"/>
        <v>630660</v>
      </c>
      <c r="AE8" s="82">
        <f t="shared" si="8"/>
        <v>34560</v>
      </c>
      <c r="AF8" s="82">
        <f t="shared" si="9"/>
        <v>48000</v>
      </c>
      <c r="AG8" s="82">
        <f t="shared" si="10"/>
        <v>19200</v>
      </c>
      <c r="AH8" s="82">
        <f t="shared" si="11"/>
        <v>75200</v>
      </c>
      <c r="AI8" s="82">
        <f t="shared" si="12"/>
        <v>6400</v>
      </c>
      <c r="AJ8" s="82">
        <f t="shared" si="13"/>
        <v>0</v>
      </c>
      <c r="AK8" s="82">
        <f t="shared" si="14"/>
        <v>7680</v>
      </c>
      <c r="AL8" s="82">
        <f t="shared" si="15"/>
        <v>242828.45</v>
      </c>
      <c r="AM8" s="82">
        <f t="shared" si="16"/>
        <v>1064528</v>
      </c>
      <c r="AN8" s="119">
        <v>40770</v>
      </c>
      <c r="AO8" s="119">
        <f t="shared" si="17"/>
        <v>1105298</v>
      </c>
    </row>
    <row r="9" spans="1:41" ht="18" customHeight="1">
      <c r="A9" s="79" t="s">
        <v>10</v>
      </c>
      <c r="B9" s="80" t="s">
        <v>653</v>
      </c>
      <c r="C9" s="80" t="s">
        <v>959</v>
      </c>
      <c r="D9" s="81"/>
      <c r="E9" s="166">
        <v>13.482758620689699</v>
      </c>
      <c r="F9" s="166">
        <v>9</v>
      </c>
      <c r="G9" s="166">
        <v>0</v>
      </c>
      <c r="H9" s="166">
        <v>5.5</v>
      </c>
      <c r="I9" s="82">
        <f t="shared" si="2"/>
        <v>27.982758620689701</v>
      </c>
      <c r="J9" s="167">
        <v>6</v>
      </c>
      <c r="K9" s="167">
        <v>0</v>
      </c>
      <c r="L9" s="167">
        <v>0</v>
      </c>
      <c r="M9" s="167">
        <v>0</v>
      </c>
      <c r="N9" s="82">
        <f t="shared" si="3"/>
        <v>6</v>
      </c>
      <c r="O9" s="82">
        <f t="shared" si="4"/>
        <v>19.482758620689701</v>
      </c>
      <c r="P9" s="82">
        <f t="shared" si="0"/>
        <v>9</v>
      </c>
      <c r="Q9" s="82">
        <f t="shared" si="0"/>
        <v>0</v>
      </c>
      <c r="R9" s="82">
        <f t="shared" si="0"/>
        <v>5.5</v>
      </c>
      <c r="S9" s="93">
        <f t="shared" si="5"/>
        <v>33.982758620689701</v>
      </c>
      <c r="T9" s="167">
        <v>6</v>
      </c>
      <c r="U9" s="167">
        <v>2</v>
      </c>
      <c r="V9" s="167">
        <v>0</v>
      </c>
      <c r="W9" s="167">
        <v>7</v>
      </c>
      <c r="X9" s="93">
        <f t="shared" si="6"/>
        <v>15</v>
      </c>
      <c r="Y9" s="167">
        <v>6</v>
      </c>
      <c r="Z9" s="167">
        <v>2</v>
      </c>
      <c r="AA9" s="167">
        <v>0</v>
      </c>
      <c r="AB9" s="167">
        <v>7</v>
      </c>
      <c r="AC9" s="82">
        <f t="shared" si="7"/>
        <v>15</v>
      </c>
      <c r="AD9" s="82">
        <f t="shared" si="1"/>
        <v>1074840</v>
      </c>
      <c r="AE9" s="82">
        <f t="shared" si="8"/>
        <v>64800</v>
      </c>
      <c r="AF9" s="82">
        <f t="shared" si="9"/>
        <v>90000</v>
      </c>
      <c r="AG9" s="82">
        <f t="shared" si="10"/>
        <v>36000</v>
      </c>
      <c r="AH9" s="82">
        <f t="shared" si="11"/>
        <v>141000</v>
      </c>
      <c r="AI9" s="82">
        <f t="shared" si="12"/>
        <v>12000</v>
      </c>
      <c r="AJ9" s="82">
        <f t="shared" si="13"/>
        <v>0</v>
      </c>
      <c r="AK9" s="82">
        <f t="shared" si="14"/>
        <v>14400</v>
      </c>
      <c r="AL9" s="82">
        <f t="shared" si="15"/>
        <v>455303.35</v>
      </c>
      <c r="AM9" s="82">
        <f t="shared" si="16"/>
        <v>1888343</v>
      </c>
      <c r="AN9" s="119">
        <v>52657.5</v>
      </c>
      <c r="AO9" s="119">
        <f t="shared" si="17"/>
        <v>1941000.5</v>
      </c>
    </row>
    <row r="10" spans="1:41" s="83" customFormat="1" ht="18" customHeight="1">
      <c r="A10" s="79" t="s">
        <v>10</v>
      </c>
      <c r="B10" s="80" t="s">
        <v>221</v>
      </c>
      <c r="C10" s="80" t="s">
        <v>464</v>
      </c>
      <c r="D10" s="81"/>
      <c r="E10" s="166">
        <v>6.1764705882352997</v>
      </c>
      <c r="F10" s="166">
        <v>9</v>
      </c>
      <c r="G10" s="166">
        <v>0</v>
      </c>
      <c r="H10" s="166">
        <v>5</v>
      </c>
      <c r="I10" s="82">
        <f t="shared" si="2"/>
        <v>20.176470588235301</v>
      </c>
      <c r="J10" s="167">
        <v>4</v>
      </c>
      <c r="K10" s="167">
        <v>2</v>
      </c>
      <c r="L10" s="167">
        <v>0</v>
      </c>
      <c r="M10" s="167">
        <v>0</v>
      </c>
      <c r="N10" s="82">
        <f t="shared" si="3"/>
        <v>6</v>
      </c>
      <c r="O10" s="82">
        <f t="shared" si="4"/>
        <v>10.176470588235301</v>
      </c>
      <c r="P10" s="82">
        <f t="shared" si="0"/>
        <v>11</v>
      </c>
      <c r="Q10" s="82">
        <f t="shared" si="0"/>
        <v>0</v>
      </c>
      <c r="R10" s="82">
        <f t="shared" si="0"/>
        <v>5</v>
      </c>
      <c r="S10" s="93">
        <f t="shared" si="5"/>
        <v>26.176470588235301</v>
      </c>
      <c r="T10" s="167">
        <v>4</v>
      </c>
      <c r="U10" s="167">
        <v>7</v>
      </c>
      <c r="V10" s="167">
        <v>0</v>
      </c>
      <c r="W10" s="167">
        <v>5</v>
      </c>
      <c r="X10" s="93">
        <f t="shared" si="6"/>
        <v>16</v>
      </c>
      <c r="Y10" s="167">
        <v>4</v>
      </c>
      <c r="Z10" s="167">
        <v>7</v>
      </c>
      <c r="AA10" s="167">
        <v>0</v>
      </c>
      <c r="AB10" s="167">
        <v>5</v>
      </c>
      <c r="AC10" s="82">
        <f t="shared" si="7"/>
        <v>16</v>
      </c>
      <c r="AD10" s="82">
        <f>(Y10*9230+Z10*7215+AA10*5800+AB10*5100)*12</f>
        <v>1355100</v>
      </c>
      <c r="AE10" s="82">
        <f t="shared" si="8"/>
        <v>69120</v>
      </c>
      <c r="AF10" s="82">
        <f t="shared" si="9"/>
        <v>96000</v>
      </c>
      <c r="AG10" s="82">
        <f t="shared" si="10"/>
        <v>38400</v>
      </c>
      <c r="AH10" s="82">
        <f>Y10*15400+(Z10+AA10+AB10)*9400</f>
        <v>174400</v>
      </c>
      <c r="AI10" s="82">
        <f t="shared" si="12"/>
        <v>12800</v>
      </c>
      <c r="AJ10" s="82">
        <f t="shared" si="13"/>
        <v>0</v>
      </c>
      <c r="AK10" s="82">
        <f t="shared" si="14"/>
        <v>15360</v>
      </c>
      <c r="AL10" s="82">
        <f t="shared" si="15"/>
        <v>485656.9</v>
      </c>
      <c r="AM10" s="82">
        <f t="shared" si="16"/>
        <v>2246837</v>
      </c>
      <c r="AN10" s="120">
        <v>13723.25</v>
      </c>
      <c r="AO10" s="119">
        <f t="shared" si="17"/>
        <v>2260560.25</v>
      </c>
    </row>
    <row r="11" spans="1:41" ht="18" customHeight="1">
      <c r="A11" s="79" t="s">
        <v>10</v>
      </c>
      <c r="B11" s="80" t="s">
        <v>654</v>
      </c>
      <c r="C11" s="80" t="s">
        <v>464</v>
      </c>
      <c r="D11" s="81"/>
      <c r="E11" s="166">
        <v>0</v>
      </c>
      <c r="F11" s="166">
        <v>9</v>
      </c>
      <c r="G11" s="166">
        <v>0</v>
      </c>
      <c r="H11" s="166">
        <v>5</v>
      </c>
      <c r="I11" s="82">
        <f t="shared" si="2"/>
        <v>14</v>
      </c>
      <c r="J11" s="167">
        <v>0</v>
      </c>
      <c r="K11" s="167">
        <v>0</v>
      </c>
      <c r="L11" s="167">
        <v>0</v>
      </c>
      <c r="M11" s="167">
        <v>0</v>
      </c>
      <c r="N11" s="82">
        <f t="shared" si="3"/>
        <v>0</v>
      </c>
      <c r="O11" s="82">
        <f t="shared" si="4"/>
        <v>0</v>
      </c>
      <c r="P11" s="82">
        <f t="shared" si="0"/>
        <v>9</v>
      </c>
      <c r="Q11" s="82">
        <f t="shared" si="0"/>
        <v>0</v>
      </c>
      <c r="R11" s="82">
        <f t="shared" si="0"/>
        <v>5</v>
      </c>
      <c r="S11" s="93">
        <f t="shared" si="5"/>
        <v>14</v>
      </c>
      <c r="T11" s="167">
        <v>0</v>
      </c>
      <c r="U11" s="167">
        <v>0</v>
      </c>
      <c r="V11" s="167">
        <v>0</v>
      </c>
      <c r="W11" s="167">
        <v>6</v>
      </c>
      <c r="X11" s="93">
        <f t="shared" si="6"/>
        <v>6</v>
      </c>
      <c r="Y11" s="167">
        <v>0</v>
      </c>
      <c r="Z11" s="167">
        <v>0</v>
      </c>
      <c r="AA11" s="167">
        <v>0</v>
      </c>
      <c r="AB11" s="167">
        <v>6</v>
      </c>
      <c r="AC11" s="82">
        <f t="shared" si="7"/>
        <v>6</v>
      </c>
      <c r="AD11" s="82">
        <f t="shared" ref="AD11:AD12" si="18">(Y11*9230+Z11*7215+AA11*5800+AB11*5100)*12</f>
        <v>367200</v>
      </c>
      <c r="AE11" s="82">
        <f t="shared" si="8"/>
        <v>25920</v>
      </c>
      <c r="AF11" s="82">
        <f t="shared" si="9"/>
        <v>36000</v>
      </c>
      <c r="AG11" s="82">
        <f t="shared" si="10"/>
        <v>14400</v>
      </c>
      <c r="AH11" s="82">
        <f t="shared" ref="AH11:AH12" si="19">Y11*15400+(Z11+AA11+AB11)*9400</f>
        <v>56400</v>
      </c>
      <c r="AI11" s="82">
        <f t="shared" si="12"/>
        <v>4800</v>
      </c>
      <c r="AJ11" s="82">
        <f t="shared" si="13"/>
        <v>0</v>
      </c>
      <c r="AK11" s="82">
        <f t="shared" si="14"/>
        <v>5760</v>
      </c>
      <c r="AL11" s="82">
        <f t="shared" si="15"/>
        <v>182121.34</v>
      </c>
      <c r="AM11" s="82">
        <f t="shared" si="16"/>
        <v>692601</v>
      </c>
      <c r="AN11" s="119">
        <v>7395</v>
      </c>
      <c r="AO11" s="119">
        <f t="shared" si="17"/>
        <v>699996</v>
      </c>
    </row>
    <row r="12" spans="1:41" s="83" customFormat="1" ht="18" customHeight="1">
      <c r="A12" s="79" t="s">
        <v>10</v>
      </c>
      <c r="B12" s="89" t="s">
        <v>734</v>
      </c>
      <c r="C12" s="80" t="s">
        <v>972</v>
      </c>
      <c r="D12" s="81"/>
      <c r="E12" s="166">
        <v>0</v>
      </c>
      <c r="F12" s="166">
        <v>11</v>
      </c>
      <c r="G12" s="166">
        <v>0</v>
      </c>
      <c r="H12" s="166">
        <v>6</v>
      </c>
      <c r="I12" s="82">
        <f t="shared" si="2"/>
        <v>17</v>
      </c>
      <c r="J12" s="167">
        <v>3</v>
      </c>
      <c r="K12" s="167">
        <v>0</v>
      </c>
      <c r="L12" s="167">
        <v>0</v>
      </c>
      <c r="M12" s="167">
        <v>0</v>
      </c>
      <c r="N12" s="82">
        <f t="shared" si="3"/>
        <v>3</v>
      </c>
      <c r="O12" s="82">
        <f t="shared" si="4"/>
        <v>3</v>
      </c>
      <c r="P12" s="82">
        <f t="shared" si="0"/>
        <v>11</v>
      </c>
      <c r="Q12" s="82">
        <f t="shared" si="0"/>
        <v>0</v>
      </c>
      <c r="R12" s="82">
        <f t="shared" si="0"/>
        <v>6</v>
      </c>
      <c r="S12" s="93">
        <f t="shared" si="5"/>
        <v>20</v>
      </c>
      <c r="T12" s="167">
        <v>0</v>
      </c>
      <c r="U12" s="166">
        <v>10</v>
      </c>
      <c r="V12" s="167">
        <v>0</v>
      </c>
      <c r="W12" s="167">
        <v>6</v>
      </c>
      <c r="X12" s="93">
        <f t="shared" si="6"/>
        <v>16</v>
      </c>
      <c r="Y12" s="167">
        <v>0</v>
      </c>
      <c r="Z12" s="166">
        <v>10</v>
      </c>
      <c r="AA12" s="167">
        <v>0</v>
      </c>
      <c r="AB12" s="167">
        <v>6</v>
      </c>
      <c r="AC12" s="82">
        <f t="shared" si="7"/>
        <v>16</v>
      </c>
      <c r="AD12" s="82">
        <f t="shared" si="18"/>
        <v>1233000</v>
      </c>
      <c r="AE12" s="82">
        <f t="shared" si="8"/>
        <v>69120</v>
      </c>
      <c r="AF12" s="82">
        <f t="shared" si="9"/>
        <v>96000</v>
      </c>
      <c r="AG12" s="82">
        <f t="shared" si="10"/>
        <v>38400</v>
      </c>
      <c r="AH12" s="82">
        <f t="shared" si="19"/>
        <v>150400</v>
      </c>
      <c r="AI12" s="82">
        <f t="shared" si="12"/>
        <v>12800</v>
      </c>
      <c r="AJ12" s="82">
        <f t="shared" si="13"/>
        <v>0</v>
      </c>
      <c r="AK12" s="82">
        <f t="shared" si="14"/>
        <v>15360</v>
      </c>
      <c r="AL12" s="82">
        <f t="shared" si="15"/>
        <v>485656.9</v>
      </c>
      <c r="AM12" s="82">
        <f t="shared" si="16"/>
        <v>2100737</v>
      </c>
      <c r="AN12" s="120">
        <v>4256</v>
      </c>
      <c r="AO12" s="119">
        <f t="shared" si="17"/>
        <v>2104993</v>
      </c>
    </row>
    <row r="13" spans="1:41" s="83" customFormat="1" ht="18" customHeight="1">
      <c r="A13" s="79"/>
      <c r="B13" s="80" t="s">
        <v>973</v>
      </c>
      <c r="C13" s="80" t="s">
        <v>649</v>
      </c>
      <c r="D13" s="81">
        <v>1</v>
      </c>
      <c r="E13" s="166">
        <v>0</v>
      </c>
      <c r="F13" s="166">
        <v>1</v>
      </c>
      <c r="G13" s="166">
        <v>2.4375</v>
      </c>
      <c r="H13" s="166">
        <v>1</v>
      </c>
      <c r="I13" s="82">
        <f t="shared" si="2"/>
        <v>4.4375</v>
      </c>
      <c r="J13" s="167">
        <v>3</v>
      </c>
      <c r="K13" s="167">
        <v>1</v>
      </c>
      <c r="L13" s="167">
        <v>3</v>
      </c>
      <c r="M13" s="167">
        <v>1</v>
      </c>
      <c r="N13" s="82">
        <f t="shared" si="3"/>
        <v>8</v>
      </c>
      <c r="O13" s="82">
        <f t="shared" si="4"/>
        <v>3</v>
      </c>
      <c r="P13" s="82">
        <f t="shared" si="0"/>
        <v>2</v>
      </c>
      <c r="Q13" s="82">
        <f t="shared" si="0"/>
        <v>5.4375</v>
      </c>
      <c r="R13" s="82">
        <f t="shared" si="0"/>
        <v>2</v>
      </c>
      <c r="S13" s="93">
        <f t="shared" si="5"/>
        <v>12.4375</v>
      </c>
      <c r="T13" s="167">
        <v>2</v>
      </c>
      <c r="U13" s="166">
        <v>0</v>
      </c>
      <c r="V13" s="167">
        <v>3</v>
      </c>
      <c r="W13" s="167">
        <v>1</v>
      </c>
      <c r="X13" s="93">
        <f t="shared" si="6"/>
        <v>6</v>
      </c>
      <c r="Y13" s="167">
        <v>2</v>
      </c>
      <c r="Z13" s="166">
        <v>0</v>
      </c>
      <c r="AA13" s="167">
        <v>3</v>
      </c>
      <c r="AB13" s="167">
        <v>1</v>
      </c>
      <c r="AC13" s="82">
        <f t="shared" si="7"/>
        <v>6</v>
      </c>
      <c r="AD13" s="82">
        <f>(Y13*7050+Z13*6485+AA13*5800+AB13*4900)*12</f>
        <v>436800</v>
      </c>
      <c r="AE13" s="82">
        <f t="shared" si="8"/>
        <v>25920</v>
      </c>
      <c r="AF13" s="82">
        <f t="shared" si="9"/>
        <v>36000</v>
      </c>
      <c r="AG13" s="82">
        <f t="shared" si="10"/>
        <v>14400</v>
      </c>
      <c r="AH13" s="82">
        <f t="shared" si="11"/>
        <v>56400</v>
      </c>
      <c r="AI13" s="82">
        <f>AC13*800</f>
        <v>4800</v>
      </c>
      <c r="AJ13" s="82">
        <f>D13*50*200/2</f>
        <v>5000</v>
      </c>
      <c r="AK13" s="82">
        <f t="shared" si="14"/>
        <v>5760</v>
      </c>
      <c r="AL13" s="82">
        <f t="shared" si="15"/>
        <v>182121.34</v>
      </c>
      <c r="AM13" s="82">
        <f t="shared" si="16"/>
        <v>767201</v>
      </c>
      <c r="AN13" s="120"/>
      <c r="AO13" s="121">
        <f t="shared" si="17"/>
        <v>767201</v>
      </c>
    </row>
    <row r="14" spans="1:41" s="85" customFormat="1" ht="18" customHeight="1">
      <c r="A14" s="164"/>
      <c r="B14" s="164" t="s">
        <v>655</v>
      </c>
      <c r="C14" s="164"/>
      <c r="D14" s="84">
        <f>SUM(D4:D13)</f>
        <v>9</v>
      </c>
      <c r="E14" s="84">
        <f t="shared" ref="E14:AO14" si="20">SUM(E4:E13)</f>
        <v>20.866125760649098</v>
      </c>
      <c r="F14" s="84">
        <f t="shared" si="20"/>
        <v>52</v>
      </c>
      <c r="G14" s="84">
        <f t="shared" si="20"/>
        <v>86.487500000000011</v>
      </c>
      <c r="H14" s="84">
        <f t="shared" si="20"/>
        <v>40</v>
      </c>
      <c r="I14" s="84">
        <f t="shared" si="20"/>
        <v>199.35362576064912</v>
      </c>
      <c r="J14" s="84">
        <f t="shared" si="20"/>
        <v>18</v>
      </c>
      <c r="K14" s="84">
        <f t="shared" si="20"/>
        <v>3</v>
      </c>
      <c r="L14" s="84">
        <f t="shared" si="20"/>
        <v>4</v>
      </c>
      <c r="M14" s="84">
        <f t="shared" si="20"/>
        <v>2</v>
      </c>
      <c r="N14" s="84">
        <f t="shared" si="20"/>
        <v>27</v>
      </c>
      <c r="O14" s="84">
        <f t="shared" si="20"/>
        <v>38.866125760649098</v>
      </c>
      <c r="P14" s="84">
        <f t="shared" si="20"/>
        <v>55</v>
      </c>
      <c r="Q14" s="84">
        <f t="shared" si="20"/>
        <v>90.487500000000011</v>
      </c>
      <c r="R14" s="84">
        <f t="shared" si="20"/>
        <v>42</v>
      </c>
      <c r="S14" s="84">
        <f t="shared" si="20"/>
        <v>226.35362576064912</v>
      </c>
      <c r="T14" s="84">
        <f t="shared" si="20"/>
        <v>18</v>
      </c>
      <c r="U14" s="84">
        <f t="shared" si="20"/>
        <v>25</v>
      </c>
      <c r="V14" s="84">
        <f t="shared" si="20"/>
        <v>89</v>
      </c>
      <c r="W14" s="84">
        <f t="shared" si="20"/>
        <v>37</v>
      </c>
      <c r="X14" s="84">
        <f t="shared" si="20"/>
        <v>169</v>
      </c>
      <c r="Y14" s="84">
        <f t="shared" si="20"/>
        <v>18</v>
      </c>
      <c r="Z14" s="84">
        <f t="shared" si="20"/>
        <v>25</v>
      </c>
      <c r="AA14" s="84">
        <f t="shared" si="20"/>
        <v>88.512500000000003</v>
      </c>
      <c r="AB14" s="84">
        <f t="shared" si="20"/>
        <v>37</v>
      </c>
      <c r="AC14" s="84">
        <f t="shared" si="20"/>
        <v>168.51249999999999</v>
      </c>
      <c r="AD14" s="84">
        <f t="shared" si="20"/>
        <v>12098730</v>
      </c>
      <c r="AE14" s="84">
        <f t="shared" si="20"/>
        <v>727974</v>
      </c>
      <c r="AF14" s="84">
        <f t="shared" si="20"/>
        <v>1011075</v>
      </c>
      <c r="AG14" s="84">
        <f t="shared" si="20"/>
        <v>404430</v>
      </c>
      <c r="AH14" s="84">
        <f t="shared" si="20"/>
        <v>1608017.5</v>
      </c>
      <c r="AI14" s="84">
        <f t="shared" si="20"/>
        <v>134810</v>
      </c>
      <c r="AJ14" s="84">
        <f t="shared" si="20"/>
        <v>85000</v>
      </c>
      <c r="AK14" s="84">
        <f t="shared" si="20"/>
        <v>161772</v>
      </c>
      <c r="AL14" s="84">
        <f t="shared" si="20"/>
        <v>5114953.6800000006</v>
      </c>
      <c r="AM14" s="84">
        <f t="shared" si="20"/>
        <v>21346761</v>
      </c>
      <c r="AN14" s="84">
        <f t="shared" si="20"/>
        <v>118801.75</v>
      </c>
      <c r="AO14" s="84">
        <f t="shared" si="20"/>
        <v>21465562.75</v>
      </c>
    </row>
    <row r="15" spans="1:41" ht="18" customHeight="1">
      <c r="A15" s="79" t="s">
        <v>8</v>
      </c>
      <c r="B15" s="80" t="s">
        <v>656</v>
      </c>
      <c r="C15" s="80" t="s">
        <v>649</v>
      </c>
      <c r="D15" s="81">
        <v>2</v>
      </c>
      <c r="E15" s="166">
        <v>2.9572649572649965</v>
      </c>
      <c r="F15" s="166">
        <v>3</v>
      </c>
      <c r="G15" s="166">
        <v>26.574999999999999</v>
      </c>
      <c r="H15" s="166">
        <v>3</v>
      </c>
      <c r="I15" s="82">
        <f t="shared" si="2"/>
        <v>35.532264957264999</v>
      </c>
      <c r="J15" s="167">
        <v>2</v>
      </c>
      <c r="K15" s="167">
        <v>0</v>
      </c>
      <c r="L15" s="167">
        <v>2</v>
      </c>
      <c r="M15" s="167">
        <v>0</v>
      </c>
      <c r="N15" s="82">
        <f t="shared" si="3"/>
        <v>4</v>
      </c>
      <c r="O15" s="82">
        <f>E15+J15</f>
        <v>4.9572649572649965</v>
      </c>
      <c r="P15" s="82">
        <f t="shared" ref="P15:R22" si="21">F15+K15</f>
        <v>3</v>
      </c>
      <c r="Q15" s="82">
        <f t="shared" si="21"/>
        <v>28.574999999999999</v>
      </c>
      <c r="R15" s="82">
        <f t="shared" si="21"/>
        <v>3</v>
      </c>
      <c r="S15" s="93">
        <f t="shared" si="5"/>
        <v>39.532264957264999</v>
      </c>
      <c r="T15" s="81">
        <v>4</v>
      </c>
      <c r="U15" s="81">
        <v>5</v>
      </c>
      <c r="V15" s="81">
        <v>26</v>
      </c>
      <c r="W15" s="81">
        <v>1</v>
      </c>
      <c r="X15" s="93">
        <f t="shared" si="6"/>
        <v>36</v>
      </c>
      <c r="Y15" s="81">
        <v>4</v>
      </c>
      <c r="Z15" s="81">
        <v>5</v>
      </c>
      <c r="AA15" s="81">
        <v>26</v>
      </c>
      <c r="AB15" s="81">
        <v>1</v>
      </c>
      <c r="AC15" s="82">
        <f t="shared" si="7"/>
        <v>36</v>
      </c>
      <c r="AD15" s="82">
        <f>(Y15*7050+Z15*6485+AA15*5800+AB15*4900)*12</f>
        <v>2595900</v>
      </c>
      <c r="AE15" s="82">
        <f t="shared" si="8"/>
        <v>155520</v>
      </c>
      <c r="AF15" s="82">
        <f t="shared" si="9"/>
        <v>216000</v>
      </c>
      <c r="AG15" s="82">
        <f t="shared" si="10"/>
        <v>86400</v>
      </c>
      <c r="AH15" s="82">
        <f t="shared" si="11"/>
        <v>338400</v>
      </c>
      <c r="AI15" s="82">
        <f t="shared" si="12"/>
        <v>28800</v>
      </c>
      <c r="AJ15" s="82">
        <f t="shared" si="13"/>
        <v>20000</v>
      </c>
      <c r="AK15" s="82">
        <f t="shared" si="14"/>
        <v>34560</v>
      </c>
      <c r="AL15" s="82">
        <f t="shared" si="15"/>
        <v>1092728.03</v>
      </c>
      <c r="AM15" s="82">
        <f t="shared" si="16"/>
        <v>4568308</v>
      </c>
      <c r="AN15" s="119"/>
      <c r="AO15" s="121">
        <f>AM15+AN15</f>
        <v>4568308</v>
      </c>
    </row>
    <row r="16" spans="1:41" ht="18" customHeight="1">
      <c r="A16" s="79" t="s">
        <v>8</v>
      </c>
      <c r="B16" s="80" t="s">
        <v>657</v>
      </c>
      <c r="C16" s="80" t="s">
        <v>649</v>
      </c>
      <c r="D16" s="81">
        <v>1</v>
      </c>
      <c r="E16" s="166">
        <v>1.0085470085470014</v>
      </c>
      <c r="F16" s="166">
        <v>2</v>
      </c>
      <c r="G16" s="166">
        <v>14.95</v>
      </c>
      <c r="H16" s="166">
        <v>2</v>
      </c>
      <c r="I16" s="82">
        <f t="shared" si="2"/>
        <v>19.958547008547001</v>
      </c>
      <c r="J16" s="167">
        <v>3</v>
      </c>
      <c r="K16" s="167">
        <v>1</v>
      </c>
      <c r="L16" s="167">
        <v>3</v>
      </c>
      <c r="M16" s="167">
        <v>0</v>
      </c>
      <c r="N16" s="82">
        <f t="shared" si="3"/>
        <v>7</v>
      </c>
      <c r="O16" s="82">
        <f t="shared" ref="O16:O22" si="22">E16+J16</f>
        <v>4.0085470085470014</v>
      </c>
      <c r="P16" s="82">
        <f t="shared" si="21"/>
        <v>3</v>
      </c>
      <c r="Q16" s="82">
        <f t="shared" si="21"/>
        <v>17.95</v>
      </c>
      <c r="R16" s="82">
        <f t="shared" si="21"/>
        <v>2</v>
      </c>
      <c r="S16" s="93">
        <f t="shared" si="5"/>
        <v>26.958547008547001</v>
      </c>
      <c r="T16" s="81">
        <v>4</v>
      </c>
      <c r="U16" s="81">
        <v>2</v>
      </c>
      <c r="V16" s="81">
        <v>15</v>
      </c>
      <c r="W16" s="81">
        <v>1</v>
      </c>
      <c r="X16" s="93">
        <f t="shared" si="6"/>
        <v>22</v>
      </c>
      <c r="Y16" s="81">
        <v>4</v>
      </c>
      <c r="Z16" s="81">
        <v>2</v>
      </c>
      <c r="AA16" s="81">
        <v>15</v>
      </c>
      <c r="AB16" s="81">
        <v>1</v>
      </c>
      <c r="AC16" s="82">
        <f t="shared" si="7"/>
        <v>22</v>
      </c>
      <c r="AD16" s="82">
        <f>(Y16*7050+Z16*6485+AA16*5800+AB16*4900)*12</f>
        <v>1596840</v>
      </c>
      <c r="AE16" s="82">
        <f t="shared" si="8"/>
        <v>95040</v>
      </c>
      <c r="AF16" s="82">
        <f t="shared" si="9"/>
        <v>132000</v>
      </c>
      <c r="AG16" s="82">
        <f t="shared" si="10"/>
        <v>52800</v>
      </c>
      <c r="AH16" s="82">
        <f t="shared" si="11"/>
        <v>206800</v>
      </c>
      <c r="AI16" s="82">
        <f t="shared" si="12"/>
        <v>17600</v>
      </c>
      <c r="AJ16" s="82">
        <f t="shared" si="13"/>
        <v>10000</v>
      </c>
      <c r="AK16" s="82">
        <f t="shared" si="14"/>
        <v>21120</v>
      </c>
      <c r="AL16" s="82">
        <f t="shared" si="15"/>
        <v>667778.24</v>
      </c>
      <c r="AM16" s="82">
        <f t="shared" si="16"/>
        <v>2799978</v>
      </c>
      <c r="AN16" s="119"/>
      <c r="AO16" s="121">
        <f t="shared" ref="AO16:AO22" si="23">AM16+AN16</f>
        <v>2799978</v>
      </c>
    </row>
    <row r="17" spans="1:41" s="83" customFormat="1" ht="18" customHeight="1">
      <c r="A17" s="79" t="s">
        <v>8</v>
      </c>
      <c r="B17" s="80" t="s">
        <v>658</v>
      </c>
      <c r="C17" s="80" t="s">
        <v>649</v>
      </c>
      <c r="D17" s="81">
        <v>2</v>
      </c>
      <c r="E17" s="166">
        <v>2.2820512820512988</v>
      </c>
      <c r="F17" s="166">
        <v>3</v>
      </c>
      <c r="G17" s="166">
        <v>35.962499999999999</v>
      </c>
      <c r="H17" s="166">
        <v>3</v>
      </c>
      <c r="I17" s="82">
        <f t="shared" si="2"/>
        <v>44.244551282051297</v>
      </c>
      <c r="J17" s="167">
        <v>5</v>
      </c>
      <c r="K17" s="167">
        <v>1</v>
      </c>
      <c r="L17" s="167">
        <v>0</v>
      </c>
      <c r="M17" s="167">
        <v>0</v>
      </c>
      <c r="N17" s="82">
        <f t="shared" si="3"/>
        <v>6</v>
      </c>
      <c r="O17" s="82">
        <f t="shared" si="22"/>
        <v>7.2820512820512988</v>
      </c>
      <c r="P17" s="82">
        <f t="shared" si="21"/>
        <v>4</v>
      </c>
      <c r="Q17" s="82">
        <f t="shared" si="21"/>
        <v>35.962499999999999</v>
      </c>
      <c r="R17" s="82">
        <f t="shared" si="21"/>
        <v>3</v>
      </c>
      <c r="S17" s="93">
        <f t="shared" si="5"/>
        <v>50.244551282051297</v>
      </c>
      <c r="T17" s="81">
        <v>7</v>
      </c>
      <c r="U17" s="81">
        <v>4</v>
      </c>
      <c r="V17" s="81">
        <v>36</v>
      </c>
      <c r="W17" s="81">
        <v>2</v>
      </c>
      <c r="X17" s="93">
        <f t="shared" si="6"/>
        <v>49</v>
      </c>
      <c r="Y17" s="81">
        <v>7</v>
      </c>
      <c r="Z17" s="81">
        <v>4</v>
      </c>
      <c r="AA17" s="81">
        <v>36</v>
      </c>
      <c r="AB17" s="81">
        <v>2</v>
      </c>
      <c r="AC17" s="82">
        <f t="shared" si="7"/>
        <v>49</v>
      </c>
      <c r="AD17" s="82">
        <f>(Y17*7050+Z17*6485+AA17*5800+AB17*4900)*12</f>
        <v>3526680</v>
      </c>
      <c r="AE17" s="82">
        <f t="shared" si="8"/>
        <v>211680</v>
      </c>
      <c r="AF17" s="82">
        <f t="shared" si="9"/>
        <v>294000</v>
      </c>
      <c r="AG17" s="82">
        <f t="shared" si="10"/>
        <v>117600</v>
      </c>
      <c r="AH17" s="82">
        <f t="shared" si="11"/>
        <v>460600</v>
      </c>
      <c r="AI17" s="82">
        <f t="shared" si="12"/>
        <v>39200</v>
      </c>
      <c r="AJ17" s="82">
        <f t="shared" si="13"/>
        <v>20000</v>
      </c>
      <c r="AK17" s="82">
        <f t="shared" si="14"/>
        <v>47040</v>
      </c>
      <c r="AL17" s="82">
        <f t="shared" si="15"/>
        <v>1487324.27</v>
      </c>
      <c r="AM17" s="82">
        <f t="shared" si="16"/>
        <v>6204124</v>
      </c>
      <c r="AN17" s="120"/>
      <c r="AO17" s="121">
        <f t="shared" si="23"/>
        <v>6204124</v>
      </c>
    </row>
    <row r="18" spans="1:41" s="83" customFormat="1" ht="18" customHeight="1">
      <c r="A18" s="79" t="s">
        <v>8</v>
      </c>
      <c r="B18" s="80" t="s">
        <v>659</v>
      </c>
      <c r="C18" s="80" t="s">
        <v>649</v>
      </c>
      <c r="D18" s="81">
        <v>2</v>
      </c>
      <c r="E18" s="166">
        <v>0</v>
      </c>
      <c r="F18" s="166">
        <v>2</v>
      </c>
      <c r="G18" s="166">
        <v>20.262499999999999</v>
      </c>
      <c r="H18" s="166">
        <v>2</v>
      </c>
      <c r="I18" s="82">
        <f t="shared" si="2"/>
        <v>24.262499999999999</v>
      </c>
      <c r="J18" s="167">
        <v>3</v>
      </c>
      <c r="K18" s="167">
        <v>0</v>
      </c>
      <c r="L18" s="167">
        <v>2</v>
      </c>
      <c r="M18" s="167">
        <v>0</v>
      </c>
      <c r="N18" s="82">
        <f t="shared" si="3"/>
        <v>5</v>
      </c>
      <c r="O18" s="82">
        <f t="shared" si="22"/>
        <v>3</v>
      </c>
      <c r="P18" s="82">
        <f t="shared" si="21"/>
        <v>2</v>
      </c>
      <c r="Q18" s="82">
        <f t="shared" si="21"/>
        <v>22.262499999999999</v>
      </c>
      <c r="R18" s="82">
        <f t="shared" si="21"/>
        <v>2</v>
      </c>
      <c r="S18" s="93">
        <f t="shared" si="5"/>
        <v>29.262499999999999</v>
      </c>
      <c r="T18" s="81">
        <v>3</v>
      </c>
      <c r="U18" s="81">
        <v>2</v>
      </c>
      <c r="V18" s="81">
        <v>21</v>
      </c>
      <c r="W18" s="81">
        <v>2</v>
      </c>
      <c r="X18" s="93">
        <f t="shared" si="6"/>
        <v>28</v>
      </c>
      <c r="Y18" s="81">
        <v>3</v>
      </c>
      <c r="Z18" s="81">
        <v>2</v>
      </c>
      <c r="AA18" s="81">
        <v>21</v>
      </c>
      <c r="AB18" s="81">
        <v>2</v>
      </c>
      <c r="AC18" s="82">
        <f t="shared" si="7"/>
        <v>28</v>
      </c>
      <c r="AD18" s="82">
        <f>(Y18*7050+Z18*6485+AA18*5800+AB18*4900)*12</f>
        <v>1988640</v>
      </c>
      <c r="AE18" s="82">
        <f t="shared" si="8"/>
        <v>120960</v>
      </c>
      <c r="AF18" s="82">
        <f t="shared" si="9"/>
        <v>168000</v>
      </c>
      <c r="AG18" s="82">
        <f t="shared" si="10"/>
        <v>67200</v>
      </c>
      <c r="AH18" s="82">
        <f t="shared" si="11"/>
        <v>263200</v>
      </c>
      <c r="AI18" s="82">
        <f t="shared" si="12"/>
        <v>22400</v>
      </c>
      <c r="AJ18" s="82">
        <f t="shared" si="13"/>
        <v>20000</v>
      </c>
      <c r="AK18" s="82">
        <f t="shared" si="14"/>
        <v>26880</v>
      </c>
      <c r="AL18" s="82">
        <f t="shared" si="15"/>
        <v>849899.58</v>
      </c>
      <c r="AM18" s="82">
        <f t="shared" si="16"/>
        <v>3527180</v>
      </c>
      <c r="AN18" s="120"/>
      <c r="AO18" s="121">
        <f t="shared" si="23"/>
        <v>3527180</v>
      </c>
    </row>
    <row r="19" spans="1:41" ht="18" customHeight="1">
      <c r="A19" s="79" t="s">
        <v>8</v>
      </c>
      <c r="B19" s="80" t="s">
        <v>224</v>
      </c>
      <c r="C19" s="80" t="s">
        <v>972</v>
      </c>
      <c r="D19" s="81"/>
      <c r="E19" s="166">
        <v>27</v>
      </c>
      <c r="F19" s="166">
        <v>12</v>
      </c>
      <c r="G19" s="166">
        <v>0</v>
      </c>
      <c r="H19" s="166">
        <v>10</v>
      </c>
      <c r="I19" s="82">
        <f t="shared" si="2"/>
        <v>49</v>
      </c>
      <c r="J19" s="167">
        <v>4</v>
      </c>
      <c r="K19" s="167">
        <v>4</v>
      </c>
      <c r="L19" s="167">
        <v>0</v>
      </c>
      <c r="M19" s="167">
        <v>3</v>
      </c>
      <c r="N19" s="82">
        <f t="shared" si="3"/>
        <v>11</v>
      </c>
      <c r="O19" s="82">
        <f t="shared" si="22"/>
        <v>31</v>
      </c>
      <c r="P19" s="82">
        <f t="shared" si="21"/>
        <v>16</v>
      </c>
      <c r="Q19" s="82">
        <f t="shared" si="21"/>
        <v>0</v>
      </c>
      <c r="R19" s="82">
        <f t="shared" si="21"/>
        <v>13</v>
      </c>
      <c r="S19" s="93">
        <f t="shared" si="5"/>
        <v>60</v>
      </c>
      <c r="T19" s="81">
        <v>8</v>
      </c>
      <c r="U19" s="81">
        <v>10</v>
      </c>
      <c r="V19" s="81">
        <v>0</v>
      </c>
      <c r="W19" s="81">
        <v>10</v>
      </c>
      <c r="X19" s="93">
        <f t="shared" si="6"/>
        <v>28</v>
      </c>
      <c r="Y19" s="81">
        <v>8</v>
      </c>
      <c r="Z19" s="81">
        <v>10</v>
      </c>
      <c r="AA19" s="81">
        <v>0</v>
      </c>
      <c r="AB19" s="81">
        <v>10</v>
      </c>
      <c r="AC19" s="82">
        <f t="shared" si="7"/>
        <v>28</v>
      </c>
      <c r="AD19" s="82">
        <f t="shared" ref="AD19:AD21" si="24">(Y19*9230+Z19*7215+AA19*5800+AB19*5100)*12</f>
        <v>2363880</v>
      </c>
      <c r="AE19" s="82">
        <f t="shared" si="8"/>
        <v>120960</v>
      </c>
      <c r="AF19" s="82">
        <f t="shared" si="9"/>
        <v>168000</v>
      </c>
      <c r="AG19" s="82">
        <f t="shared" si="10"/>
        <v>67200</v>
      </c>
      <c r="AH19" s="82">
        <f t="shared" ref="AH19:AH21" si="25">Y19*15400+(Z19+AA19+AB19)*9400</f>
        <v>311200</v>
      </c>
      <c r="AI19" s="82">
        <f t="shared" si="12"/>
        <v>22400</v>
      </c>
      <c r="AJ19" s="82">
        <f t="shared" si="13"/>
        <v>0</v>
      </c>
      <c r="AK19" s="82">
        <f t="shared" si="14"/>
        <v>26880</v>
      </c>
      <c r="AL19" s="82">
        <f t="shared" si="15"/>
        <v>849899.58</v>
      </c>
      <c r="AM19" s="82">
        <f t="shared" si="16"/>
        <v>3930420</v>
      </c>
      <c r="AN19" s="119">
        <v>161001.5</v>
      </c>
      <c r="AO19" s="119">
        <f t="shared" si="23"/>
        <v>4091421.5</v>
      </c>
    </row>
    <row r="20" spans="1:41" ht="18" customHeight="1">
      <c r="A20" s="79" t="s">
        <v>8</v>
      </c>
      <c r="B20" s="80" t="s">
        <v>225</v>
      </c>
      <c r="C20" s="80" t="s">
        <v>972</v>
      </c>
      <c r="D20" s="81"/>
      <c r="E20" s="166">
        <v>39</v>
      </c>
      <c r="F20" s="166">
        <v>12</v>
      </c>
      <c r="G20" s="166">
        <v>0</v>
      </c>
      <c r="H20" s="166">
        <v>10</v>
      </c>
      <c r="I20" s="82">
        <f t="shared" si="2"/>
        <v>61</v>
      </c>
      <c r="J20" s="167">
        <v>0</v>
      </c>
      <c r="K20" s="167">
        <v>0</v>
      </c>
      <c r="L20" s="167">
        <v>0</v>
      </c>
      <c r="M20" s="167">
        <v>0</v>
      </c>
      <c r="N20" s="82">
        <f t="shared" si="3"/>
        <v>0</v>
      </c>
      <c r="O20" s="82">
        <f t="shared" si="22"/>
        <v>39</v>
      </c>
      <c r="P20" s="82">
        <f t="shared" si="21"/>
        <v>12</v>
      </c>
      <c r="Q20" s="82">
        <f t="shared" si="21"/>
        <v>0</v>
      </c>
      <c r="R20" s="82">
        <f t="shared" si="21"/>
        <v>10</v>
      </c>
      <c r="S20" s="93">
        <f t="shared" si="5"/>
        <v>61</v>
      </c>
      <c r="T20" s="81">
        <v>5</v>
      </c>
      <c r="U20" s="81">
        <v>4</v>
      </c>
      <c r="V20" s="81">
        <v>0</v>
      </c>
      <c r="W20" s="81">
        <v>7</v>
      </c>
      <c r="X20" s="93">
        <f t="shared" si="6"/>
        <v>16</v>
      </c>
      <c r="Y20" s="81">
        <v>5</v>
      </c>
      <c r="Z20" s="81">
        <v>4</v>
      </c>
      <c r="AA20" s="81">
        <v>0</v>
      </c>
      <c r="AB20" s="81">
        <v>7</v>
      </c>
      <c r="AC20" s="82">
        <f t="shared" si="7"/>
        <v>16</v>
      </c>
      <c r="AD20" s="82">
        <f t="shared" si="24"/>
        <v>1328520</v>
      </c>
      <c r="AE20" s="82">
        <f t="shared" si="8"/>
        <v>69120</v>
      </c>
      <c r="AF20" s="82">
        <f t="shared" si="9"/>
        <v>96000</v>
      </c>
      <c r="AG20" s="82">
        <f t="shared" si="10"/>
        <v>38400</v>
      </c>
      <c r="AH20" s="82">
        <f t="shared" si="25"/>
        <v>180400</v>
      </c>
      <c r="AI20" s="82">
        <f t="shared" si="12"/>
        <v>12800</v>
      </c>
      <c r="AJ20" s="82">
        <f t="shared" si="13"/>
        <v>0</v>
      </c>
      <c r="AK20" s="82">
        <f t="shared" si="14"/>
        <v>15360</v>
      </c>
      <c r="AL20" s="82">
        <f t="shared" si="15"/>
        <v>485656.9</v>
      </c>
      <c r="AM20" s="82">
        <f t="shared" si="16"/>
        <v>2226257</v>
      </c>
      <c r="AN20" s="119">
        <v>131196.5</v>
      </c>
      <c r="AO20" s="119">
        <f t="shared" si="23"/>
        <v>2357453.5</v>
      </c>
    </row>
    <row r="21" spans="1:41" s="83" customFormat="1" ht="18" customHeight="1">
      <c r="A21" s="79" t="s">
        <v>8</v>
      </c>
      <c r="B21" s="80" t="s">
        <v>660</v>
      </c>
      <c r="C21" s="80" t="s">
        <v>972</v>
      </c>
      <c r="D21" s="81"/>
      <c r="E21" s="166">
        <v>0</v>
      </c>
      <c r="F21" s="166">
        <v>10</v>
      </c>
      <c r="G21" s="166">
        <v>0</v>
      </c>
      <c r="H21" s="166">
        <v>9</v>
      </c>
      <c r="I21" s="82">
        <f t="shared" si="2"/>
        <v>19</v>
      </c>
      <c r="J21" s="167">
        <v>2</v>
      </c>
      <c r="K21" s="167">
        <v>0</v>
      </c>
      <c r="L21" s="167">
        <v>0</v>
      </c>
      <c r="M21" s="167">
        <v>0</v>
      </c>
      <c r="N21" s="82">
        <f t="shared" si="3"/>
        <v>2</v>
      </c>
      <c r="O21" s="82">
        <f t="shared" si="22"/>
        <v>2</v>
      </c>
      <c r="P21" s="82">
        <f t="shared" si="21"/>
        <v>10</v>
      </c>
      <c r="Q21" s="82">
        <f t="shared" si="21"/>
        <v>0</v>
      </c>
      <c r="R21" s="82">
        <f t="shared" si="21"/>
        <v>9</v>
      </c>
      <c r="S21" s="93">
        <f t="shared" si="5"/>
        <v>21</v>
      </c>
      <c r="T21" s="81">
        <v>2</v>
      </c>
      <c r="U21" s="81">
        <v>3</v>
      </c>
      <c r="V21" s="81">
        <v>0</v>
      </c>
      <c r="W21" s="81">
        <v>8</v>
      </c>
      <c r="X21" s="93">
        <f t="shared" si="6"/>
        <v>13</v>
      </c>
      <c r="Y21" s="81">
        <v>2</v>
      </c>
      <c r="Z21" s="81">
        <v>3</v>
      </c>
      <c r="AA21" s="81">
        <v>0</v>
      </c>
      <c r="AB21" s="81">
        <v>8</v>
      </c>
      <c r="AC21" s="82">
        <f t="shared" si="7"/>
        <v>13</v>
      </c>
      <c r="AD21" s="82">
        <f t="shared" si="24"/>
        <v>970860</v>
      </c>
      <c r="AE21" s="82">
        <f t="shared" si="8"/>
        <v>56160</v>
      </c>
      <c r="AF21" s="82">
        <f t="shared" si="9"/>
        <v>78000</v>
      </c>
      <c r="AG21" s="82">
        <f t="shared" si="10"/>
        <v>31200</v>
      </c>
      <c r="AH21" s="82">
        <f t="shared" si="25"/>
        <v>134200</v>
      </c>
      <c r="AI21" s="82">
        <f t="shared" si="12"/>
        <v>10400</v>
      </c>
      <c r="AJ21" s="82">
        <f t="shared" si="13"/>
        <v>0</v>
      </c>
      <c r="AK21" s="82">
        <f t="shared" si="14"/>
        <v>12480</v>
      </c>
      <c r="AL21" s="82">
        <f t="shared" si="15"/>
        <v>394596.23</v>
      </c>
      <c r="AM21" s="82">
        <f t="shared" si="16"/>
        <v>1687896</v>
      </c>
      <c r="AN21" s="120"/>
      <c r="AO21" s="119">
        <f t="shared" si="23"/>
        <v>1687896</v>
      </c>
    </row>
    <row r="22" spans="1:41" s="83" customFormat="1" ht="18" customHeight="1">
      <c r="A22" s="79"/>
      <c r="B22" s="80" t="s">
        <v>661</v>
      </c>
      <c r="C22" s="80" t="s">
        <v>649</v>
      </c>
      <c r="D22" s="81">
        <v>1</v>
      </c>
      <c r="E22" s="166">
        <v>2.2649572649572702</v>
      </c>
      <c r="F22" s="166">
        <v>1</v>
      </c>
      <c r="G22" s="166">
        <v>5.0625</v>
      </c>
      <c r="H22" s="166">
        <v>1</v>
      </c>
      <c r="I22" s="82">
        <f t="shared" si="2"/>
        <v>9.3274572649572711</v>
      </c>
      <c r="J22" s="167">
        <v>5</v>
      </c>
      <c r="K22" s="167">
        <v>1</v>
      </c>
      <c r="L22" s="167">
        <v>5</v>
      </c>
      <c r="M22" s="167">
        <v>1</v>
      </c>
      <c r="N22" s="82">
        <f t="shared" si="3"/>
        <v>12</v>
      </c>
      <c r="O22" s="82">
        <f t="shared" si="22"/>
        <v>7.2649572649572702</v>
      </c>
      <c r="P22" s="82">
        <f t="shared" si="21"/>
        <v>2</v>
      </c>
      <c r="Q22" s="82">
        <f t="shared" si="21"/>
        <v>10.0625</v>
      </c>
      <c r="R22" s="82">
        <f t="shared" si="21"/>
        <v>2</v>
      </c>
      <c r="S22" s="93">
        <f t="shared" si="5"/>
        <v>21.327457264957271</v>
      </c>
      <c r="T22" s="81">
        <v>5</v>
      </c>
      <c r="U22" s="81">
        <v>1</v>
      </c>
      <c r="V22" s="81">
        <v>5</v>
      </c>
      <c r="W22" s="81">
        <v>1</v>
      </c>
      <c r="X22" s="93">
        <f t="shared" si="6"/>
        <v>12</v>
      </c>
      <c r="Y22" s="81">
        <v>5</v>
      </c>
      <c r="Z22" s="81">
        <v>1</v>
      </c>
      <c r="AA22" s="81">
        <v>5</v>
      </c>
      <c r="AB22" s="81">
        <v>1</v>
      </c>
      <c r="AC22" s="82">
        <f t="shared" si="7"/>
        <v>12</v>
      </c>
      <c r="AD22" s="82">
        <f>(Y22*7050+Z22*6485+AA22*5800+AB22*4900)*12</f>
        <v>907620</v>
      </c>
      <c r="AE22" s="82">
        <f t="shared" si="8"/>
        <v>51840</v>
      </c>
      <c r="AF22" s="82">
        <f t="shared" si="9"/>
        <v>72000</v>
      </c>
      <c r="AG22" s="82">
        <f t="shared" si="10"/>
        <v>28800</v>
      </c>
      <c r="AH22" s="82">
        <f t="shared" ref="AH22" si="26">AC22*9400</f>
        <v>112800</v>
      </c>
      <c r="AI22" s="82">
        <f t="shared" si="12"/>
        <v>9600</v>
      </c>
      <c r="AJ22" s="82">
        <f>D22*50*200/2</f>
        <v>5000</v>
      </c>
      <c r="AK22" s="82">
        <f t="shared" si="14"/>
        <v>11520</v>
      </c>
      <c r="AL22" s="82">
        <f t="shared" si="15"/>
        <v>364242.68</v>
      </c>
      <c r="AM22" s="82">
        <f t="shared" si="16"/>
        <v>1563423</v>
      </c>
      <c r="AN22" s="120"/>
      <c r="AO22" s="121">
        <f t="shared" si="23"/>
        <v>1563423</v>
      </c>
    </row>
    <row r="23" spans="1:41" s="85" customFormat="1" ht="18" customHeight="1">
      <c r="A23" s="164"/>
      <c r="B23" s="164" t="s">
        <v>662</v>
      </c>
      <c r="C23" s="164"/>
      <c r="D23" s="84">
        <f>SUM(D15:D22)</f>
        <v>8</v>
      </c>
      <c r="E23" s="84">
        <f t="shared" ref="E23:AO23" si="27">SUM(E15:E22)</f>
        <v>74.512820512820568</v>
      </c>
      <c r="F23" s="84">
        <f t="shared" si="27"/>
        <v>45</v>
      </c>
      <c r="G23" s="84">
        <f t="shared" si="27"/>
        <v>102.8125</v>
      </c>
      <c r="H23" s="84">
        <f t="shared" si="27"/>
        <v>40</v>
      </c>
      <c r="I23" s="84">
        <f t="shared" si="27"/>
        <v>262.32532051282055</v>
      </c>
      <c r="J23" s="84">
        <f t="shared" si="27"/>
        <v>24</v>
      </c>
      <c r="K23" s="84">
        <f t="shared" si="27"/>
        <v>7</v>
      </c>
      <c r="L23" s="84">
        <f t="shared" si="27"/>
        <v>12</v>
      </c>
      <c r="M23" s="84">
        <f t="shared" si="27"/>
        <v>4</v>
      </c>
      <c r="N23" s="84">
        <f t="shared" si="27"/>
        <v>47</v>
      </c>
      <c r="O23" s="84">
        <f t="shared" si="27"/>
        <v>98.512820512820568</v>
      </c>
      <c r="P23" s="84">
        <f t="shared" si="27"/>
        <v>52</v>
      </c>
      <c r="Q23" s="84">
        <f t="shared" si="27"/>
        <v>114.8125</v>
      </c>
      <c r="R23" s="84">
        <f t="shared" si="27"/>
        <v>44</v>
      </c>
      <c r="S23" s="84">
        <f t="shared" si="27"/>
        <v>309.32532051282055</v>
      </c>
      <c r="T23" s="84">
        <f t="shared" si="27"/>
        <v>38</v>
      </c>
      <c r="U23" s="84">
        <f t="shared" si="27"/>
        <v>31</v>
      </c>
      <c r="V23" s="84">
        <f t="shared" si="27"/>
        <v>103</v>
      </c>
      <c r="W23" s="84">
        <f t="shared" si="27"/>
        <v>32</v>
      </c>
      <c r="X23" s="84">
        <f t="shared" si="27"/>
        <v>204</v>
      </c>
      <c r="Y23" s="84">
        <f t="shared" si="27"/>
        <v>38</v>
      </c>
      <c r="Z23" s="84">
        <f t="shared" si="27"/>
        <v>31</v>
      </c>
      <c r="AA23" s="84">
        <f t="shared" si="27"/>
        <v>103</v>
      </c>
      <c r="AB23" s="84">
        <f t="shared" si="27"/>
        <v>32</v>
      </c>
      <c r="AC23" s="84">
        <f t="shared" si="27"/>
        <v>204</v>
      </c>
      <c r="AD23" s="84">
        <f t="shared" si="27"/>
        <v>15278940</v>
      </c>
      <c r="AE23" s="84">
        <f t="shared" si="27"/>
        <v>881280</v>
      </c>
      <c r="AF23" s="84">
        <f t="shared" si="27"/>
        <v>1224000</v>
      </c>
      <c r="AG23" s="84">
        <f t="shared" si="27"/>
        <v>489600</v>
      </c>
      <c r="AH23" s="84">
        <f t="shared" si="27"/>
        <v>2007600</v>
      </c>
      <c r="AI23" s="84">
        <f t="shared" si="27"/>
        <v>163200</v>
      </c>
      <c r="AJ23" s="84">
        <f t="shared" si="27"/>
        <v>75000</v>
      </c>
      <c r="AK23" s="84">
        <f t="shared" si="27"/>
        <v>195840</v>
      </c>
      <c r="AL23" s="84">
        <f t="shared" si="27"/>
        <v>6192125.5099999998</v>
      </c>
      <c r="AM23" s="84">
        <f t="shared" si="27"/>
        <v>26507586</v>
      </c>
      <c r="AN23" s="84">
        <f t="shared" si="27"/>
        <v>292198</v>
      </c>
      <c r="AO23" s="84">
        <f t="shared" si="27"/>
        <v>26799784</v>
      </c>
    </row>
    <row r="24" spans="1:41" s="83" customFormat="1" ht="18" customHeight="1">
      <c r="A24" s="79" t="s">
        <v>7</v>
      </c>
      <c r="B24" s="80" t="s">
        <v>663</v>
      </c>
      <c r="C24" s="80" t="s">
        <v>649</v>
      </c>
      <c r="D24" s="81">
        <v>1</v>
      </c>
      <c r="E24" s="86">
        <v>0</v>
      </c>
      <c r="F24" s="86">
        <v>1</v>
      </c>
      <c r="G24" s="86">
        <v>13.487500000000001</v>
      </c>
      <c r="H24" s="86">
        <v>1</v>
      </c>
      <c r="I24" s="82">
        <f t="shared" si="2"/>
        <v>15.487500000000001</v>
      </c>
      <c r="J24" s="81">
        <v>1</v>
      </c>
      <c r="K24" s="81">
        <v>0</v>
      </c>
      <c r="L24" s="81">
        <v>1</v>
      </c>
      <c r="M24" s="81">
        <v>1</v>
      </c>
      <c r="N24" s="82">
        <f t="shared" si="3"/>
        <v>3</v>
      </c>
      <c r="O24" s="82">
        <f>E24+J24</f>
        <v>1</v>
      </c>
      <c r="P24" s="82">
        <f t="shared" ref="P24:R34" si="28">F24+K24</f>
        <v>1</v>
      </c>
      <c r="Q24" s="82">
        <f t="shared" si="28"/>
        <v>14.487500000000001</v>
      </c>
      <c r="R24" s="82">
        <f t="shared" si="28"/>
        <v>2</v>
      </c>
      <c r="S24" s="93">
        <f t="shared" si="5"/>
        <v>18.487500000000001</v>
      </c>
      <c r="T24" s="81">
        <v>1</v>
      </c>
      <c r="U24" s="81">
        <v>1</v>
      </c>
      <c r="V24" s="81">
        <v>14</v>
      </c>
      <c r="W24" s="81">
        <v>1</v>
      </c>
      <c r="X24" s="93">
        <f t="shared" si="6"/>
        <v>17</v>
      </c>
      <c r="Y24" s="81">
        <v>1</v>
      </c>
      <c r="Z24" s="81">
        <v>1</v>
      </c>
      <c r="AA24" s="81">
        <v>14</v>
      </c>
      <c r="AB24" s="81">
        <v>1</v>
      </c>
      <c r="AC24" s="82">
        <f t="shared" si="7"/>
        <v>17</v>
      </c>
      <c r="AD24" s="82">
        <f>(Y24*7050+Z24*6485+AA24*5800+AB24*4900)*12</f>
        <v>1195620</v>
      </c>
      <c r="AE24" s="82">
        <f t="shared" si="8"/>
        <v>73440</v>
      </c>
      <c r="AF24" s="82">
        <f t="shared" si="9"/>
        <v>102000</v>
      </c>
      <c r="AG24" s="82">
        <f t="shared" si="10"/>
        <v>40800</v>
      </c>
      <c r="AH24" s="82">
        <f t="shared" si="11"/>
        <v>159800</v>
      </c>
      <c r="AI24" s="82">
        <f t="shared" si="12"/>
        <v>13600</v>
      </c>
      <c r="AJ24" s="82">
        <f t="shared" si="13"/>
        <v>10000</v>
      </c>
      <c r="AK24" s="82">
        <f t="shared" si="14"/>
        <v>16320</v>
      </c>
      <c r="AL24" s="82">
        <f t="shared" si="15"/>
        <v>516010.46</v>
      </c>
      <c r="AM24" s="82">
        <f t="shared" si="16"/>
        <v>2127590</v>
      </c>
      <c r="AN24" s="120"/>
      <c r="AO24" s="82">
        <f>AM24+AN24</f>
        <v>2127590</v>
      </c>
    </row>
    <row r="25" spans="1:41" ht="18" customHeight="1">
      <c r="A25" s="79" t="s">
        <v>7</v>
      </c>
      <c r="B25" s="80" t="s">
        <v>664</v>
      </c>
      <c r="C25" s="80" t="s">
        <v>649</v>
      </c>
      <c r="D25" s="81">
        <v>2</v>
      </c>
      <c r="E25" s="86">
        <v>0</v>
      </c>
      <c r="F25" s="86">
        <v>2</v>
      </c>
      <c r="G25" s="86">
        <v>29.024999999999999</v>
      </c>
      <c r="H25" s="86">
        <v>2</v>
      </c>
      <c r="I25" s="82">
        <f t="shared" si="2"/>
        <v>33.024999999999999</v>
      </c>
      <c r="J25" s="81">
        <v>4</v>
      </c>
      <c r="K25" s="81">
        <v>0</v>
      </c>
      <c r="L25" s="81">
        <v>1</v>
      </c>
      <c r="M25" s="81">
        <v>0</v>
      </c>
      <c r="N25" s="82">
        <f t="shared" si="3"/>
        <v>5</v>
      </c>
      <c r="O25" s="82">
        <f t="shared" ref="O25:O34" si="29">E25+J25</f>
        <v>4</v>
      </c>
      <c r="P25" s="82">
        <f t="shared" si="28"/>
        <v>2</v>
      </c>
      <c r="Q25" s="82">
        <f t="shared" si="28"/>
        <v>30.024999999999999</v>
      </c>
      <c r="R25" s="82">
        <f t="shared" si="28"/>
        <v>2</v>
      </c>
      <c r="S25" s="93">
        <f t="shared" si="5"/>
        <v>38.024999999999999</v>
      </c>
      <c r="T25" s="81">
        <v>3</v>
      </c>
      <c r="U25" s="81">
        <v>2</v>
      </c>
      <c r="V25" s="81">
        <v>29</v>
      </c>
      <c r="W25" s="81">
        <v>2</v>
      </c>
      <c r="X25" s="93">
        <f t="shared" si="6"/>
        <v>36</v>
      </c>
      <c r="Y25" s="81">
        <v>3</v>
      </c>
      <c r="Z25" s="81">
        <v>2</v>
      </c>
      <c r="AA25" s="81">
        <v>29</v>
      </c>
      <c r="AB25" s="81">
        <v>2</v>
      </c>
      <c r="AC25" s="82">
        <f t="shared" si="7"/>
        <v>36</v>
      </c>
      <c r="AD25" s="82">
        <f>(Y25*7050+Z25*6485+AA25*5800+AB25*4900)*12</f>
        <v>2545440</v>
      </c>
      <c r="AE25" s="82">
        <f t="shared" si="8"/>
        <v>155520</v>
      </c>
      <c r="AF25" s="82">
        <f t="shared" si="9"/>
        <v>216000</v>
      </c>
      <c r="AG25" s="82">
        <f t="shared" si="10"/>
        <v>86400</v>
      </c>
      <c r="AH25" s="82">
        <f t="shared" si="11"/>
        <v>338400</v>
      </c>
      <c r="AI25" s="82">
        <f t="shared" si="12"/>
        <v>28800</v>
      </c>
      <c r="AJ25" s="82">
        <f t="shared" si="13"/>
        <v>20000</v>
      </c>
      <c r="AK25" s="82">
        <f t="shared" si="14"/>
        <v>34560</v>
      </c>
      <c r="AL25" s="82">
        <f t="shared" si="15"/>
        <v>1092728.03</v>
      </c>
      <c r="AM25" s="82">
        <f t="shared" si="16"/>
        <v>4517848</v>
      </c>
      <c r="AN25" s="119"/>
      <c r="AO25" s="82">
        <f t="shared" ref="AO25:AO34" si="30">AM25+AN25</f>
        <v>4517848</v>
      </c>
    </row>
    <row r="26" spans="1:41" ht="18" customHeight="1">
      <c r="A26" s="79" t="s">
        <v>7</v>
      </c>
      <c r="B26" s="80" t="s">
        <v>665</v>
      </c>
      <c r="C26" s="80" t="s">
        <v>649</v>
      </c>
      <c r="D26" s="81">
        <v>1</v>
      </c>
      <c r="E26" s="86">
        <v>11.726495726495699</v>
      </c>
      <c r="F26" s="86">
        <v>3</v>
      </c>
      <c r="G26" s="86">
        <v>20.225000000000001</v>
      </c>
      <c r="H26" s="86">
        <v>2</v>
      </c>
      <c r="I26" s="82">
        <f t="shared" si="2"/>
        <v>36.9514957264957</v>
      </c>
      <c r="J26" s="81">
        <v>0</v>
      </c>
      <c r="K26" s="81">
        <v>1</v>
      </c>
      <c r="L26" s="81">
        <v>0</v>
      </c>
      <c r="M26" s="81">
        <v>0</v>
      </c>
      <c r="N26" s="82">
        <f t="shared" si="3"/>
        <v>1</v>
      </c>
      <c r="O26" s="82">
        <f t="shared" si="29"/>
        <v>11.726495726495699</v>
      </c>
      <c r="P26" s="82">
        <f t="shared" si="28"/>
        <v>4</v>
      </c>
      <c r="Q26" s="82">
        <f t="shared" si="28"/>
        <v>20.225000000000001</v>
      </c>
      <c r="R26" s="82">
        <f t="shared" si="28"/>
        <v>2</v>
      </c>
      <c r="S26" s="93">
        <f t="shared" si="5"/>
        <v>37.9514957264957</v>
      </c>
      <c r="T26" s="81">
        <v>11</v>
      </c>
      <c r="U26" s="81">
        <v>5</v>
      </c>
      <c r="V26" s="81">
        <v>19</v>
      </c>
      <c r="W26" s="81">
        <v>2</v>
      </c>
      <c r="X26" s="93">
        <f t="shared" si="6"/>
        <v>37</v>
      </c>
      <c r="Y26" s="81">
        <v>11</v>
      </c>
      <c r="Z26" s="81">
        <v>5</v>
      </c>
      <c r="AA26" s="81">
        <v>19</v>
      </c>
      <c r="AB26" s="81">
        <v>2</v>
      </c>
      <c r="AC26" s="82">
        <f t="shared" si="7"/>
        <v>37</v>
      </c>
      <c r="AD26" s="82">
        <f>(Y26*7050+Z26*6485+AA26*5800+AB26*4900)*12</f>
        <v>2759700</v>
      </c>
      <c r="AE26" s="82">
        <f t="shared" si="8"/>
        <v>159840</v>
      </c>
      <c r="AF26" s="82">
        <f t="shared" si="9"/>
        <v>222000</v>
      </c>
      <c r="AG26" s="82">
        <f t="shared" si="10"/>
        <v>88800</v>
      </c>
      <c r="AH26" s="82">
        <f t="shared" si="11"/>
        <v>347800</v>
      </c>
      <c r="AI26" s="82">
        <f t="shared" si="12"/>
        <v>29600</v>
      </c>
      <c r="AJ26" s="82">
        <f t="shared" si="13"/>
        <v>10000</v>
      </c>
      <c r="AK26" s="82">
        <f t="shared" si="14"/>
        <v>35520</v>
      </c>
      <c r="AL26" s="82">
        <f t="shared" si="15"/>
        <v>1123081.5900000001</v>
      </c>
      <c r="AM26" s="82">
        <f t="shared" si="16"/>
        <v>4776342</v>
      </c>
      <c r="AN26" s="119"/>
      <c r="AO26" s="82">
        <f t="shared" si="30"/>
        <v>4776342</v>
      </c>
    </row>
    <row r="27" spans="1:41" s="83" customFormat="1" ht="18" customHeight="1">
      <c r="A27" s="79" t="s">
        <v>7</v>
      </c>
      <c r="B27" s="80" t="s">
        <v>666</v>
      </c>
      <c r="C27" s="80" t="s">
        <v>649</v>
      </c>
      <c r="D27" s="81">
        <v>1</v>
      </c>
      <c r="E27" s="86">
        <v>0</v>
      </c>
      <c r="F27" s="86">
        <v>2</v>
      </c>
      <c r="G27" s="86">
        <v>12.8125</v>
      </c>
      <c r="H27" s="86">
        <v>2</v>
      </c>
      <c r="I27" s="82">
        <f t="shared" si="2"/>
        <v>16.8125</v>
      </c>
      <c r="J27" s="81">
        <v>2</v>
      </c>
      <c r="K27" s="81">
        <v>0</v>
      </c>
      <c r="L27" s="81">
        <v>1</v>
      </c>
      <c r="M27" s="81">
        <v>0</v>
      </c>
      <c r="N27" s="82">
        <f t="shared" si="3"/>
        <v>3</v>
      </c>
      <c r="O27" s="82">
        <f t="shared" si="29"/>
        <v>2</v>
      </c>
      <c r="P27" s="82">
        <f t="shared" si="28"/>
        <v>2</v>
      </c>
      <c r="Q27" s="82">
        <f t="shared" si="28"/>
        <v>13.8125</v>
      </c>
      <c r="R27" s="82">
        <f t="shared" si="28"/>
        <v>2</v>
      </c>
      <c r="S27" s="93">
        <f t="shared" si="5"/>
        <v>19.8125</v>
      </c>
      <c r="T27" s="81">
        <v>2</v>
      </c>
      <c r="U27" s="81">
        <v>2</v>
      </c>
      <c r="V27" s="81">
        <v>13</v>
      </c>
      <c r="W27" s="81">
        <v>2</v>
      </c>
      <c r="X27" s="93">
        <f t="shared" si="6"/>
        <v>19</v>
      </c>
      <c r="Y27" s="81">
        <v>2</v>
      </c>
      <c r="Z27" s="81">
        <v>2</v>
      </c>
      <c r="AA27" s="81">
        <v>13</v>
      </c>
      <c r="AB27" s="81">
        <v>2</v>
      </c>
      <c r="AC27" s="82">
        <f t="shared" si="7"/>
        <v>19</v>
      </c>
      <c r="AD27" s="82">
        <f>(Y27*7050+Z27*6485+AA27*5800+AB27*4900)*12</f>
        <v>1347240</v>
      </c>
      <c r="AE27" s="82">
        <f t="shared" si="8"/>
        <v>82080</v>
      </c>
      <c r="AF27" s="82">
        <f t="shared" si="9"/>
        <v>114000</v>
      </c>
      <c r="AG27" s="82">
        <f t="shared" si="10"/>
        <v>45600</v>
      </c>
      <c r="AH27" s="82">
        <f t="shared" si="11"/>
        <v>178600</v>
      </c>
      <c r="AI27" s="82">
        <f t="shared" si="12"/>
        <v>15200</v>
      </c>
      <c r="AJ27" s="82">
        <f t="shared" si="13"/>
        <v>10000</v>
      </c>
      <c r="AK27" s="82">
        <f t="shared" si="14"/>
        <v>18240</v>
      </c>
      <c r="AL27" s="82">
        <f t="shared" si="15"/>
        <v>576717.56999999995</v>
      </c>
      <c r="AM27" s="82">
        <f t="shared" si="16"/>
        <v>2387678</v>
      </c>
      <c r="AN27" s="120"/>
      <c r="AO27" s="82">
        <f t="shared" si="30"/>
        <v>2387678</v>
      </c>
    </row>
    <row r="28" spans="1:41" s="83" customFormat="1" ht="18" customHeight="1">
      <c r="A28" s="79" t="s">
        <v>7</v>
      </c>
      <c r="B28" s="80" t="s">
        <v>471</v>
      </c>
      <c r="C28" s="80" t="s">
        <v>649</v>
      </c>
      <c r="D28" s="81">
        <v>1</v>
      </c>
      <c r="E28" s="86">
        <v>0</v>
      </c>
      <c r="F28" s="86">
        <v>2</v>
      </c>
      <c r="G28" s="86">
        <v>14.1875</v>
      </c>
      <c r="H28" s="86">
        <v>1</v>
      </c>
      <c r="I28" s="82">
        <f t="shared" si="2"/>
        <v>17.1875</v>
      </c>
      <c r="J28" s="81">
        <v>0</v>
      </c>
      <c r="K28" s="81">
        <v>0</v>
      </c>
      <c r="L28" s="81">
        <v>2</v>
      </c>
      <c r="M28" s="81">
        <v>0</v>
      </c>
      <c r="N28" s="82">
        <f t="shared" si="3"/>
        <v>2</v>
      </c>
      <c r="O28" s="82">
        <f t="shared" si="29"/>
        <v>0</v>
      </c>
      <c r="P28" s="82">
        <f t="shared" si="28"/>
        <v>2</v>
      </c>
      <c r="Q28" s="82">
        <f t="shared" si="28"/>
        <v>16.1875</v>
      </c>
      <c r="R28" s="82">
        <f t="shared" si="28"/>
        <v>1</v>
      </c>
      <c r="S28" s="93">
        <f t="shared" si="5"/>
        <v>19.1875</v>
      </c>
      <c r="T28" s="81">
        <v>0</v>
      </c>
      <c r="U28" s="81">
        <v>2</v>
      </c>
      <c r="V28" s="81">
        <v>16</v>
      </c>
      <c r="W28" s="81">
        <v>1</v>
      </c>
      <c r="X28" s="93">
        <f t="shared" si="6"/>
        <v>19</v>
      </c>
      <c r="Y28" s="81">
        <v>0</v>
      </c>
      <c r="Z28" s="81">
        <v>2</v>
      </c>
      <c r="AA28" s="81">
        <v>16</v>
      </c>
      <c r="AB28" s="81">
        <v>1</v>
      </c>
      <c r="AC28" s="82">
        <f t="shared" si="7"/>
        <v>19</v>
      </c>
      <c r="AD28" s="82">
        <f>(Y28*7050+Z28*6485+AA28*5800+AB28*4900)*12</f>
        <v>1328040</v>
      </c>
      <c r="AE28" s="82">
        <f t="shared" si="8"/>
        <v>82080</v>
      </c>
      <c r="AF28" s="82">
        <f t="shared" si="9"/>
        <v>114000</v>
      </c>
      <c r="AG28" s="82">
        <f t="shared" si="10"/>
        <v>45600</v>
      </c>
      <c r="AH28" s="82">
        <f t="shared" si="11"/>
        <v>178600</v>
      </c>
      <c r="AI28" s="82">
        <f t="shared" si="12"/>
        <v>15200</v>
      </c>
      <c r="AJ28" s="82">
        <f t="shared" si="13"/>
        <v>10000</v>
      </c>
      <c r="AK28" s="82">
        <f t="shared" si="14"/>
        <v>18240</v>
      </c>
      <c r="AL28" s="82">
        <f t="shared" si="15"/>
        <v>576717.56999999995</v>
      </c>
      <c r="AM28" s="82">
        <f t="shared" si="16"/>
        <v>2368478</v>
      </c>
      <c r="AN28" s="120"/>
      <c r="AO28" s="82">
        <f t="shared" si="30"/>
        <v>2368478</v>
      </c>
    </row>
    <row r="29" spans="1:41" ht="18" customHeight="1">
      <c r="A29" s="79" t="s">
        <v>7</v>
      </c>
      <c r="B29" s="80" t="s">
        <v>667</v>
      </c>
      <c r="C29" s="80" t="s">
        <v>972</v>
      </c>
      <c r="D29" s="81"/>
      <c r="E29" s="86">
        <v>37</v>
      </c>
      <c r="F29" s="86">
        <v>11</v>
      </c>
      <c r="G29" s="86">
        <v>0</v>
      </c>
      <c r="H29" s="86">
        <v>9</v>
      </c>
      <c r="I29" s="82">
        <f t="shared" si="2"/>
        <v>57</v>
      </c>
      <c r="J29" s="81">
        <v>3</v>
      </c>
      <c r="K29" s="81">
        <v>4</v>
      </c>
      <c r="L29" s="81">
        <v>0</v>
      </c>
      <c r="M29" s="81">
        <v>0</v>
      </c>
      <c r="N29" s="82">
        <f t="shared" si="3"/>
        <v>7</v>
      </c>
      <c r="O29" s="82">
        <f t="shared" si="29"/>
        <v>40</v>
      </c>
      <c r="P29" s="82">
        <f t="shared" si="28"/>
        <v>15</v>
      </c>
      <c r="Q29" s="82">
        <f t="shared" si="28"/>
        <v>0</v>
      </c>
      <c r="R29" s="82">
        <f t="shared" si="28"/>
        <v>9</v>
      </c>
      <c r="S29" s="93">
        <f t="shared" si="5"/>
        <v>64</v>
      </c>
      <c r="T29" s="81">
        <v>10</v>
      </c>
      <c r="U29" s="81">
        <v>8</v>
      </c>
      <c r="V29" s="81">
        <v>0</v>
      </c>
      <c r="W29" s="81">
        <v>8</v>
      </c>
      <c r="X29" s="93">
        <f t="shared" si="6"/>
        <v>26</v>
      </c>
      <c r="Y29" s="81">
        <v>10</v>
      </c>
      <c r="Z29" s="81">
        <v>8</v>
      </c>
      <c r="AA29" s="81">
        <v>0</v>
      </c>
      <c r="AB29" s="81">
        <v>8</v>
      </c>
      <c r="AC29" s="82">
        <f t="shared" si="7"/>
        <v>26</v>
      </c>
      <c r="AD29" s="82">
        <f>(Y29*9230+Z29*7215+AA29*5800+AB29*5100)*12</f>
        <v>2289840</v>
      </c>
      <c r="AE29" s="82">
        <f t="shared" si="8"/>
        <v>112320</v>
      </c>
      <c r="AF29" s="82">
        <f t="shared" si="9"/>
        <v>156000</v>
      </c>
      <c r="AG29" s="82">
        <f t="shared" si="10"/>
        <v>62400</v>
      </c>
      <c r="AH29" s="82">
        <f>Y29*15400+(Z29+AA29+AB29)*9400</f>
        <v>304400</v>
      </c>
      <c r="AI29" s="82">
        <f t="shared" si="12"/>
        <v>20800</v>
      </c>
      <c r="AJ29" s="82">
        <f t="shared" si="13"/>
        <v>0</v>
      </c>
      <c r="AK29" s="82">
        <f t="shared" si="14"/>
        <v>24960</v>
      </c>
      <c r="AL29" s="82">
        <f t="shared" si="15"/>
        <v>789192.47</v>
      </c>
      <c r="AM29" s="82">
        <f t="shared" si="16"/>
        <v>3759912</v>
      </c>
      <c r="AN29" s="119">
        <v>146697.5</v>
      </c>
      <c r="AO29" s="120">
        <f t="shared" si="30"/>
        <v>3906609.5</v>
      </c>
    </row>
    <row r="30" spans="1:41" ht="18" customHeight="1">
      <c r="A30" s="79" t="s">
        <v>7</v>
      </c>
      <c r="B30" s="80" t="s">
        <v>668</v>
      </c>
      <c r="C30" s="80" t="s">
        <v>959</v>
      </c>
      <c r="D30" s="81"/>
      <c r="E30" s="86">
        <v>7.6206896551719865</v>
      </c>
      <c r="F30" s="86">
        <v>12</v>
      </c>
      <c r="G30" s="86">
        <v>0</v>
      </c>
      <c r="H30" s="86">
        <v>10</v>
      </c>
      <c r="I30" s="82">
        <f t="shared" si="2"/>
        <v>29.620689655171986</v>
      </c>
      <c r="J30" s="81">
        <v>1</v>
      </c>
      <c r="K30" s="81">
        <v>0</v>
      </c>
      <c r="L30" s="81">
        <v>0</v>
      </c>
      <c r="M30" s="81">
        <v>0</v>
      </c>
      <c r="N30" s="82">
        <f t="shared" si="3"/>
        <v>1</v>
      </c>
      <c r="O30" s="82">
        <f t="shared" si="29"/>
        <v>8.6206896551719865</v>
      </c>
      <c r="P30" s="82">
        <f t="shared" si="28"/>
        <v>12</v>
      </c>
      <c r="Q30" s="82">
        <f t="shared" si="28"/>
        <v>0</v>
      </c>
      <c r="R30" s="82">
        <f t="shared" si="28"/>
        <v>10</v>
      </c>
      <c r="S30" s="93">
        <f t="shared" si="5"/>
        <v>30.620689655171986</v>
      </c>
      <c r="T30" s="81">
        <v>4</v>
      </c>
      <c r="U30" s="81">
        <v>7</v>
      </c>
      <c r="V30" s="81">
        <v>0</v>
      </c>
      <c r="W30" s="81">
        <v>11</v>
      </c>
      <c r="X30" s="93">
        <f t="shared" si="6"/>
        <v>22</v>
      </c>
      <c r="Y30" s="81">
        <v>4</v>
      </c>
      <c r="Z30" s="81">
        <v>7</v>
      </c>
      <c r="AA30" s="81">
        <v>0</v>
      </c>
      <c r="AB30" s="81">
        <v>11</v>
      </c>
      <c r="AC30" s="82">
        <f t="shared" si="7"/>
        <v>22</v>
      </c>
      <c r="AD30" s="82">
        <f>(Y30*7050+Z30*6485+AA30*5800+AB30*4900)*12</f>
        <v>1529940</v>
      </c>
      <c r="AE30" s="82">
        <f t="shared" si="8"/>
        <v>95040</v>
      </c>
      <c r="AF30" s="82">
        <f t="shared" si="9"/>
        <v>132000</v>
      </c>
      <c r="AG30" s="82">
        <f t="shared" si="10"/>
        <v>52800</v>
      </c>
      <c r="AH30" s="82">
        <f t="shared" si="11"/>
        <v>206800</v>
      </c>
      <c r="AI30" s="82">
        <f t="shared" si="12"/>
        <v>17600</v>
      </c>
      <c r="AJ30" s="82">
        <f t="shared" si="13"/>
        <v>0</v>
      </c>
      <c r="AK30" s="82">
        <f t="shared" si="14"/>
        <v>21120</v>
      </c>
      <c r="AL30" s="82">
        <f t="shared" si="15"/>
        <v>667778.24</v>
      </c>
      <c r="AM30" s="82">
        <f t="shared" si="16"/>
        <v>2723078</v>
      </c>
      <c r="AN30" s="119">
        <v>31510.25</v>
      </c>
      <c r="AO30" s="120">
        <f t="shared" si="30"/>
        <v>2754588.25</v>
      </c>
    </row>
    <row r="31" spans="1:41" ht="18" customHeight="1">
      <c r="A31" s="79" t="s">
        <v>7</v>
      </c>
      <c r="B31" s="80" t="s">
        <v>669</v>
      </c>
      <c r="C31" s="80" t="s">
        <v>972</v>
      </c>
      <c r="D31" s="81"/>
      <c r="E31" s="86">
        <v>0</v>
      </c>
      <c r="F31" s="86">
        <v>10</v>
      </c>
      <c r="G31" s="86">
        <v>0</v>
      </c>
      <c r="H31" s="86">
        <v>9</v>
      </c>
      <c r="I31" s="82">
        <f t="shared" si="2"/>
        <v>19</v>
      </c>
      <c r="J31" s="81">
        <v>0</v>
      </c>
      <c r="K31" s="81">
        <v>2</v>
      </c>
      <c r="L31" s="81">
        <v>0</v>
      </c>
      <c r="M31" s="81">
        <v>0</v>
      </c>
      <c r="N31" s="82">
        <f t="shared" si="3"/>
        <v>2</v>
      </c>
      <c r="O31" s="82">
        <f t="shared" si="29"/>
        <v>0</v>
      </c>
      <c r="P31" s="82">
        <f t="shared" si="28"/>
        <v>12</v>
      </c>
      <c r="Q31" s="82">
        <f t="shared" si="28"/>
        <v>0</v>
      </c>
      <c r="R31" s="82">
        <f t="shared" si="28"/>
        <v>9</v>
      </c>
      <c r="S31" s="93">
        <f t="shared" si="5"/>
        <v>21</v>
      </c>
      <c r="T31" s="81">
        <v>0</v>
      </c>
      <c r="U31" s="81">
        <v>3</v>
      </c>
      <c r="V31" s="81">
        <v>0</v>
      </c>
      <c r="W31" s="81">
        <v>12</v>
      </c>
      <c r="X31" s="93">
        <f t="shared" si="6"/>
        <v>15</v>
      </c>
      <c r="Y31" s="81">
        <v>0</v>
      </c>
      <c r="Z31" s="81">
        <v>3</v>
      </c>
      <c r="AA31" s="81">
        <v>0</v>
      </c>
      <c r="AB31" s="81">
        <v>12</v>
      </c>
      <c r="AC31" s="82">
        <f t="shared" si="7"/>
        <v>15</v>
      </c>
      <c r="AD31" s="82">
        <f t="shared" ref="AD31:AD32" si="31">(Y31*9230+Z31*7215+AA31*5800+AB31*5100)*12</f>
        <v>994140</v>
      </c>
      <c r="AE31" s="82">
        <f t="shared" si="8"/>
        <v>64800</v>
      </c>
      <c r="AF31" s="82">
        <f t="shared" si="9"/>
        <v>90000</v>
      </c>
      <c r="AG31" s="82">
        <f t="shared" si="10"/>
        <v>36000</v>
      </c>
      <c r="AH31" s="82">
        <f t="shared" ref="AH31:AH32" si="32">Y31*15400+(Z31+AA31+AB31)*9400</f>
        <v>141000</v>
      </c>
      <c r="AI31" s="82">
        <f t="shared" si="12"/>
        <v>12000</v>
      </c>
      <c r="AJ31" s="82">
        <f t="shared" si="13"/>
        <v>0</v>
      </c>
      <c r="AK31" s="82">
        <f t="shared" si="14"/>
        <v>14400</v>
      </c>
      <c r="AL31" s="82">
        <f t="shared" si="15"/>
        <v>455303.35</v>
      </c>
      <c r="AM31" s="82">
        <f t="shared" si="16"/>
        <v>1807643</v>
      </c>
      <c r="AN31" s="119"/>
      <c r="AO31" s="120">
        <f t="shared" si="30"/>
        <v>1807643</v>
      </c>
    </row>
    <row r="32" spans="1:41" ht="18" customHeight="1">
      <c r="A32" s="79" t="s">
        <v>7</v>
      </c>
      <c r="B32" s="80" t="s">
        <v>670</v>
      </c>
      <c r="C32" s="80" t="s">
        <v>464</v>
      </c>
      <c r="D32" s="81"/>
      <c r="E32" s="86">
        <v>32.831932773109003</v>
      </c>
      <c r="F32" s="86">
        <v>11</v>
      </c>
      <c r="G32" s="86">
        <v>0</v>
      </c>
      <c r="H32" s="86">
        <v>6</v>
      </c>
      <c r="I32" s="82">
        <f t="shared" si="2"/>
        <v>49.831932773109003</v>
      </c>
      <c r="J32" s="81">
        <v>0</v>
      </c>
      <c r="K32" s="81">
        <v>2</v>
      </c>
      <c r="L32" s="81">
        <v>0</v>
      </c>
      <c r="M32" s="81">
        <v>1</v>
      </c>
      <c r="N32" s="82">
        <f t="shared" si="3"/>
        <v>3</v>
      </c>
      <c r="O32" s="82">
        <f t="shared" si="29"/>
        <v>32.831932773109003</v>
      </c>
      <c r="P32" s="82">
        <f t="shared" si="28"/>
        <v>13</v>
      </c>
      <c r="Q32" s="82">
        <f t="shared" si="28"/>
        <v>0</v>
      </c>
      <c r="R32" s="82">
        <f t="shared" si="28"/>
        <v>7</v>
      </c>
      <c r="S32" s="93">
        <f t="shared" si="5"/>
        <v>52.831932773109003</v>
      </c>
      <c r="T32" s="81">
        <v>9</v>
      </c>
      <c r="U32" s="81">
        <v>9</v>
      </c>
      <c r="V32" s="81">
        <v>0</v>
      </c>
      <c r="W32" s="81">
        <v>6</v>
      </c>
      <c r="X32" s="93">
        <f t="shared" si="6"/>
        <v>24</v>
      </c>
      <c r="Y32" s="81">
        <v>9</v>
      </c>
      <c r="Z32" s="81">
        <v>9</v>
      </c>
      <c r="AA32" s="81">
        <v>0</v>
      </c>
      <c r="AB32" s="81">
        <v>6</v>
      </c>
      <c r="AC32" s="82">
        <f t="shared" si="7"/>
        <v>24</v>
      </c>
      <c r="AD32" s="82">
        <f t="shared" si="31"/>
        <v>2143260</v>
      </c>
      <c r="AE32" s="82">
        <f t="shared" si="8"/>
        <v>103680</v>
      </c>
      <c r="AF32" s="82">
        <f t="shared" si="9"/>
        <v>144000</v>
      </c>
      <c r="AG32" s="82">
        <f t="shared" si="10"/>
        <v>57600</v>
      </c>
      <c r="AH32" s="82">
        <f t="shared" si="32"/>
        <v>279600</v>
      </c>
      <c r="AI32" s="82">
        <f t="shared" si="12"/>
        <v>19200</v>
      </c>
      <c r="AJ32" s="82">
        <f t="shared" si="13"/>
        <v>0</v>
      </c>
      <c r="AK32" s="82">
        <f t="shared" si="14"/>
        <v>23040</v>
      </c>
      <c r="AL32" s="82">
        <f t="shared" si="15"/>
        <v>728485.36</v>
      </c>
      <c r="AM32" s="82">
        <f t="shared" si="16"/>
        <v>3498865</v>
      </c>
      <c r="AN32" s="119">
        <v>64001</v>
      </c>
      <c r="AO32" s="120">
        <f t="shared" si="30"/>
        <v>3562866</v>
      </c>
    </row>
    <row r="33" spans="1:41" s="83" customFormat="1" ht="18" customHeight="1">
      <c r="A33" s="79" t="s">
        <v>7</v>
      </c>
      <c r="B33" s="80" t="s">
        <v>671</v>
      </c>
      <c r="C33" s="80" t="s">
        <v>649</v>
      </c>
      <c r="D33" s="81">
        <v>1</v>
      </c>
      <c r="E33" s="86">
        <v>0</v>
      </c>
      <c r="F33" s="86">
        <v>2</v>
      </c>
      <c r="G33" s="86">
        <v>14.1</v>
      </c>
      <c r="H33" s="86">
        <v>3</v>
      </c>
      <c r="I33" s="82">
        <f t="shared" si="2"/>
        <v>19.100000000000001</v>
      </c>
      <c r="J33" s="81">
        <v>3</v>
      </c>
      <c r="K33" s="81">
        <v>1</v>
      </c>
      <c r="L33" s="81">
        <v>0</v>
      </c>
      <c r="M33" s="81">
        <v>0</v>
      </c>
      <c r="N33" s="82">
        <f t="shared" si="3"/>
        <v>4</v>
      </c>
      <c r="O33" s="82">
        <f t="shared" si="29"/>
        <v>3</v>
      </c>
      <c r="P33" s="82">
        <f t="shared" si="28"/>
        <v>3</v>
      </c>
      <c r="Q33" s="82">
        <f t="shared" si="28"/>
        <v>14.1</v>
      </c>
      <c r="R33" s="82">
        <f t="shared" si="28"/>
        <v>3</v>
      </c>
      <c r="S33" s="93">
        <f t="shared" si="5"/>
        <v>23.1</v>
      </c>
      <c r="T33" s="81">
        <v>3</v>
      </c>
      <c r="U33" s="81">
        <v>3</v>
      </c>
      <c r="V33" s="81">
        <v>12</v>
      </c>
      <c r="W33" s="81">
        <v>4</v>
      </c>
      <c r="X33" s="93">
        <f t="shared" si="6"/>
        <v>22</v>
      </c>
      <c r="Y33" s="81">
        <v>3</v>
      </c>
      <c r="Z33" s="81">
        <v>3</v>
      </c>
      <c r="AA33" s="81">
        <v>12</v>
      </c>
      <c r="AB33" s="81">
        <v>4</v>
      </c>
      <c r="AC33" s="82">
        <f t="shared" si="7"/>
        <v>22</v>
      </c>
      <c r="AD33" s="82">
        <f>(Y33*7050+Z33*6485+AA33*5800+AB33*4900)*12</f>
        <v>1557660</v>
      </c>
      <c r="AE33" s="82">
        <f t="shared" si="8"/>
        <v>95040</v>
      </c>
      <c r="AF33" s="82">
        <f t="shared" si="9"/>
        <v>132000</v>
      </c>
      <c r="AG33" s="82">
        <f t="shared" si="10"/>
        <v>52800</v>
      </c>
      <c r="AH33" s="82">
        <f t="shared" si="11"/>
        <v>206800</v>
      </c>
      <c r="AI33" s="82">
        <f t="shared" si="12"/>
        <v>17600</v>
      </c>
      <c r="AJ33" s="82">
        <f t="shared" si="13"/>
        <v>10000</v>
      </c>
      <c r="AK33" s="82">
        <f t="shared" si="14"/>
        <v>21120</v>
      </c>
      <c r="AL33" s="82">
        <f t="shared" si="15"/>
        <v>667778.24</v>
      </c>
      <c r="AM33" s="82">
        <f t="shared" si="16"/>
        <v>2760798</v>
      </c>
      <c r="AN33" s="120"/>
      <c r="AO33" s="82">
        <f t="shared" si="30"/>
        <v>2760798</v>
      </c>
    </row>
    <row r="34" spans="1:41" ht="18" customHeight="1">
      <c r="A34" s="79" t="s">
        <v>7</v>
      </c>
      <c r="B34" s="80" t="s">
        <v>672</v>
      </c>
      <c r="C34" s="80" t="s">
        <v>649</v>
      </c>
      <c r="D34" s="81">
        <v>1</v>
      </c>
      <c r="E34" s="86">
        <v>11.316239316239297</v>
      </c>
      <c r="F34" s="86">
        <v>3</v>
      </c>
      <c r="G34" s="86">
        <v>21.75</v>
      </c>
      <c r="H34" s="86">
        <v>3</v>
      </c>
      <c r="I34" s="82">
        <f t="shared" si="2"/>
        <v>39.066239316239297</v>
      </c>
      <c r="J34" s="81">
        <v>0</v>
      </c>
      <c r="K34" s="81">
        <v>0</v>
      </c>
      <c r="L34" s="81">
        <v>0</v>
      </c>
      <c r="M34" s="81">
        <v>0</v>
      </c>
      <c r="N34" s="82">
        <f t="shared" si="3"/>
        <v>0</v>
      </c>
      <c r="O34" s="82">
        <f t="shared" si="29"/>
        <v>11.316239316239297</v>
      </c>
      <c r="P34" s="82">
        <f t="shared" si="28"/>
        <v>3</v>
      </c>
      <c r="Q34" s="82">
        <f t="shared" si="28"/>
        <v>21.75</v>
      </c>
      <c r="R34" s="82">
        <f t="shared" si="28"/>
        <v>3</v>
      </c>
      <c r="S34" s="93">
        <f t="shared" si="5"/>
        <v>39.066239316239297</v>
      </c>
      <c r="T34" s="81">
        <v>11</v>
      </c>
      <c r="U34" s="81">
        <v>4</v>
      </c>
      <c r="V34" s="81">
        <v>21</v>
      </c>
      <c r="W34" s="81">
        <v>3</v>
      </c>
      <c r="X34" s="93">
        <f t="shared" si="6"/>
        <v>39</v>
      </c>
      <c r="Y34" s="81">
        <v>11</v>
      </c>
      <c r="Z34" s="81">
        <v>4</v>
      </c>
      <c r="AA34" s="81">
        <v>21</v>
      </c>
      <c r="AB34" s="81">
        <v>3</v>
      </c>
      <c r="AC34" s="82">
        <f t="shared" si="7"/>
        <v>39</v>
      </c>
      <c r="AD34" s="82">
        <f>(Y34*7050+Z34*6485+AA34*5800+AB34*4900)*12</f>
        <v>2879880</v>
      </c>
      <c r="AE34" s="82">
        <f t="shared" si="8"/>
        <v>168480</v>
      </c>
      <c r="AF34" s="82">
        <f t="shared" si="9"/>
        <v>234000</v>
      </c>
      <c r="AG34" s="82">
        <f t="shared" si="10"/>
        <v>93600</v>
      </c>
      <c r="AH34" s="82">
        <f t="shared" si="11"/>
        <v>366600</v>
      </c>
      <c r="AI34" s="82">
        <f t="shared" si="12"/>
        <v>31200</v>
      </c>
      <c r="AJ34" s="82">
        <f t="shared" si="13"/>
        <v>10000</v>
      </c>
      <c r="AK34" s="82">
        <f t="shared" si="14"/>
        <v>37440</v>
      </c>
      <c r="AL34" s="82">
        <f t="shared" si="15"/>
        <v>1183788.7</v>
      </c>
      <c r="AM34" s="82">
        <f t="shared" si="16"/>
        <v>5004989</v>
      </c>
      <c r="AN34" s="119"/>
      <c r="AO34" s="82">
        <f t="shared" si="30"/>
        <v>5004989</v>
      </c>
    </row>
    <row r="35" spans="1:41" s="85" customFormat="1" ht="18" customHeight="1">
      <c r="A35" s="164"/>
      <c r="B35" s="164" t="s">
        <v>673</v>
      </c>
      <c r="C35" s="164"/>
      <c r="D35" s="84">
        <f>SUM(D24:D34)</f>
        <v>8</v>
      </c>
      <c r="E35" s="84">
        <f t="shared" ref="E35:AO35" si="33">SUM(E24:E34)</f>
        <v>100.49535747101598</v>
      </c>
      <c r="F35" s="84">
        <f t="shared" si="33"/>
        <v>59</v>
      </c>
      <c r="G35" s="84">
        <f t="shared" si="33"/>
        <v>125.58750000000001</v>
      </c>
      <c r="H35" s="84">
        <f t="shared" si="33"/>
        <v>48</v>
      </c>
      <c r="I35" s="84">
        <f t="shared" si="33"/>
        <v>333.08285747101604</v>
      </c>
      <c r="J35" s="84">
        <f t="shared" si="33"/>
        <v>14</v>
      </c>
      <c r="K35" s="84">
        <f t="shared" si="33"/>
        <v>10</v>
      </c>
      <c r="L35" s="84">
        <f t="shared" si="33"/>
        <v>5</v>
      </c>
      <c r="M35" s="84">
        <f t="shared" si="33"/>
        <v>2</v>
      </c>
      <c r="N35" s="84">
        <f t="shared" si="33"/>
        <v>31</v>
      </c>
      <c r="O35" s="84">
        <f t="shared" si="33"/>
        <v>114.49535747101598</v>
      </c>
      <c r="P35" s="84">
        <f t="shared" si="33"/>
        <v>69</v>
      </c>
      <c r="Q35" s="84">
        <f t="shared" si="33"/>
        <v>130.58750000000001</v>
      </c>
      <c r="R35" s="84">
        <f t="shared" si="33"/>
        <v>50</v>
      </c>
      <c r="S35" s="84">
        <f t="shared" si="33"/>
        <v>364.08285747101604</v>
      </c>
      <c r="T35" s="84">
        <f t="shared" si="33"/>
        <v>54</v>
      </c>
      <c r="U35" s="84">
        <f t="shared" si="33"/>
        <v>46</v>
      </c>
      <c r="V35" s="84">
        <f t="shared" si="33"/>
        <v>124</v>
      </c>
      <c r="W35" s="84">
        <f t="shared" si="33"/>
        <v>52</v>
      </c>
      <c r="X35" s="84">
        <f t="shared" si="33"/>
        <v>276</v>
      </c>
      <c r="Y35" s="84">
        <f t="shared" si="33"/>
        <v>54</v>
      </c>
      <c r="Z35" s="84">
        <f t="shared" si="33"/>
        <v>46</v>
      </c>
      <c r="AA35" s="84">
        <f t="shared" si="33"/>
        <v>124</v>
      </c>
      <c r="AB35" s="84">
        <f t="shared" si="33"/>
        <v>52</v>
      </c>
      <c r="AC35" s="84">
        <f t="shared" si="33"/>
        <v>276</v>
      </c>
      <c r="AD35" s="84">
        <f t="shared" si="33"/>
        <v>20570760</v>
      </c>
      <c r="AE35" s="84">
        <f t="shared" si="33"/>
        <v>1192320</v>
      </c>
      <c r="AF35" s="84">
        <f t="shared" si="33"/>
        <v>1656000</v>
      </c>
      <c r="AG35" s="84">
        <f t="shared" si="33"/>
        <v>662400</v>
      </c>
      <c r="AH35" s="84">
        <f t="shared" si="33"/>
        <v>2708400</v>
      </c>
      <c r="AI35" s="84">
        <f t="shared" si="33"/>
        <v>220800</v>
      </c>
      <c r="AJ35" s="84">
        <f t="shared" si="33"/>
        <v>80000</v>
      </c>
      <c r="AK35" s="84">
        <f t="shared" si="33"/>
        <v>264960</v>
      </c>
      <c r="AL35" s="84">
        <f t="shared" si="33"/>
        <v>8377581.5800000001</v>
      </c>
      <c r="AM35" s="84">
        <f t="shared" si="33"/>
        <v>35733221</v>
      </c>
      <c r="AN35" s="84">
        <f t="shared" si="33"/>
        <v>242208.75</v>
      </c>
      <c r="AO35" s="84">
        <f t="shared" si="33"/>
        <v>35975429.75</v>
      </c>
    </row>
    <row r="36" spans="1:41" s="83" customFormat="1" ht="18" customHeight="1">
      <c r="A36" s="79" t="s">
        <v>6</v>
      </c>
      <c r="B36" s="80" t="s">
        <v>674</v>
      </c>
      <c r="C36" s="80" t="s">
        <v>649</v>
      </c>
      <c r="D36" s="81">
        <v>2</v>
      </c>
      <c r="E36" s="86">
        <v>0</v>
      </c>
      <c r="F36" s="86">
        <v>5</v>
      </c>
      <c r="G36" s="86">
        <v>25.412500000000001</v>
      </c>
      <c r="H36" s="86">
        <v>2</v>
      </c>
      <c r="I36" s="82">
        <f t="shared" si="2"/>
        <v>32.412500000000001</v>
      </c>
      <c r="J36" s="81">
        <v>1</v>
      </c>
      <c r="K36" s="81">
        <v>0</v>
      </c>
      <c r="L36" s="81">
        <v>0</v>
      </c>
      <c r="M36" s="81">
        <v>0</v>
      </c>
      <c r="N36" s="82">
        <f t="shared" si="3"/>
        <v>1</v>
      </c>
      <c r="O36" s="82">
        <f t="shared" ref="O36:R50" si="34">E36+J36</f>
        <v>1</v>
      </c>
      <c r="P36" s="82">
        <f t="shared" si="34"/>
        <v>5</v>
      </c>
      <c r="Q36" s="82">
        <f t="shared" si="34"/>
        <v>25.412500000000001</v>
      </c>
      <c r="R36" s="82">
        <f t="shared" si="34"/>
        <v>2</v>
      </c>
      <c r="S36" s="93">
        <f t="shared" si="5"/>
        <v>33.412500000000001</v>
      </c>
      <c r="T36" s="81">
        <v>0</v>
      </c>
      <c r="U36" s="81">
        <v>5</v>
      </c>
      <c r="V36" s="81">
        <v>25</v>
      </c>
      <c r="W36" s="81">
        <v>2</v>
      </c>
      <c r="X36" s="93">
        <f t="shared" si="6"/>
        <v>32</v>
      </c>
      <c r="Y36" s="81">
        <v>0</v>
      </c>
      <c r="Z36" s="81">
        <v>5</v>
      </c>
      <c r="AA36" s="81">
        <v>25</v>
      </c>
      <c r="AB36" s="81">
        <v>2</v>
      </c>
      <c r="AC36" s="82">
        <f t="shared" si="7"/>
        <v>32</v>
      </c>
      <c r="AD36" s="82">
        <f t="shared" ref="AD36:AD43" si="35">(Y36*7050+Z36*6485+AA36*5800+AB36*4900)*12</f>
        <v>2246700</v>
      </c>
      <c r="AE36" s="82">
        <f t="shared" si="8"/>
        <v>138240</v>
      </c>
      <c r="AF36" s="82">
        <f t="shared" si="9"/>
        <v>192000</v>
      </c>
      <c r="AG36" s="82">
        <f t="shared" si="10"/>
        <v>76800</v>
      </c>
      <c r="AH36" s="82">
        <f t="shared" si="11"/>
        <v>300800</v>
      </c>
      <c r="AI36" s="82">
        <f t="shared" si="12"/>
        <v>25600</v>
      </c>
      <c r="AJ36" s="82">
        <f t="shared" si="13"/>
        <v>20000</v>
      </c>
      <c r="AK36" s="82">
        <f t="shared" si="14"/>
        <v>30720</v>
      </c>
      <c r="AL36" s="82">
        <f t="shared" si="15"/>
        <v>971313.81</v>
      </c>
      <c r="AM36" s="82">
        <f t="shared" si="16"/>
        <v>4002174</v>
      </c>
      <c r="AN36" s="120"/>
      <c r="AO36" s="82">
        <f>AM36+AN36</f>
        <v>4002174</v>
      </c>
    </row>
    <row r="37" spans="1:41" ht="18" customHeight="1">
      <c r="A37" s="79" t="s">
        <v>6</v>
      </c>
      <c r="B37" s="80" t="s">
        <v>675</v>
      </c>
      <c r="C37" s="80" t="s">
        <v>649</v>
      </c>
      <c r="D37" s="81">
        <v>2</v>
      </c>
      <c r="E37" s="86">
        <v>0</v>
      </c>
      <c r="F37" s="86">
        <v>1</v>
      </c>
      <c r="G37" s="86">
        <v>23.762499999999999</v>
      </c>
      <c r="H37" s="86">
        <v>3</v>
      </c>
      <c r="I37" s="82">
        <f t="shared" si="2"/>
        <v>27.762499999999999</v>
      </c>
      <c r="J37" s="81">
        <v>0</v>
      </c>
      <c r="K37" s="81">
        <v>0</v>
      </c>
      <c r="L37" s="81">
        <v>3</v>
      </c>
      <c r="M37" s="81">
        <v>0</v>
      </c>
      <c r="N37" s="82">
        <f t="shared" si="3"/>
        <v>3</v>
      </c>
      <c r="O37" s="82">
        <f t="shared" si="34"/>
        <v>0</v>
      </c>
      <c r="P37" s="82">
        <f t="shared" si="34"/>
        <v>1</v>
      </c>
      <c r="Q37" s="82">
        <f t="shared" si="34"/>
        <v>26.762499999999999</v>
      </c>
      <c r="R37" s="82">
        <f t="shared" si="34"/>
        <v>3</v>
      </c>
      <c r="S37" s="93">
        <f t="shared" si="5"/>
        <v>30.762499999999999</v>
      </c>
      <c r="T37" s="81">
        <v>0</v>
      </c>
      <c r="U37" s="81">
        <v>1</v>
      </c>
      <c r="V37" s="81">
        <v>24</v>
      </c>
      <c r="W37" s="81">
        <v>3</v>
      </c>
      <c r="X37" s="93">
        <f t="shared" si="6"/>
        <v>28</v>
      </c>
      <c r="Y37" s="81">
        <v>0</v>
      </c>
      <c r="Z37" s="81">
        <v>1</v>
      </c>
      <c r="AA37" s="81">
        <v>24</v>
      </c>
      <c r="AB37" s="81">
        <v>3</v>
      </c>
      <c r="AC37" s="82">
        <f t="shared" si="7"/>
        <v>28</v>
      </c>
      <c r="AD37" s="82">
        <f t="shared" si="35"/>
        <v>1924620</v>
      </c>
      <c r="AE37" s="82">
        <f t="shared" si="8"/>
        <v>120960</v>
      </c>
      <c r="AF37" s="82">
        <f t="shared" si="9"/>
        <v>168000</v>
      </c>
      <c r="AG37" s="82">
        <f t="shared" si="10"/>
        <v>67200</v>
      </c>
      <c r="AH37" s="82">
        <f t="shared" si="11"/>
        <v>263200</v>
      </c>
      <c r="AI37" s="82">
        <f t="shared" si="12"/>
        <v>22400</v>
      </c>
      <c r="AJ37" s="82">
        <f t="shared" si="13"/>
        <v>20000</v>
      </c>
      <c r="AK37" s="82">
        <f t="shared" si="14"/>
        <v>26880</v>
      </c>
      <c r="AL37" s="82">
        <f t="shared" si="15"/>
        <v>849899.58</v>
      </c>
      <c r="AM37" s="82">
        <f t="shared" si="16"/>
        <v>3463160</v>
      </c>
      <c r="AN37" s="119"/>
      <c r="AO37" s="82">
        <f t="shared" ref="AO37:AO50" si="36">AM37+AN37</f>
        <v>3463160</v>
      </c>
    </row>
    <row r="38" spans="1:41" ht="18" customHeight="1">
      <c r="A38" s="79" t="s">
        <v>6</v>
      </c>
      <c r="B38" s="80" t="s">
        <v>676</v>
      </c>
      <c r="C38" s="80" t="s">
        <v>649</v>
      </c>
      <c r="D38" s="81">
        <v>4</v>
      </c>
      <c r="E38" s="86">
        <v>5.9829059829059998</v>
      </c>
      <c r="F38" s="86">
        <v>6</v>
      </c>
      <c r="G38" s="86">
        <v>43.112499999999997</v>
      </c>
      <c r="H38" s="86">
        <v>6</v>
      </c>
      <c r="I38" s="82">
        <f t="shared" si="2"/>
        <v>61.095405982906001</v>
      </c>
      <c r="J38" s="81">
        <v>6</v>
      </c>
      <c r="K38" s="81">
        <v>5</v>
      </c>
      <c r="L38" s="81">
        <v>5</v>
      </c>
      <c r="M38" s="81">
        <v>0</v>
      </c>
      <c r="N38" s="82">
        <f t="shared" si="3"/>
        <v>16</v>
      </c>
      <c r="O38" s="82">
        <f t="shared" si="34"/>
        <v>11.982905982906001</v>
      </c>
      <c r="P38" s="82">
        <f t="shared" si="34"/>
        <v>11</v>
      </c>
      <c r="Q38" s="82">
        <f t="shared" si="34"/>
        <v>48.112499999999997</v>
      </c>
      <c r="R38" s="82">
        <f t="shared" si="34"/>
        <v>6</v>
      </c>
      <c r="S38" s="93">
        <f t="shared" si="5"/>
        <v>77.095405982906001</v>
      </c>
      <c r="T38" s="81">
        <v>9</v>
      </c>
      <c r="U38" s="81">
        <v>9</v>
      </c>
      <c r="V38" s="81">
        <v>44</v>
      </c>
      <c r="W38" s="81">
        <v>6</v>
      </c>
      <c r="X38" s="93">
        <f t="shared" si="6"/>
        <v>68</v>
      </c>
      <c r="Y38" s="81">
        <v>9</v>
      </c>
      <c r="Z38" s="81">
        <v>9</v>
      </c>
      <c r="AA38" s="81">
        <v>44</v>
      </c>
      <c r="AB38" s="81">
        <v>6</v>
      </c>
      <c r="AC38" s="82">
        <f t="shared" si="7"/>
        <v>68</v>
      </c>
      <c r="AD38" s="82">
        <f t="shared" si="35"/>
        <v>4876980</v>
      </c>
      <c r="AE38" s="82">
        <f t="shared" si="8"/>
        <v>293760</v>
      </c>
      <c r="AF38" s="82">
        <f t="shared" si="9"/>
        <v>408000</v>
      </c>
      <c r="AG38" s="82">
        <f t="shared" si="10"/>
        <v>163200</v>
      </c>
      <c r="AH38" s="82">
        <f t="shared" si="11"/>
        <v>639200</v>
      </c>
      <c r="AI38" s="82">
        <f t="shared" si="12"/>
        <v>54400</v>
      </c>
      <c r="AJ38" s="82">
        <f t="shared" si="13"/>
        <v>40000</v>
      </c>
      <c r="AK38" s="82">
        <f t="shared" si="14"/>
        <v>65280</v>
      </c>
      <c r="AL38" s="82">
        <f t="shared" si="15"/>
        <v>2064041.84</v>
      </c>
      <c r="AM38" s="82">
        <f t="shared" si="16"/>
        <v>8604862</v>
      </c>
      <c r="AN38" s="119"/>
      <c r="AO38" s="82">
        <f t="shared" si="36"/>
        <v>8604862</v>
      </c>
    </row>
    <row r="39" spans="1:41" s="83" customFormat="1" ht="18" customHeight="1">
      <c r="A39" s="79" t="s">
        <v>6</v>
      </c>
      <c r="B39" s="80" t="s">
        <v>470</v>
      </c>
      <c r="C39" s="80" t="s">
        <v>649</v>
      </c>
      <c r="D39" s="81">
        <v>2</v>
      </c>
      <c r="E39" s="86">
        <v>0</v>
      </c>
      <c r="F39" s="86">
        <v>1</v>
      </c>
      <c r="G39" s="86">
        <v>22.925000000000001</v>
      </c>
      <c r="H39" s="86">
        <v>1</v>
      </c>
      <c r="I39" s="82">
        <f t="shared" si="2"/>
        <v>24.925000000000001</v>
      </c>
      <c r="J39" s="81">
        <v>4</v>
      </c>
      <c r="K39" s="81">
        <v>0</v>
      </c>
      <c r="L39" s="81">
        <v>0</v>
      </c>
      <c r="M39" s="81">
        <v>0</v>
      </c>
      <c r="N39" s="82">
        <f t="shared" si="3"/>
        <v>4</v>
      </c>
      <c r="O39" s="82">
        <f t="shared" si="34"/>
        <v>4</v>
      </c>
      <c r="P39" s="82">
        <f t="shared" si="34"/>
        <v>1</v>
      </c>
      <c r="Q39" s="82">
        <f t="shared" si="34"/>
        <v>22.925000000000001</v>
      </c>
      <c r="R39" s="82">
        <f t="shared" si="34"/>
        <v>1</v>
      </c>
      <c r="S39" s="93">
        <f t="shared" si="5"/>
        <v>28.925000000000001</v>
      </c>
      <c r="T39" s="81">
        <v>4</v>
      </c>
      <c r="U39" s="81">
        <v>1</v>
      </c>
      <c r="V39" s="81">
        <v>23</v>
      </c>
      <c r="W39" s="81">
        <v>1</v>
      </c>
      <c r="X39" s="93">
        <f t="shared" si="6"/>
        <v>29</v>
      </c>
      <c r="Y39" s="81">
        <v>4</v>
      </c>
      <c r="Z39" s="81">
        <v>1</v>
      </c>
      <c r="AA39" s="81">
        <v>22.925000000000001</v>
      </c>
      <c r="AB39" s="81">
        <v>1</v>
      </c>
      <c r="AC39" s="82">
        <f t="shared" si="7"/>
        <v>28.925000000000001</v>
      </c>
      <c r="AD39" s="82">
        <f t="shared" si="35"/>
        <v>2070600</v>
      </c>
      <c r="AE39" s="82">
        <f t="shared" si="8"/>
        <v>124956</v>
      </c>
      <c r="AF39" s="82">
        <f t="shared" si="9"/>
        <v>173550</v>
      </c>
      <c r="AG39" s="82">
        <f t="shared" si="10"/>
        <v>69420</v>
      </c>
      <c r="AH39" s="82">
        <f t="shared" si="11"/>
        <v>271895</v>
      </c>
      <c r="AI39" s="82">
        <f t="shared" si="12"/>
        <v>23140</v>
      </c>
      <c r="AJ39" s="82">
        <f t="shared" si="13"/>
        <v>20000</v>
      </c>
      <c r="AK39" s="82">
        <f t="shared" si="14"/>
        <v>27768</v>
      </c>
      <c r="AL39" s="82">
        <f t="shared" si="15"/>
        <v>877976.62</v>
      </c>
      <c r="AM39" s="82">
        <f t="shared" si="16"/>
        <v>3659306</v>
      </c>
      <c r="AN39" s="120"/>
      <c r="AO39" s="82">
        <f t="shared" si="36"/>
        <v>3659306</v>
      </c>
    </row>
    <row r="40" spans="1:41" s="83" customFormat="1" ht="18" customHeight="1">
      <c r="A40" s="79" t="s">
        <v>6</v>
      </c>
      <c r="B40" s="80" t="s">
        <v>469</v>
      </c>
      <c r="C40" s="80" t="s">
        <v>649</v>
      </c>
      <c r="D40" s="81">
        <v>3</v>
      </c>
      <c r="E40" s="86">
        <v>0</v>
      </c>
      <c r="F40" s="86">
        <v>2</v>
      </c>
      <c r="G40" s="86">
        <v>26.875</v>
      </c>
      <c r="H40" s="86">
        <v>4</v>
      </c>
      <c r="I40" s="82">
        <f t="shared" si="2"/>
        <v>32.875</v>
      </c>
      <c r="J40" s="81">
        <v>0</v>
      </c>
      <c r="K40" s="81">
        <v>0</v>
      </c>
      <c r="L40" s="81">
        <v>1</v>
      </c>
      <c r="M40" s="81">
        <v>0</v>
      </c>
      <c r="N40" s="82">
        <f t="shared" si="3"/>
        <v>1</v>
      </c>
      <c r="O40" s="82">
        <f t="shared" si="34"/>
        <v>0</v>
      </c>
      <c r="P40" s="82">
        <f t="shared" si="34"/>
        <v>2</v>
      </c>
      <c r="Q40" s="82">
        <f t="shared" si="34"/>
        <v>27.875</v>
      </c>
      <c r="R40" s="82">
        <f t="shared" si="34"/>
        <v>4</v>
      </c>
      <c r="S40" s="93">
        <f t="shared" si="5"/>
        <v>33.875</v>
      </c>
      <c r="T40" s="81">
        <v>0</v>
      </c>
      <c r="U40" s="81">
        <v>1</v>
      </c>
      <c r="V40" s="81">
        <v>27</v>
      </c>
      <c r="W40" s="81">
        <v>4</v>
      </c>
      <c r="X40" s="93">
        <f t="shared" si="6"/>
        <v>32</v>
      </c>
      <c r="Y40" s="81">
        <v>0</v>
      </c>
      <c r="Z40" s="81">
        <v>1</v>
      </c>
      <c r="AA40" s="81">
        <v>27</v>
      </c>
      <c r="AB40" s="81">
        <v>4</v>
      </c>
      <c r="AC40" s="82">
        <f t="shared" si="7"/>
        <v>32</v>
      </c>
      <c r="AD40" s="82">
        <f t="shared" si="35"/>
        <v>2192220</v>
      </c>
      <c r="AE40" s="82">
        <f t="shared" si="8"/>
        <v>138240</v>
      </c>
      <c r="AF40" s="82">
        <f t="shared" si="9"/>
        <v>192000</v>
      </c>
      <c r="AG40" s="82">
        <f t="shared" si="10"/>
        <v>76800</v>
      </c>
      <c r="AH40" s="82">
        <f t="shared" si="11"/>
        <v>300800</v>
      </c>
      <c r="AI40" s="82">
        <f t="shared" si="12"/>
        <v>25600</v>
      </c>
      <c r="AJ40" s="82">
        <f t="shared" si="13"/>
        <v>30000</v>
      </c>
      <c r="AK40" s="82">
        <f t="shared" si="14"/>
        <v>30720</v>
      </c>
      <c r="AL40" s="82">
        <f t="shared" si="15"/>
        <v>971313.81</v>
      </c>
      <c r="AM40" s="82">
        <f t="shared" si="16"/>
        <v>3957694</v>
      </c>
      <c r="AN40" s="120"/>
      <c r="AO40" s="82">
        <f t="shared" si="36"/>
        <v>3957694</v>
      </c>
    </row>
    <row r="41" spans="1:41" ht="18" customHeight="1">
      <c r="A41" s="79" t="s">
        <v>6</v>
      </c>
      <c r="B41" s="80" t="s">
        <v>467</v>
      </c>
      <c r="C41" s="80" t="s">
        <v>959</v>
      </c>
      <c r="D41" s="81"/>
      <c r="E41" s="86">
        <v>0</v>
      </c>
      <c r="F41" s="86">
        <v>9</v>
      </c>
      <c r="G41" s="86">
        <v>0</v>
      </c>
      <c r="H41" s="86">
        <v>5.5</v>
      </c>
      <c r="I41" s="82">
        <f t="shared" si="2"/>
        <v>14.5</v>
      </c>
      <c r="J41" s="81">
        <v>1</v>
      </c>
      <c r="K41" s="81">
        <v>0</v>
      </c>
      <c r="L41" s="81">
        <v>0</v>
      </c>
      <c r="M41" s="81">
        <v>0</v>
      </c>
      <c r="N41" s="82">
        <f t="shared" si="3"/>
        <v>1</v>
      </c>
      <c r="O41" s="82">
        <f t="shared" si="34"/>
        <v>1</v>
      </c>
      <c r="P41" s="82">
        <f t="shared" si="34"/>
        <v>9</v>
      </c>
      <c r="Q41" s="82">
        <f t="shared" si="34"/>
        <v>0</v>
      </c>
      <c r="R41" s="82">
        <f t="shared" si="34"/>
        <v>5.5</v>
      </c>
      <c r="S41" s="93">
        <f t="shared" si="5"/>
        <v>15.5</v>
      </c>
      <c r="T41" s="81">
        <v>1</v>
      </c>
      <c r="U41" s="81">
        <v>1</v>
      </c>
      <c r="V41" s="81">
        <v>0</v>
      </c>
      <c r="W41" s="81">
        <v>6</v>
      </c>
      <c r="X41" s="93">
        <f t="shared" si="6"/>
        <v>8</v>
      </c>
      <c r="Y41" s="81">
        <v>1</v>
      </c>
      <c r="Z41" s="81">
        <v>1</v>
      </c>
      <c r="AA41" s="81">
        <v>0</v>
      </c>
      <c r="AB41" s="81">
        <v>6</v>
      </c>
      <c r="AC41" s="82">
        <f t="shared" si="7"/>
        <v>8</v>
      </c>
      <c r="AD41" s="82">
        <f t="shared" si="35"/>
        <v>515220</v>
      </c>
      <c r="AE41" s="82">
        <f t="shared" si="8"/>
        <v>34560</v>
      </c>
      <c r="AF41" s="82">
        <f t="shared" si="9"/>
        <v>48000</v>
      </c>
      <c r="AG41" s="82">
        <f t="shared" si="10"/>
        <v>19200</v>
      </c>
      <c r="AH41" s="82">
        <f t="shared" si="11"/>
        <v>75200</v>
      </c>
      <c r="AI41" s="82">
        <f t="shared" si="12"/>
        <v>6400</v>
      </c>
      <c r="AJ41" s="82">
        <f t="shared" si="13"/>
        <v>0</v>
      </c>
      <c r="AK41" s="82">
        <f t="shared" si="14"/>
        <v>7680</v>
      </c>
      <c r="AL41" s="82">
        <f t="shared" si="15"/>
        <v>242828.45</v>
      </c>
      <c r="AM41" s="82">
        <f t="shared" si="16"/>
        <v>949088</v>
      </c>
      <c r="AN41" s="119"/>
      <c r="AO41" s="120">
        <f t="shared" si="36"/>
        <v>949088</v>
      </c>
    </row>
    <row r="42" spans="1:41" ht="18" customHeight="1">
      <c r="A42" s="79" t="s">
        <v>6</v>
      </c>
      <c r="B42" s="80" t="s">
        <v>677</v>
      </c>
      <c r="C42" s="80" t="s">
        <v>959</v>
      </c>
      <c r="D42" s="81"/>
      <c r="E42" s="86">
        <v>8.4482758620689999</v>
      </c>
      <c r="F42" s="86">
        <v>13.5</v>
      </c>
      <c r="G42" s="86">
        <v>0</v>
      </c>
      <c r="H42" s="86">
        <v>8</v>
      </c>
      <c r="I42" s="82">
        <f t="shared" si="2"/>
        <v>29.948275862069</v>
      </c>
      <c r="J42" s="81">
        <v>0</v>
      </c>
      <c r="K42" s="81">
        <v>0</v>
      </c>
      <c r="L42" s="81">
        <v>0</v>
      </c>
      <c r="M42" s="81">
        <v>0</v>
      </c>
      <c r="N42" s="82">
        <f t="shared" si="3"/>
        <v>0</v>
      </c>
      <c r="O42" s="82">
        <f t="shared" si="34"/>
        <v>8.4482758620689999</v>
      </c>
      <c r="P42" s="82">
        <f t="shared" si="34"/>
        <v>13.5</v>
      </c>
      <c r="Q42" s="82">
        <f t="shared" si="34"/>
        <v>0</v>
      </c>
      <c r="R42" s="82">
        <f t="shared" si="34"/>
        <v>8</v>
      </c>
      <c r="S42" s="93">
        <f t="shared" si="5"/>
        <v>29.948275862069</v>
      </c>
      <c r="T42" s="81">
        <v>10</v>
      </c>
      <c r="U42" s="81">
        <v>4</v>
      </c>
      <c r="V42" s="81">
        <v>0</v>
      </c>
      <c r="W42" s="81">
        <v>6</v>
      </c>
      <c r="X42" s="93">
        <f t="shared" si="6"/>
        <v>20</v>
      </c>
      <c r="Y42" s="81">
        <v>10</v>
      </c>
      <c r="Z42" s="81">
        <v>4</v>
      </c>
      <c r="AA42" s="81">
        <v>0</v>
      </c>
      <c r="AB42" s="81">
        <v>6</v>
      </c>
      <c r="AC42" s="82">
        <f t="shared" si="7"/>
        <v>20</v>
      </c>
      <c r="AD42" s="82">
        <f t="shared" si="35"/>
        <v>1510080</v>
      </c>
      <c r="AE42" s="82">
        <f t="shared" si="8"/>
        <v>86400</v>
      </c>
      <c r="AF42" s="82">
        <f t="shared" si="9"/>
        <v>120000</v>
      </c>
      <c r="AG42" s="82">
        <f t="shared" si="10"/>
        <v>48000</v>
      </c>
      <c r="AH42" s="82">
        <f t="shared" si="11"/>
        <v>188000</v>
      </c>
      <c r="AI42" s="82">
        <f t="shared" si="12"/>
        <v>16000</v>
      </c>
      <c r="AJ42" s="82">
        <f t="shared" si="13"/>
        <v>0</v>
      </c>
      <c r="AK42" s="82">
        <f t="shared" si="14"/>
        <v>19200</v>
      </c>
      <c r="AL42" s="82">
        <f t="shared" si="15"/>
        <v>607071.13</v>
      </c>
      <c r="AM42" s="82">
        <f t="shared" si="16"/>
        <v>2594751</v>
      </c>
      <c r="AN42" s="119">
        <v>91103</v>
      </c>
      <c r="AO42" s="120">
        <f t="shared" si="36"/>
        <v>2685854</v>
      </c>
    </row>
    <row r="43" spans="1:41" ht="18" customHeight="1">
      <c r="A43" s="79" t="s">
        <v>6</v>
      </c>
      <c r="B43" s="80" t="s">
        <v>468</v>
      </c>
      <c r="C43" s="80" t="s">
        <v>959</v>
      </c>
      <c r="D43" s="81"/>
      <c r="E43" s="86">
        <v>0</v>
      </c>
      <c r="F43" s="86">
        <v>8</v>
      </c>
      <c r="G43" s="86">
        <v>0</v>
      </c>
      <c r="H43" s="86">
        <v>5</v>
      </c>
      <c r="I43" s="82">
        <f t="shared" si="2"/>
        <v>13</v>
      </c>
      <c r="J43" s="81">
        <v>0</v>
      </c>
      <c r="K43" s="81">
        <v>0</v>
      </c>
      <c r="L43" s="81">
        <v>0</v>
      </c>
      <c r="M43" s="81">
        <v>0</v>
      </c>
      <c r="N43" s="82">
        <f t="shared" si="3"/>
        <v>0</v>
      </c>
      <c r="O43" s="82">
        <f t="shared" si="34"/>
        <v>0</v>
      </c>
      <c r="P43" s="82">
        <f t="shared" si="34"/>
        <v>8</v>
      </c>
      <c r="Q43" s="82">
        <f t="shared" si="34"/>
        <v>0</v>
      </c>
      <c r="R43" s="82">
        <f t="shared" si="34"/>
        <v>5</v>
      </c>
      <c r="S43" s="93">
        <f t="shared" si="5"/>
        <v>13</v>
      </c>
      <c r="T43" s="81">
        <v>0</v>
      </c>
      <c r="U43" s="81">
        <v>2</v>
      </c>
      <c r="V43" s="81">
        <v>2</v>
      </c>
      <c r="W43" s="81">
        <v>3</v>
      </c>
      <c r="X43" s="93">
        <f t="shared" si="6"/>
        <v>7</v>
      </c>
      <c r="Y43" s="81">
        <v>0</v>
      </c>
      <c r="Z43" s="81">
        <v>2</v>
      </c>
      <c r="AA43" s="81">
        <v>2</v>
      </c>
      <c r="AB43" s="81">
        <v>3</v>
      </c>
      <c r="AC43" s="82">
        <f t="shared" si="7"/>
        <v>7</v>
      </c>
      <c r="AD43" s="82">
        <f t="shared" si="35"/>
        <v>471240</v>
      </c>
      <c r="AE43" s="82">
        <f t="shared" si="8"/>
        <v>30240</v>
      </c>
      <c r="AF43" s="82">
        <f t="shared" si="9"/>
        <v>42000</v>
      </c>
      <c r="AG43" s="82">
        <f t="shared" si="10"/>
        <v>16800</v>
      </c>
      <c r="AH43" s="82">
        <f t="shared" si="11"/>
        <v>65800</v>
      </c>
      <c r="AI43" s="82">
        <f t="shared" si="12"/>
        <v>5600</v>
      </c>
      <c r="AJ43" s="82">
        <f t="shared" si="13"/>
        <v>0</v>
      </c>
      <c r="AK43" s="82">
        <f t="shared" si="14"/>
        <v>6720</v>
      </c>
      <c r="AL43" s="82">
        <f t="shared" si="15"/>
        <v>212474.9</v>
      </c>
      <c r="AM43" s="82">
        <f t="shared" si="16"/>
        <v>850875</v>
      </c>
      <c r="AN43" s="119"/>
      <c r="AO43" s="120">
        <f t="shared" si="36"/>
        <v>850875</v>
      </c>
    </row>
    <row r="44" spans="1:41" ht="18" customHeight="1">
      <c r="A44" s="79"/>
      <c r="B44" s="80" t="s">
        <v>466</v>
      </c>
      <c r="C44" s="80" t="s">
        <v>464</v>
      </c>
      <c r="D44" s="81"/>
      <c r="E44" s="86">
        <v>11.915966386554601</v>
      </c>
      <c r="F44" s="86">
        <v>10</v>
      </c>
      <c r="G44" s="86">
        <v>0</v>
      </c>
      <c r="H44" s="86">
        <v>5</v>
      </c>
      <c r="I44" s="82">
        <f t="shared" si="2"/>
        <v>26.915966386554601</v>
      </c>
      <c r="J44" s="81">
        <v>5</v>
      </c>
      <c r="K44" s="81">
        <v>1</v>
      </c>
      <c r="L44" s="81">
        <v>0</v>
      </c>
      <c r="M44" s="81">
        <v>0</v>
      </c>
      <c r="N44" s="82">
        <f t="shared" si="3"/>
        <v>6</v>
      </c>
      <c r="O44" s="82">
        <f t="shared" si="34"/>
        <v>16.915966386554601</v>
      </c>
      <c r="P44" s="82">
        <f t="shared" si="34"/>
        <v>11</v>
      </c>
      <c r="Q44" s="82">
        <f t="shared" si="34"/>
        <v>0</v>
      </c>
      <c r="R44" s="82">
        <f t="shared" si="34"/>
        <v>5</v>
      </c>
      <c r="S44" s="93">
        <f t="shared" si="5"/>
        <v>32.915966386554601</v>
      </c>
      <c r="T44" s="81">
        <v>5</v>
      </c>
      <c r="U44" s="81">
        <v>4</v>
      </c>
      <c r="V44" s="81">
        <v>1</v>
      </c>
      <c r="W44" s="81">
        <v>7</v>
      </c>
      <c r="X44" s="93">
        <f t="shared" si="6"/>
        <v>17</v>
      </c>
      <c r="Y44" s="81">
        <v>5</v>
      </c>
      <c r="Z44" s="81">
        <v>4</v>
      </c>
      <c r="AA44" s="81">
        <v>1</v>
      </c>
      <c r="AB44" s="81">
        <v>7</v>
      </c>
      <c r="AC44" s="82">
        <f t="shared" si="7"/>
        <v>17</v>
      </c>
      <c r="AD44" s="82">
        <f t="shared" ref="AD44:AD47" si="37">(Y44*9230+Z44*7215+AA44*5800+AB44*5100)*12</f>
        <v>1398120</v>
      </c>
      <c r="AE44" s="82">
        <f t="shared" si="8"/>
        <v>73440</v>
      </c>
      <c r="AF44" s="82">
        <f t="shared" si="9"/>
        <v>102000</v>
      </c>
      <c r="AG44" s="82">
        <f t="shared" si="10"/>
        <v>40800</v>
      </c>
      <c r="AH44" s="82">
        <f t="shared" ref="AH44:AH47" si="38">Y44*15400+(Z44+AA44+AB44)*9400</f>
        <v>189800</v>
      </c>
      <c r="AI44" s="82">
        <f>AC44*800</f>
        <v>13600</v>
      </c>
      <c r="AJ44" s="82">
        <f>D44*50*200</f>
        <v>0</v>
      </c>
      <c r="AK44" s="82">
        <f>AC44*960</f>
        <v>16320</v>
      </c>
      <c r="AL44" s="82">
        <f t="shared" si="15"/>
        <v>516010.46</v>
      </c>
      <c r="AM44" s="82">
        <f t="shared" si="16"/>
        <v>2350090</v>
      </c>
      <c r="AN44" s="119">
        <v>49126</v>
      </c>
      <c r="AO44" s="120">
        <f t="shared" si="36"/>
        <v>2399216</v>
      </c>
    </row>
    <row r="45" spans="1:41" ht="18" customHeight="1">
      <c r="A45" s="79" t="s">
        <v>6</v>
      </c>
      <c r="B45" s="80" t="s">
        <v>226</v>
      </c>
      <c r="C45" s="80" t="s">
        <v>464</v>
      </c>
      <c r="D45" s="81"/>
      <c r="E45" s="86">
        <v>12</v>
      </c>
      <c r="F45" s="86">
        <v>10</v>
      </c>
      <c r="G45" s="86">
        <v>0</v>
      </c>
      <c r="H45" s="86">
        <v>5</v>
      </c>
      <c r="I45" s="82">
        <f t="shared" si="2"/>
        <v>27</v>
      </c>
      <c r="J45" s="81">
        <v>5</v>
      </c>
      <c r="K45" s="81">
        <v>0</v>
      </c>
      <c r="L45" s="81">
        <v>0</v>
      </c>
      <c r="M45" s="81">
        <v>0</v>
      </c>
      <c r="N45" s="82">
        <f t="shared" si="3"/>
        <v>5</v>
      </c>
      <c r="O45" s="82">
        <f>E45+J45</f>
        <v>17</v>
      </c>
      <c r="P45" s="82">
        <f>F45+K45</f>
        <v>10</v>
      </c>
      <c r="Q45" s="82">
        <f>G45+L45</f>
        <v>0</v>
      </c>
      <c r="R45" s="82">
        <f>H45+M45</f>
        <v>5</v>
      </c>
      <c r="S45" s="93">
        <f t="shared" si="5"/>
        <v>32</v>
      </c>
      <c r="T45" s="81">
        <v>2</v>
      </c>
      <c r="U45" s="81">
        <v>8</v>
      </c>
      <c r="V45" s="81">
        <v>0</v>
      </c>
      <c r="W45" s="81">
        <v>4</v>
      </c>
      <c r="X45" s="93">
        <f t="shared" si="6"/>
        <v>14</v>
      </c>
      <c r="Y45" s="81">
        <v>2</v>
      </c>
      <c r="Z45" s="81">
        <v>8</v>
      </c>
      <c r="AA45" s="81">
        <v>0</v>
      </c>
      <c r="AB45" s="81">
        <v>4</v>
      </c>
      <c r="AC45" s="82">
        <f t="shared" si="7"/>
        <v>14</v>
      </c>
      <c r="AD45" s="82">
        <f t="shared" si="37"/>
        <v>1158960</v>
      </c>
      <c r="AE45" s="82">
        <f t="shared" si="8"/>
        <v>60480</v>
      </c>
      <c r="AF45" s="82">
        <f t="shared" si="9"/>
        <v>84000</v>
      </c>
      <c r="AG45" s="82">
        <f t="shared" si="10"/>
        <v>33600</v>
      </c>
      <c r="AH45" s="82">
        <f t="shared" si="38"/>
        <v>143600</v>
      </c>
      <c r="AI45" s="82">
        <f>AC45*800</f>
        <v>11200</v>
      </c>
      <c r="AJ45" s="82">
        <f>D45*50*200</f>
        <v>0</v>
      </c>
      <c r="AK45" s="82">
        <f>AC45*960</f>
        <v>13440</v>
      </c>
      <c r="AL45" s="82">
        <f t="shared" si="15"/>
        <v>424949.79</v>
      </c>
      <c r="AM45" s="82">
        <f t="shared" si="16"/>
        <v>1930230</v>
      </c>
      <c r="AN45" s="119">
        <v>34499.25</v>
      </c>
      <c r="AO45" s="120">
        <f t="shared" si="36"/>
        <v>1964729.25</v>
      </c>
    </row>
    <row r="46" spans="1:41" ht="18" customHeight="1">
      <c r="A46" s="79" t="s">
        <v>6</v>
      </c>
      <c r="B46" s="80" t="s">
        <v>974</v>
      </c>
      <c r="C46" s="80" t="s">
        <v>972</v>
      </c>
      <c r="D46" s="81"/>
      <c r="E46" s="86">
        <v>0</v>
      </c>
      <c r="F46" s="86">
        <v>12</v>
      </c>
      <c r="G46" s="86">
        <v>0</v>
      </c>
      <c r="H46" s="86">
        <v>8</v>
      </c>
      <c r="I46" s="82">
        <f t="shared" si="2"/>
        <v>20</v>
      </c>
      <c r="J46" s="81">
        <v>0</v>
      </c>
      <c r="K46" s="81">
        <v>2</v>
      </c>
      <c r="L46" s="81">
        <v>0</v>
      </c>
      <c r="M46" s="81">
        <v>0</v>
      </c>
      <c r="N46" s="82">
        <f t="shared" si="3"/>
        <v>2</v>
      </c>
      <c r="O46" s="82">
        <f t="shared" si="34"/>
        <v>0</v>
      </c>
      <c r="P46" s="82">
        <f t="shared" si="34"/>
        <v>14</v>
      </c>
      <c r="Q46" s="82">
        <f t="shared" si="34"/>
        <v>0</v>
      </c>
      <c r="R46" s="82">
        <f t="shared" si="34"/>
        <v>8</v>
      </c>
      <c r="S46" s="93">
        <f t="shared" si="5"/>
        <v>22</v>
      </c>
      <c r="T46" s="81">
        <v>1</v>
      </c>
      <c r="U46" s="81">
        <v>10</v>
      </c>
      <c r="V46" s="81">
        <v>0</v>
      </c>
      <c r="W46" s="81">
        <v>7</v>
      </c>
      <c r="X46" s="93">
        <f t="shared" si="6"/>
        <v>18</v>
      </c>
      <c r="Y46" s="81">
        <v>1</v>
      </c>
      <c r="Z46" s="81">
        <v>10</v>
      </c>
      <c r="AA46" s="81">
        <v>0</v>
      </c>
      <c r="AB46" s="81">
        <v>7</v>
      </c>
      <c r="AC46" s="82">
        <f t="shared" si="7"/>
        <v>18</v>
      </c>
      <c r="AD46" s="82">
        <f t="shared" si="37"/>
        <v>1404960</v>
      </c>
      <c r="AE46" s="82">
        <f t="shared" si="8"/>
        <v>77760</v>
      </c>
      <c r="AF46" s="82">
        <f t="shared" si="9"/>
        <v>108000</v>
      </c>
      <c r="AG46" s="82">
        <f t="shared" si="10"/>
        <v>43200</v>
      </c>
      <c r="AH46" s="82">
        <f t="shared" si="38"/>
        <v>175200</v>
      </c>
      <c r="AI46" s="82">
        <f t="shared" si="12"/>
        <v>14400</v>
      </c>
      <c r="AJ46" s="82">
        <f t="shared" si="13"/>
        <v>0</v>
      </c>
      <c r="AK46" s="82">
        <f t="shared" si="14"/>
        <v>17280</v>
      </c>
      <c r="AL46" s="82">
        <f t="shared" si="15"/>
        <v>546364.02</v>
      </c>
      <c r="AM46" s="82">
        <f t="shared" si="16"/>
        <v>2387164</v>
      </c>
      <c r="AN46" s="119">
        <v>17212.5</v>
      </c>
      <c r="AO46" s="120">
        <f t="shared" si="36"/>
        <v>2404376.5</v>
      </c>
    </row>
    <row r="47" spans="1:41" s="83" customFormat="1" ht="18" customHeight="1">
      <c r="A47" s="79" t="s">
        <v>6</v>
      </c>
      <c r="B47" s="80" t="s">
        <v>678</v>
      </c>
      <c r="C47" s="80" t="s">
        <v>464</v>
      </c>
      <c r="D47" s="81"/>
      <c r="E47" s="86">
        <v>25.184873949579998</v>
      </c>
      <c r="F47" s="86">
        <v>11</v>
      </c>
      <c r="G47" s="86">
        <v>0</v>
      </c>
      <c r="H47" s="86">
        <v>6</v>
      </c>
      <c r="I47" s="82">
        <f t="shared" si="2"/>
        <v>42.184873949579995</v>
      </c>
      <c r="J47" s="81">
        <v>3</v>
      </c>
      <c r="K47" s="81">
        <v>0</v>
      </c>
      <c r="L47" s="81">
        <v>0</v>
      </c>
      <c r="M47" s="81">
        <v>0</v>
      </c>
      <c r="N47" s="82">
        <f t="shared" si="3"/>
        <v>3</v>
      </c>
      <c r="O47" s="82">
        <f>E47+J47</f>
        <v>28.184873949579998</v>
      </c>
      <c r="P47" s="82">
        <f>F47+K47</f>
        <v>11</v>
      </c>
      <c r="Q47" s="82">
        <f>G47+L47</f>
        <v>0</v>
      </c>
      <c r="R47" s="82">
        <f>H47+M47</f>
        <v>6</v>
      </c>
      <c r="S47" s="93">
        <f t="shared" si="5"/>
        <v>45.184873949579995</v>
      </c>
      <c r="T47" s="81">
        <v>7</v>
      </c>
      <c r="U47" s="81">
        <v>6</v>
      </c>
      <c r="V47" s="81">
        <v>0</v>
      </c>
      <c r="W47" s="81">
        <v>7</v>
      </c>
      <c r="X47" s="93">
        <f t="shared" si="6"/>
        <v>20</v>
      </c>
      <c r="Y47" s="81">
        <v>7</v>
      </c>
      <c r="Z47" s="81">
        <v>6</v>
      </c>
      <c r="AA47" s="81">
        <v>0</v>
      </c>
      <c r="AB47" s="81">
        <v>7</v>
      </c>
      <c r="AC47" s="82">
        <f t="shared" si="7"/>
        <v>20</v>
      </c>
      <c r="AD47" s="82">
        <f t="shared" si="37"/>
        <v>1723200</v>
      </c>
      <c r="AE47" s="82">
        <f t="shared" si="8"/>
        <v>86400</v>
      </c>
      <c r="AF47" s="82">
        <f t="shared" si="9"/>
        <v>120000</v>
      </c>
      <c r="AG47" s="82">
        <f t="shared" si="10"/>
        <v>48000</v>
      </c>
      <c r="AH47" s="82">
        <f t="shared" si="38"/>
        <v>230000</v>
      </c>
      <c r="AI47" s="82">
        <f>AC47*800</f>
        <v>16000</v>
      </c>
      <c r="AJ47" s="82">
        <f>D47*50*200</f>
        <v>0</v>
      </c>
      <c r="AK47" s="82">
        <f>AC47*960</f>
        <v>19200</v>
      </c>
      <c r="AL47" s="82">
        <f t="shared" si="15"/>
        <v>607071.13</v>
      </c>
      <c r="AM47" s="82">
        <f t="shared" si="16"/>
        <v>2849871</v>
      </c>
      <c r="AN47" s="120">
        <v>63316</v>
      </c>
      <c r="AO47" s="120">
        <f t="shared" si="36"/>
        <v>2913187</v>
      </c>
    </row>
    <row r="48" spans="1:41" ht="18" customHeight="1">
      <c r="A48" s="79" t="s">
        <v>6</v>
      </c>
      <c r="B48" s="80" t="s">
        <v>679</v>
      </c>
      <c r="C48" s="80" t="s">
        <v>649</v>
      </c>
      <c r="D48" s="81">
        <v>2</v>
      </c>
      <c r="E48" s="86">
        <v>3</v>
      </c>
      <c r="F48" s="86">
        <v>3</v>
      </c>
      <c r="G48" s="86">
        <v>22.8</v>
      </c>
      <c r="H48" s="86">
        <v>3</v>
      </c>
      <c r="I48" s="82">
        <f t="shared" si="2"/>
        <v>31.8</v>
      </c>
      <c r="J48" s="81">
        <v>0</v>
      </c>
      <c r="K48" s="81">
        <v>0</v>
      </c>
      <c r="L48" s="81">
        <v>0</v>
      </c>
      <c r="M48" s="81">
        <v>0</v>
      </c>
      <c r="N48" s="82">
        <f t="shared" si="3"/>
        <v>0</v>
      </c>
      <c r="O48" s="82">
        <f t="shared" si="34"/>
        <v>3</v>
      </c>
      <c r="P48" s="82">
        <f t="shared" si="34"/>
        <v>3</v>
      </c>
      <c r="Q48" s="82">
        <f t="shared" si="34"/>
        <v>22.8</v>
      </c>
      <c r="R48" s="82">
        <f t="shared" si="34"/>
        <v>3</v>
      </c>
      <c r="S48" s="93">
        <f t="shared" si="5"/>
        <v>31.8</v>
      </c>
      <c r="T48" s="81">
        <v>3</v>
      </c>
      <c r="U48" s="81">
        <v>3</v>
      </c>
      <c r="V48" s="81">
        <v>22</v>
      </c>
      <c r="W48" s="81">
        <v>2</v>
      </c>
      <c r="X48" s="93">
        <f t="shared" si="6"/>
        <v>30</v>
      </c>
      <c r="Y48" s="82">
        <v>3</v>
      </c>
      <c r="Z48" s="82">
        <v>3</v>
      </c>
      <c r="AA48" s="82">
        <v>22</v>
      </c>
      <c r="AB48" s="82">
        <v>2</v>
      </c>
      <c r="AC48" s="82">
        <f t="shared" si="7"/>
        <v>30</v>
      </c>
      <c r="AD48" s="82">
        <f>(Y48*7050+Z48*6485+AA48*5800+AB48*4900)*12</f>
        <v>2136060</v>
      </c>
      <c r="AE48" s="82">
        <f t="shared" si="8"/>
        <v>129600</v>
      </c>
      <c r="AF48" s="82">
        <f t="shared" si="9"/>
        <v>180000</v>
      </c>
      <c r="AG48" s="82">
        <f t="shared" si="10"/>
        <v>72000</v>
      </c>
      <c r="AH48" s="82">
        <f t="shared" si="11"/>
        <v>282000</v>
      </c>
      <c r="AI48" s="82">
        <f t="shared" si="12"/>
        <v>24000</v>
      </c>
      <c r="AJ48" s="82">
        <f t="shared" si="13"/>
        <v>20000</v>
      </c>
      <c r="AK48" s="82">
        <f t="shared" si="14"/>
        <v>28800</v>
      </c>
      <c r="AL48" s="82">
        <f t="shared" si="15"/>
        <v>910606.69</v>
      </c>
      <c r="AM48" s="82">
        <f t="shared" si="16"/>
        <v>3783067</v>
      </c>
      <c r="AN48" s="119"/>
      <c r="AO48" s="82">
        <f t="shared" si="36"/>
        <v>3783067</v>
      </c>
    </row>
    <row r="49" spans="1:41" s="83" customFormat="1" ht="18" customHeight="1">
      <c r="A49" s="79" t="s">
        <v>6</v>
      </c>
      <c r="B49" s="80" t="s">
        <v>680</v>
      </c>
      <c r="C49" s="80" t="s">
        <v>649</v>
      </c>
      <c r="D49" s="81">
        <v>1</v>
      </c>
      <c r="E49" s="86">
        <v>2</v>
      </c>
      <c r="F49" s="86">
        <v>1</v>
      </c>
      <c r="G49" s="86">
        <v>12</v>
      </c>
      <c r="H49" s="86">
        <v>1</v>
      </c>
      <c r="I49" s="82">
        <f t="shared" si="2"/>
        <v>16</v>
      </c>
      <c r="J49" s="81">
        <v>0</v>
      </c>
      <c r="K49" s="81">
        <v>0</v>
      </c>
      <c r="L49" s="81">
        <v>2</v>
      </c>
      <c r="M49" s="81">
        <v>1</v>
      </c>
      <c r="N49" s="82">
        <f t="shared" si="3"/>
        <v>3</v>
      </c>
      <c r="O49" s="82">
        <f t="shared" si="34"/>
        <v>2</v>
      </c>
      <c r="P49" s="82">
        <f t="shared" si="34"/>
        <v>1</v>
      </c>
      <c r="Q49" s="82">
        <f t="shared" si="34"/>
        <v>14</v>
      </c>
      <c r="R49" s="82">
        <f t="shared" si="34"/>
        <v>2</v>
      </c>
      <c r="S49" s="93">
        <f t="shared" si="5"/>
        <v>19</v>
      </c>
      <c r="T49" s="81">
        <v>3</v>
      </c>
      <c r="U49" s="81">
        <v>2</v>
      </c>
      <c r="V49" s="81">
        <v>12</v>
      </c>
      <c r="W49" s="81">
        <v>1</v>
      </c>
      <c r="X49" s="93">
        <f t="shared" si="6"/>
        <v>18</v>
      </c>
      <c r="Y49" s="82">
        <v>3</v>
      </c>
      <c r="Z49" s="82">
        <v>2</v>
      </c>
      <c r="AA49" s="82">
        <v>12</v>
      </c>
      <c r="AB49" s="82">
        <v>1</v>
      </c>
      <c r="AC49" s="82">
        <f t="shared" si="7"/>
        <v>18</v>
      </c>
      <c r="AD49" s="82">
        <f>(Y49*7050+Z49*6485+AA49*5800+AB49*4900)*12</f>
        <v>1303440</v>
      </c>
      <c r="AE49" s="82">
        <f t="shared" si="8"/>
        <v>77760</v>
      </c>
      <c r="AF49" s="82">
        <f t="shared" si="9"/>
        <v>108000</v>
      </c>
      <c r="AG49" s="82">
        <f t="shared" si="10"/>
        <v>43200</v>
      </c>
      <c r="AH49" s="82">
        <f t="shared" si="11"/>
        <v>169200</v>
      </c>
      <c r="AI49" s="82">
        <f t="shared" si="12"/>
        <v>14400</v>
      </c>
      <c r="AJ49" s="82">
        <f t="shared" si="13"/>
        <v>10000</v>
      </c>
      <c r="AK49" s="82">
        <f t="shared" si="14"/>
        <v>17280</v>
      </c>
      <c r="AL49" s="82">
        <f t="shared" si="15"/>
        <v>546364.02</v>
      </c>
      <c r="AM49" s="82">
        <f t="shared" si="16"/>
        <v>2289644</v>
      </c>
      <c r="AN49" s="120"/>
      <c r="AO49" s="82">
        <f t="shared" si="36"/>
        <v>2289644</v>
      </c>
    </row>
    <row r="50" spans="1:41" s="83" customFormat="1" ht="18" customHeight="1">
      <c r="A50" s="79" t="s">
        <v>6</v>
      </c>
      <c r="B50" s="80" t="s">
        <v>975</v>
      </c>
      <c r="C50" s="80" t="s">
        <v>649</v>
      </c>
      <c r="D50" s="81">
        <v>1</v>
      </c>
      <c r="E50" s="86">
        <v>2.8205128205127998</v>
      </c>
      <c r="F50" s="86">
        <v>2</v>
      </c>
      <c r="G50" s="86">
        <v>16.875</v>
      </c>
      <c r="H50" s="86">
        <v>1</v>
      </c>
      <c r="I50" s="82">
        <f t="shared" si="2"/>
        <v>22.6955128205128</v>
      </c>
      <c r="J50" s="81">
        <v>0</v>
      </c>
      <c r="K50" s="81">
        <v>0</v>
      </c>
      <c r="L50" s="81">
        <v>0</v>
      </c>
      <c r="M50" s="81">
        <v>0</v>
      </c>
      <c r="N50" s="82">
        <f t="shared" si="3"/>
        <v>0</v>
      </c>
      <c r="O50" s="82">
        <f t="shared" si="34"/>
        <v>2.8205128205127998</v>
      </c>
      <c r="P50" s="82">
        <f>F50+K50</f>
        <v>2</v>
      </c>
      <c r="Q50" s="82">
        <f>G50+L50</f>
        <v>16.875</v>
      </c>
      <c r="R50" s="82">
        <f>H50+M50</f>
        <v>1</v>
      </c>
      <c r="S50" s="93">
        <f t="shared" si="5"/>
        <v>22.6955128205128</v>
      </c>
      <c r="T50" s="81">
        <v>0</v>
      </c>
      <c r="U50" s="81">
        <v>2</v>
      </c>
      <c r="V50" s="81">
        <v>7</v>
      </c>
      <c r="W50" s="81">
        <v>1</v>
      </c>
      <c r="X50" s="93">
        <f t="shared" si="6"/>
        <v>10</v>
      </c>
      <c r="Y50" s="82">
        <v>0</v>
      </c>
      <c r="Z50" s="82">
        <v>2</v>
      </c>
      <c r="AA50" s="82">
        <v>7</v>
      </c>
      <c r="AB50" s="82">
        <v>1</v>
      </c>
      <c r="AC50" s="82">
        <f t="shared" si="7"/>
        <v>10</v>
      </c>
      <c r="AD50" s="82">
        <f>(Y50*7050+Z50*6485+AA50*5800+AB50*4900)*12</f>
        <v>701640</v>
      </c>
      <c r="AE50" s="82">
        <f t="shared" si="8"/>
        <v>43200</v>
      </c>
      <c r="AF50" s="82">
        <f t="shared" si="9"/>
        <v>60000</v>
      </c>
      <c r="AG50" s="82">
        <f t="shared" si="10"/>
        <v>24000</v>
      </c>
      <c r="AH50" s="82">
        <f t="shared" si="11"/>
        <v>94000</v>
      </c>
      <c r="AI50" s="82">
        <f t="shared" si="12"/>
        <v>8000</v>
      </c>
      <c r="AJ50" s="82">
        <f t="shared" si="13"/>
        <v>10000</v>
      </c>
      <c r="AK50" s="82">
        <f t="shared" si="14"/>
        <v>9600</v>
      </c>
      <c r="AL50" s="82">
        <f t="shared" si="15"/>
        <v>303535.56</v>
      </c>
      <c r="AM50" s="82">
        <f t="shared" si="16"/>
        <v>1253976</v>
      </c>
      <c r="AN50" s="120"/>
      <c r="AO50" s="82">
        <f t="shared" si="36"/>
        <v>1253976</v>
      </c>
    </row>
    <row r="51" spans="1:41" s="85" customFormat="1" ht="18" customHeight="1">
      <c r="A51" s="164"/>
      <c r="B51" s="164" t="s">
        <v>681</v>
      </c>
      <c r="C51" s="164"/>
      <c r="D51" s="84">
        <f>SUM(D36:D50)</f>
        <v>17</v>
      </c>
      <c r="E51" s="84">
        <f t="shared" ref="E51:AO51" si="39">SUM(E36:E50)</f>
        <v>71.3525350016224</v>
      </c>
      <c r="F51" s="84">
        <f t="shared" si="39"/>
        <v>94.5</v>
      </c>
      <c r="G51" s="84">
        <f t="shared" si="39"/>
        <v>193.76249999999999</v>
      </c>
      <c r="H51" s="84">
        <f t="shared" si="39"/>
        <v>63.5</v>
      </c>
      <c r="I51" s="84">
        <f t="shared" si="39"/>
        <v>423.11503500162246</v>
      </c>
      <c r="J51" s="84">
        <f t="shared" si="39"/>
        <v>25</v>
      </c>
      <c r="K51" s="84">
        <f t="shared" si="39"/>
        <v>8</v>
      </c>
      <c r="L51" s="84">
        <f t="shared" si="39"/>
        <v>11</v>
      </c>
      <c r="M51" s="84">
        <f t="shared" si="39"/>
        <v>1</v>
      </c>
      <c r="N51" s="84">
        <f t="shared" si="39"/>
        <v>45</v>
      </c>
      <c r="O51" s="84">
        <f t="shared" si="39"/>
        <v>96.3525350016224</v>
      </c>
      <c r="P51" s="84">
        <f t="shared" si="39"/>
        <v>102.5</v>
      </c>
      <c r="Q51" s="84">
        <f t="shared" si="39"/>
        <v>204.76249999999999</v>
      </c>
      <c r="R51" s="84">
        <f t="shared" si="39"/>
        <v>64.5</v>
      </c>
      <c r="S51" s="84">
        <f t="shared" si="39"/>
        <v>468.11503500162246</v>
      </c>
      <c r="T51" s="84">
        <f t="shared" si="39"/>
        <v>45</v>
      </c>
      <c r="U51" s="84">
        <f t="shared" si="39"/>
        <v>59</v>
      </c>
      <c r="V51" s="84">
        <f t="shared" si="39"/>
        <v>187</v>
      </c>
      <c r="W51" s="84">
        <f t="shared" si="39"/>
        <v>60</v>
      </c>
      <c r="X51" s="84">
        <f t="shared" si="39"/>
        <v>351</v>
      </c>
      <c r="Y51" s="84">
        <f t="shared" si="39"/>
        <v>45</v>
      </c>
      <c r="Z51" s="84">
        <f t="shared" si="39"/>
        <v>59</v>
      </c>
      <c r="AA51" s="84">
        <f t="shared" si="39"/>
        <v>186.92500000000001</v>
      </c>
      <c r="AB51" s="84">
        <f t="shared" si="39"/>
        <v>60</v>
      </c>
      <c r="AC51" s="84">
        <f t="shared" si="39"/>
        <v>350.92500000000001</v>
      </c>
      <c r="AD51" s="84">
        <f t="shared" si="39"/>
        <v>25634040</v>
      </c>
      <c r="AE51" s="84">
        <f t="shared" si="39"/>
        <v>1515996</v>
      </c>
      <c r="AF51" s="84">
        <f t="shared" si="39"/>
        <v>2105550</v>
      </c>
      <c r="AG51" s="84">
        <f t="shared" si="39"/>
        <v>842220</v>
      </c>
      <c r="AH51" s="84">
        <f t="shared" si="39"/>
        <v>3388695</v>
      </c>
      <c r="AI51" s="84">
        <f t="shared" si="39"/>
        <v>280740</v>
      </c>
      <c r="AJ51" s="84">
        <f t="shared" si="39"/>
        <v>170000</v>
      </c>
      <c r="AK51" s="84">
        <f t="shared" si="39"/>
        <v>336888</v>
      </c>
      <c r="AL51" s="84">
        <f t="shared" si="39"/>
        <v>10651821.810000001</v>
      </c>
      <c r="AM51" s="84">
        <f t="shared" si="39"/>
        <v>44925952</v>
      </c>
      <c r="AN51" s="84">
        <f t="shared" si="39"/>
        <v>255256.75</v>
      </c>
      <c r="AO51" s="84">
        <f t="shared" si="39"/>
        <v>45181208.75</v>
      </c>
    </row>
    <row r="52" spans="1:41" ht="18" customHeight="1">
      <c r="A52" s="79" t="s">
        <v>5</v>
      </c>
      <c r="B52" s="80" t="s">
        <v>682</v>
      </c>
      <c r="C52" s="80" t="s">
        <v>649</v>
      </c>
      <c r="D52" s="81">
        <v>2</v>
      </c>
      <c r="E52" s="86">
        <v>5.5641025641026003</v>
      </c>
      <c r="F52" s="86">
        <v>4</v>
      </c>
      <c r="G52" s="86">
        <v>36.15</v>
      </c>
      <c r="H52" s="86">
        <v>2</v>
      </c>
      <c r="I52" s="82">
        <f t="shared" si="2"/>
        <v>47.714102564102603</v>
      </c>
      <c r="J52" s="81">
        <v>3</v>
      </c>
      <c r="K52" s="81">
        <v>0</v>
      </c>
      <c r="L52" s="81">
        <v>5</v>
      </c>
      <c r="M52" s="81">
        <v>0</v>
      </c>
      <c r="N52" s="82">
        <f t="shared" si="3"/>
        <v>8</v>
      </c>
      <c r="O52" s="82">
        <f t="shared" ref="O52:R69" si="40">E52+J52</f>
        <v>8.5641025641026012</v>
      </c>
      <c r="P52" s="82">
        <f t="shared" si="40"/>
        <v>4</v>
      </c>
      <c r="Q52" s="82">
        <f t="shared" si="40"/>
        <v>41.15</v>
      </c>
      <c r="R52" s="82">
        <f t="shared" si="40"/>
        <v>2</v>
      </c>
      <c r="S52" s="93">
        <f t="shared" si="5"/>
        <v>55.714102564102603</v>
      </c>
      <c r="T52" s="81">
        <v>0</v>
      </c>
      <c r="U52" s="81">
        <v>4</v>
      </c>
      <c r="V52" s="81">
        <v>41</v>
      </c>
      <c r="W52" s="81">
        <v>2</v>
      </c>
      <c r="X52" s="93">
        <f t="shared" si="6"/>
        <v>47</v>
      </c>
      <c r="Y52" s="81">
        <v>0</v>
      </c>
      <c r="Z52" s="81">
        <v>4</v>
      </c>
      <c r="AA52" s="81">
        <v>41</v>
      </c>
      <c r="AB52" s="81">
        <v>2</v>
      </c>
      <c r="AC52" s="82">
        <f t="shared" si="7"/>
        <v>47</v>
      </c>
      <c r="AD52" s="82">
        <f t="shared" ref="AD52:AD59" si="41">(Y52*7050+Z52*6485+AA52*5800+AB52*4900)*12</f>
        <v>3282480</v>
      </c>
      <c r="AE52" s="82">
        <f t="shared" si="8"/>
        <v>203040</v>
      </c>
      <c r="AF52" s="82">
        <f t="shared" si="9"/>
        <v>282000</v>
      </c>
      <c r="AG52" s="82">
        <f t="shared" si="10"/>
        <v>112800</v>
      </c>
      <c r="AH52" s="82">
        <f t="shared" si="11"/>
        <v>441800</v>
      </c>
      <c r="AI52" s="82">
        <f t="shared" si="12"/>
        <v>37600</v>
      </c>
      <c r="AJ52" s="82">
        <f t="shared" si="13"/>
        <v>20000</v>
      </c>
      <c r="AK52" s="82">
        <f t="shared" si="14"/>
        <v>45120</v>
      </c>
      <c r="AL52" s="82">
        <f t="shared" si="15"/>
        <v>1426617.15</v>
      </c>
      <c r="AM52" s="82">
        <f t="shared" si="16"/>
        <v>5851457</v>
      </c>
      <c r="AN52" s="119"/>
      <c r="AO52" s="121">
        <f>AM52+AN52</f>
        <v>5851457</v>
      </c>
    </row>
    <row r="53" spans="1:41" ht="18" customHeight="1">
      <c r="A53" s="79" t="s">
        <v>5</v>
      </c>
      <c r="B53" s="80" t="s">
        <v>683</v>
      </c>
      <c r="C53" s="80" t="s">
        <v>649</v>
      </c>
      <c r="D53" s="81">
        <v>2</v>
      </c>
      <c r="E53" s="86">
        <v>18.316239316239301</v>
      </c>
      <c r="F53" s="86">
        <v>2</v>
      </c>
      <c r="G53" s="86">
        <v>34.674999999999997</v>
      </c>
      <c r="H53" s="86">
        <v>3</v>
      </c>
      <c r="I53" s="82">
        <f t="shared" si="2"/>
        <v>57.991239316239302</v>
      </c>
      <c r="J53" s="81">
        <v>0</v>
      </c>
      <c r="K53" s="81">
        <v>0</v>
      </c>
      <c r="L53" s="81">
        <v>0</v>
      </c>
      <c r="M53" s="81">
        <v>0</v>
      </c>
      <c r="N53" s="82">
        <f t="shared" si="3"/>
        <v>0</v>
      </c>
      <c r="O53" s="82">
        <f t="shared" si="40"/>
        <v>18.316239316239301</v>
      </c>
      <c r="P53" s="82">
        <f t="shared" si="40"/>
        <v>2</v>
      </c>
      <c r="Q53" s="82">
        <f t="shared" si="40"/>
        <v>34.674999999999997</v>
      </c>
      <c r="R53" s="82">
        <f t="shared" si="40"/>
        <v>3</v>
      </c>
      <c r="S53" s="93">
        <f t="shared" si="5"/>
        <v>57.991239316239302</v>
      </c>
      <c r="T53" s="81">
        <v>0</v>
      </c>
      <c r="U53" s="81">
        <v>2</v>
      </c>
      <c r="V53" s="81">
        <v>32</v>
      </c>
      <c r="W53" s="81">
        <v>4</v>
      </c>
      <c r="X53" s="93">
        <f t="shared" si="6"/>
        <v>38</v>
      </c>
      <c r="Y53" s="81">
        <v>0</v>
      </c>
      <c r="Z53" s="81">
        <v>2</v>
      </c>
      <c r="AA53" s="81">
        <v>32</v>
      </c>
      <c r="AB53" s="81">
        <v>4</v>
      </c>
      <c r="AC53" s="82">
        <f t="shared" si="7"/>
        <v>38</v>
      </c>
      <c r="AD53" s="82">
        <f t="shared" si="41"/>
        <v>2618040</v>
      </c>
      <c r="AE53" s="82">
        <f t="shared" si="8"/>
        <v>164160</v>
      </c>
      <c r="AF53" s="82">
        <f t="shared" si="9"/>
        <v>228000</v>
      </c>
      <c r="AG53" s="82">
        <f t="shared" si="10"/>
        <v>91200</v>
      </c>
      <c r="AH53" s="82">
        <f t="shared" si="11"/>
        <v>357200</v>
      </c>
      <c r="AI53" s="82">
        <f t="shared" si="12"/>
        <v>30400</v>
      </c>
      <c r="AJ53" s="82">
        <f t="shared" si="13"/>
        <v>20000</v>
      </c>
      <c r="AK53" s="82">
        <f t="shared" si="14"/>
        <v>36480</v>
      </c>
      <c r="AL53" s="82">
        <f t="shared" si="15"/>
        <v>1153435.1499999999</v>
      </c>
      <c r="AM53" s="82">
        <f t="shared" si="16"/>
        <v>4698915</v>
      </c>
      <c r="AN53" s="119"/>
      <c r="AO53" s="121">
        <f t="shared" ref="AO53:AO69" si="42">AM53+AN53</f>
        <v>4698915</v>
      </c>
    </row>
    <row r="54" spans="1:41" ht="18" customHeight="1">
      <c r="A54" s="79" t="s">
        <v>5</v>
      </c>
      <c r="B54" s="80" t="s">
        <v>684</v>
      </c>
      <c r="C54" s="80" t="s">
        <v>649</v>
      </c>
      <c r="D54" s="81">
        <v>2</v>
      </c>
      <c r="E54" s="86">
        <v>15.6410256410256</v>
      </c>
      <c r="F54" s="86">
        <v>6</v>
      </c>
      <c r="G54" s="86">
        <v>44.0625</v>
      </c>
      <c r="H54" s="86">
        <v>4</v>
      </c>
      <c r="I54" s="82">
        <f t="shared" si="2"/>
        <v>69.703525641025607</v>
      </c>
      <c r="J54" s="81">
        <v>0</v>
      </c>
      <c r="K54" s="81">
        <v>0</v>
      </c>
      <c r="L54" s="81">
        <v>0</v>
      </c>
      <c r="M54" s="81">
        <v>0</v>
      </c>
      <c r="N54" s="82">
        <f t="shared" si="3"/>
        <v>0</v>
      </c>
      <c r="O54" s="82">
        <f t="shared" si="40"/>
        <v>15.6410256410256</v>
      </c>
      <c r="P54" s="82">
        <f t="shared" si="40"/>
        <v>6</v>
      </c>
      <c r="Q54" s="82">
        <f t="shared" si="40"/>
        <v>44.0625</v>
      </c>
      <c r="R54" s="82">
        <f t="shared" si="40"/>
        <v>4</v>
      </c>
      <c r="S54" s="93">
        <f t="shared" si="5"/>
        <v>69.703525641025607</v>
      </c>
      <c r="T54" s="81">
        <v>9</v>
      </c>
      <c r="U54" s="81">
        <v>7</v>
      </c>
      <c r="V54" s="81">
        <v>43</v>
      </c>
      <c r="W54" s="81">
        <v>3</v>
      </c>
      <c r="X54" s="93">
        <f t="shared" si="6"/>
        <v>62</v>
      </c>
      <c r="Y54" s="81">
        <v>9</v>
      </c>
      <c r="Z54" s="81">
        <v>7</v>
      </c>
      <c r="AA54" s="81">
        <v>43</v>
      </c>
      <c r="AB54" s="81">
        <v>3</v>
      </c>
      <c r="AC54" s="82">
        <f t="shared" si="7"/>
        <v>62</v>
      </c>
      <c r="AD54" s="82">
        <f t="shared" si="41"/>
        <v>4475340</v>
      </c>
      <c r="AE54" s="82">
        <f t="shared" si="8"/>
        <v>267840</v>
      </c>
      <c r="AF54" s="82">
        <f t="shared" si="9"/>
        <v>372000</v>
      </c>
      <c r="AG54" s="82">
        <f t="shared" si="10"/>
        <v>148800</v>
      </c>
      <c r="AH54" s="82">
        <f t="shared" si="11"/>
        <v>582800</v>
      </c>
      <c r="AI54" s="82">
        <f t="shared" si="12"/>
        <v>49600</v>
      </c>
      <c r="AJ54" s="82">
        <f t="shared" si="13"/>
        <v>20000</v>
      </c>
      <c r="AK54" s="82">
        <f t="shared" si="14"/>
        <v>59520</v>
      </c>
      <c r="AL54" s="82">
        <f t="shared" si="15"/>
        <v>1881920.5</v>
      </c>
      <c r="AM54" s="82">
        <f t="shared" si="16"/>
        <v>7857821</v>
      </c>
      <c r="AN54" s="119"/>
      <c r="AO54" s="121">
        <f t="shared" si="42"/>
        <v>7857821</v>
      </c>
    </row>
    <row r="55" spans="1:41" ht="18" customHeight="1">
      <c r="A55" s="79" t="s">
        <v>5</v>
      </c>
      <c r="B55" s="80" t="s">
        <v>685</v>
      </c>
      <c r="C55" s="80" t="s">
        <v>649</v>
      </c>
      <c r="D55" s="81">
        <v>2</v>
      </c>
      <c r="E55" s="86">
        <v>2.8290598290597999</v>
      </c>
      <c r="F55" s="86">
        <v>2</v>
      </c>
      <c r="G55" s="86">
        <v>33.75</v>
      </c>
      <c r="H55" s="86">
        <v>2</v>
      </c>
      <c r="I55" s="82">
        <f t="shared" si="2"/>
        <v>40.579059829059801</v>
      </c>
      <c r="J55" s="81">
        <v>2</v>
      </c>
      <c r="K55" s="81">
        <v>1</v>
      </c>
      <c r="L55" s="81">
        <v>2</v>
      </c>
      <c r="M55" s="81">
        <v>0</v>
      </c>
      <c r="N55" s="82">
        <f t="shared" si="3"/>
        <v>5</v>
      </c>
      <c r="O55" s="82">
        <f t="shared" si="40"/>
        <v>4.8290598290597995</v>
      </c>
      <c r="P55" s="82">
        <f t="shared" si="40"/>
        <v>3</v>
      </c>
      <c r="Q55" s="82">
        <f t="shared" si="40"/>
        <v>35.75</v>
      </c>
      <c r="R55" s="82">
        <f t="shared" si="40"/>
        <v>2</v>
      </c>
      <c r="S55" s="93">
        <f t="shared" si="5"/>
        <v>45.579059829059801</v>
      </c>
      <c r="T55" s="81">
        <v>4</v>
      </c>
      <c r="U55" s="81">
        <v>2</v>
      </c>
      <c r="V55" s="81">
        <v>33</v>
      </c>
      <c r="W55" s="81">
        <v>2</v>
      </c>
      <c r="X55" s="93">
        <f t="shared" si="6"/>
        <v>41</v>
      </c>
      <c r="Y55" s="81">
        <v>4</v>
      </c>
      <c r="Z55" s="81">
        <v>2</v>
      </c>
      <c r="AA55" s="81">
        <v>33</v>
      </c>
      <c r="AB55" s="81">
        <v>2</v>
      </c>
      <c r="AC55" s="82">
        <f t="shared" si="7"/>
        <v>41</v>
      </c>
      <c r="AD55" s="82">
        <f t="shared" si="41"/>
        <v>2908440</v>
      </c>
      <c r="AE55" s="82">
        <f t="shared" si="8"/>
        <v>177120</v>
      </c>
      <c r="AF55" s="82">
        <f t="shared" si="9"/>
        <v>246000</v>
      </c>
      <c r="AG55" s="82">
        <f t="shared" si="10"/>
        <v>98400</v>
      </c>
      <c r="AH55" s="82">
        <f t="shared" si="11"/>
        <v>385400</v>
      </c>
      <c r="AI55" s="82">
        <f t="shared" si="12"/>
        <v>32800</v>
      </c>
      <c r="AJ55" s="82">
        <f t="shared" si="13"/>
        <v>20000</v>
      </c>
      <c r="AK55" s="82">
        <f t="shared" si="14"/>
        <v>39360</v>
      </c>
      <c r="AL55" s="82">
        <f t="shared" si="15"/>
        <v>1244495.82</v>
      </c>
      <c r="AM55" s="82">
        <f t="shared" si="16"/>
        <v>5152016</v>
      </c>
      <c r="AN55" s="119"/>
      <c r="AO55" s="121">
        <f t="shared" si="42"/>
        <v>5152016</v>
      </c>
    </row>
    <row r="56" spans="1:41" ht="18" customHeight="1">
      <c r="A56" s="79" t="s">
        <v>5</v>
      </c>
      <c r="B56" s="80" t="s">
        <v>686</v>
      </c>
      <c r="C56" s="80" t="s">
        <v>959</v>
      </c>
      <c r="D56" s="81"/>
      <c r="E56" s="86">
        <v>6.68965517241379</v>
      </c>
      <c r="F56" s="86">
        <v>10</v>
      </c>
      <c r="G56" s="86">
        <v>0</v>
      </c>
      <c r="H56" s="86">
        <v>6</v>
      </c>
      <c r="I56" s="82">
        <f t="shared" si="2"/>
        <v>22.68965517241379</v>
      </c>
      <c r="J56" s="81">
        <v>0</v>
      </c>
      <c r="K56" s="81">
        <v>0</v>
      </c>
      <c r="L56" s="81">
        <v>0</v>
      </c>
      <c r="M56" s="81">
        <v>0</v>
      </c>
      <c r="N56" s="82">
        <f t="shared" si="3"/>
        <v>0</v>
      </c>
      <c r="O56" s="82">
        <f t="shared" si="40"/>
        <v>6.68965517241379</v>
      </c>
      <c r="P56" s="82">
        <f t="shared" si="40"/>
        <v>10</v>
      </c>
      <c r="Q56" s="82">
        <f t="shared" si="40"/>
        <v>0</v>
      </c>
      <c r="R56" s="82">
        <f t="shared" si="40"/>
        <v>6</v>
      </c>
      <c r="S56" s="93">
        <f t="shared" si="5"/>
        <v>22.68965517241379</v>
      </c>
      <c r="T56" s="81">
        <v>0</v>
      </c>
      <c r="U56" s="81">
        <v>2</v>
      </c>
      <c r="V56" s="81">
        <v>0</v>
      </c>
      <c r="W56" s="81">
        <v>8</v>
      </c>
      <c r="X56" s="93">
        <f t="shared" si="6"/>
        <v>10</v>
      </c>
      <c r="Y56" s="81">
        <v>0</v>
      </c>
      <c r="Z56" s="81">
        <v>2</v>
      </c>
      <c r="AA56" s="81">
        <v>0</v>
      </c>
      <c r="AB56" s="81">
        <v>8</v>
      </c>
      <c r="AC56" s="82">
        <f t="shared" si="7"/>
        <v>10</v>
      </c>
      <c r="AD56" s="82">
        <f t="shared" si="41"/>
        <v>626040</v>
      </c>
      <c r="AE56" s="82">
        <f t="shared" si="8"/>
        <v>43200</v>
      </c>
      <c r="AF56" s="82">
        <f t="shared" si="9"/>
        <v>60000</v>
      </c>
      <c r="AG56" s="82">
        <f t="shared" si="10"/>
        <v>24000</v>
      </c>
      <c r="AH56" s="82">
        <f t="shared" si="11"/>
        <v>94000</v>
      </c>
      <c r="AI56" s="82">
        <f t="shared" si="12"/>
        <v>8000</v>
      </c>
      <c r="AJ56" s="82">
        <f t="shared" si="13"/>
        <v>0</v>
      </c>
      <c r="AK56" s="82">
        <f t="shared" si="14"/>
        <v>9600</v>
      </c>
      <c r="AL56" s="82">
        <f t="shared" si="15"/>
        <v>303535.56</v>
      </c>
      <c r="AM56" s="82">
        <f t="shared" si="16"/>
        <v>1168376</v>
      </c>
      <c r="AN56" s="119">
        <v>98406.25</v>
      </c>
      <c r="AO56" s="119">
        <f t="shared" si="42"/>
        <v>1266782.25</v>
      </c>
    </row>
    <row r="57" spans="1:41" s="83" customFormat="1" ht="18" customHeight="1">
      <c r="A57" s="79" t="s">
        <v>5</v>
      </c>
      <c r="B57" s="80" t="s">
        <v>687</v>
      </c>
      <c r="C57" s="80" t="s">
        <v>959</v>
      </c>
      <c r="D57" s="81"/>
      <c r="E57" s="86">
        <v>46.275862068965999</v>
      </c>
      <c r="F57" s="86">
        <v>11</v>
      </c>
      <c r="G57" s="86">
        <v>0</v>
      </c>
      <c r="H57" s="86">
        <v>6</v>
      </c>
      <c r="I57" s="82">
        <f t="shared" si="2"/>
        <v>63.275862068965999</v>
      </c>
      <c r="J57" s="81">
        <v>10</v>
      </c>
      <c r="K57" s="81">
        <v>0</v>
      </c>
      <c r="L57" s="81">
        <v>0</v>
      </c>
      <c r="M57" s="81">
        <v>0</v>
      </c>
      <c r="N57" s="82">
        <f t="shared" si="3"/>
        <v>10</v>
      </c>
      <c r="O57" s="82">
        <f t="shared" si="40"/>
        <v>56.275862068965999</v>
      </c>
      <c r="P57" s="82">
        <f t="shared" si="40"/>
        <v>11</v>
      </c>
      <c r="Q57" s="82">
        <f t="shared" si="40"/>
        <v>0</v>
      </c>
      <c r="R57" s="82">
        <f t="shared" si="40"/>
        <v>6</v>
      </c>
      <c r="S57" s="93">
        <f t="shared" si="5"/>
        <v>73.275862068966006</v>
      </c>
      <c r="T57" s="81">
        <v>1</v>
      </c>
      <c r="U57" s="81">
        <v>5</v>
      </c>
      <c r="V57" s="81">
        <v>1</v>
      </c>
      <c r="W57" s="81">
        <v>6</v>
      </c>
      <c r="X57" s="93">
        <f t="shared" si="6"/>
        <v>13</v>
      </c>
      <c r="Y57" s="81">
        <v>1</v>
      </c>
      <c r="Z57" s="81">
        <v>5</v>
      </c>
      <c r="AA57" s="81">
        <v>1</v>
      </c>
      <c r="AB57" s="81">
        <v>6</v>
      </c>
      <c r="AC57" s="82">
        <f t="shared" si="7"/>
        <v>13</v>
      </c>
      <c r="AD57" s="82">
        <f t="shared" si="41"/>
        <v>896100</v>
      </c>
      <c r="AE57" s="82">
        <f t="shared" si="8"/>
        <v>56160</v>
      </c>
      <c r="AF57" s="82">
        <f t="shared" si="9"/>
        <v>78000</v>
      </c>
      <c r="AG57" s="82">
        <f t="shared" si="10"/>
        <v>31200</v>
      </c>
      <c r="AH57" s="82">
        <f t="shared" si="11"/>
        <v>122200</v>
      </c>
      <c r="AI57" s="82">
        <f t="shared" si="12"/>
        <v>10400</v>
      </c>
      <c r="AJ57" s="82">
        <f t="shared" si="13"/>
        <v>0</v>
      </c>
      <c r="AK57" s="82">
        <f t="shared" si="14"/>
        <v>12480</v>
      </c>
      <c r="AL57" s="82">
        <f t="shared" si="15"/>
        <v>394596.23</v>
      </c>
      <c r="AM57" s="82">
        <f t="shared" si="16"/>
        <v>1601136</v>
      </c>
      <c r="AN57" s="120">
        <v>68976.25</v>
      </c>
      <c r="AO57" s="119">
        <f t="shared" si="42"/>
        <v>1670112.25</v>
      </c>
    </row>
    <row r="58" spans="1:41" s="83" customFormat="1" ht="18" customHeight="1">
      <c r="A58" s="79" t="s">
        <v>5</v>
      </c>
      <c r="B58" s="80" t="s">
        <v>688</v>
      </c>
      <c r="C58" s="80" t="s">
        <v>959</v>
      </c>
      <c r="D58" s="81"/>
      <c r="E58" s="86">
        <v>6.5517241379310001</v>
      </c>
      <c r="F58" s="86">
        <v>9.5</v>
      </c>
      <c r="G58" s="86">
        <v>0</v>
      </c>
      <c r="H58" s="86">
        <v>5.5</v>
      </c>
      <c r="I58" s="82">
        <f t="shared" si="2"/>
        <v>21.551724137931</v>
      </c>
      <c r="J58" s="81">
        <v>0</v>
      </c>
      <c r="K58" s="81">
        <v>0</v>
      </c>
      <c r="L58" s="81">
        <v>0</v>
      </c>
      <c r="M58" s="81">
        <v>2</v>
      </c>
      <c r="N58" s="82">
        <f t="shared" si="3"/>
        <v>2</v>
      </c>
      <c r="O58" s="82">
        <f t="shared" si="40"/>
        <v>6.5517241379310001</v>
      </c>
      <c r="P58" s="82">
        <f t="shared" si="40"/>
        <v>9.5</v>
      </c>
      <c r="Q58" s="82">
        <f t="shared" si="40"/>
        <v>0</v>
      </c>
      <c r="R58" s="82">
        <f t="shared" si="40"/>
        <v>7.5</v>
      </c>
      <c r="S58" s="93">
        <f t="shared" si="5"/>
        <v>23.551724137931</v>
      </c>
      <c r="T58" s="81">
        <v>10</v>
      </c>
      <c r="U58" s="81">
        <v>5</v>
      </c>
      <c r="V58" s="81">
        <v>0</v>
      </c>
      <c r="W58" s="81">
        <v>6</v>
      </c>
      <c r="X58" s="93">
        <f t="shared" si="6"/>
        <v>21</v>
      </c>
      <c r="Y58" s="81">
        <v>10</v>
      </c>
      <c r="Z58" s="81">
        <v>5</v>
      </c>
      <c r="AA58" s="81">
        <v>0</v>
      </c>
      <c r="AB58" s="81">
        <v>6</v>
      </c>
      <c r="AC58" s="82">
        <f t="shared" si="7"/>
        <v>21</v>
      </c>
      <c r="AD58" s="82">
        <f t="shared" si="41"/>
        <v>1587900</v>
      </c>
      <c r="AE58" s="82">
        <f t="shared" si="8"/>
        <v>90720</v>
      </c>
      <c r="AF58" s="82">
        <f t="shared" si="9"/>
        <v>126000</v>
      </c>
      <c r="AG58" s="82">
        <f t="shared" si="10"/>
        <v>50400</v>
      </c>
      <c r="AH58" s="82">
        <f t="shared" si="11"/>
        <v>197400</v>
      </c>
      <c r="AI58" s="82">
        <f t="shared" si="12"/>
        <v>16800</v>
      </c>
      <c r="AJ58" s="82">
        <f t="shared" si="13"/>
        <v>0</v>
      </c>
      <c r="AK58" s="82">
        <f t="shared" si="14"/>
        <v>20160</v>
      </c>
      <c r="AL58" s="82">
        <f t="shared" si="15"/>
        <v>637424.68999999994</v>
      </c>
      <c r="AM58" s="82">
        <f t="shared" si="16"/>
        <v>2726805</v>
      </c>
      <c r="AN58" s="120">
        <v>66087.5</v>
      </c>
      <c r="AO58" s="119">
        <f t="shared" si="42"/>
        <v>2792892.5</v>
      </c>
    </row>
    <row r="59" spans="1:41" ht="18" customHeight="1">
      <c r="A59" s="79" t="s">
        <v>5</v>
      </c>
      <c r="B59" s="80" t="s">
        <v>689</v>
      </c>
      <c r="C59" s="80" t="s">
        <v>959</v>
      </c>
      <c r="D59" s="81"/>
      <c r="E59" s="86">
        <v>28.862068965517</v>
      </c>
      <c r="F59" s="86">
        <v>12</v>
      </c>
      <c r="G59" s="86">
        <v>0</v>
      </c>
      <c r="H59" s="86">
        <v>8</v>
      </c>
      <c r="I59" s="82">
        <f t="shared" si="2"/>
        <v>48.862068965516997</v>
      </c>
      <c r="J59" s="81">
        <v>0</v>
      </c>
      <c r="K59" s="81">
        <v>0</v>
      </c>
      <c r="L59" s="81">
        <v>0</v>
      </c>
      <c r="M59" s="81">
        <v>2</v>
      </c>
      <c r="N59" s="82">
        <f t="shared" si="3"/>
        <v>2</v>
      </c>
      <c r="O59" s="82">
        <f t="shared" si="40"/>
        <v>28.862068965517</v>
      </c>
      <c r="P59" s="82">
        <f t="shared" si="40"/>
        <v>12</v>
      </c>
      <c r="Q59" s="82">
        <f t="shared" si="40"/>
        <v>0</v>
      </c>
      <c r="R59" s="82">
        <f t="shared" si="40"/>
        <v>10</v>
      </c>
      <c r="S59" s="93">
        <f t="shared" si="5"/>
        <v>50.862068965516997</v>
      </c>
      <c r="T59" s="81">
        <v>0</v>
      </c>
      <c r="U59" s="81">
        <v>3</v>
      </c>
      <c r="V59" s="81">
        <v>0</v>
      </c>
      <c r="W59" s="81">
        <v>9</v>
      </c>
      <c r="X59" s="93">
        <f t="shared" si="6"/>
        <v>12</v>
      </c>
      <c r="Y59" s="81">
        <v>0</v>
      </c>
      <c r="Z59" s="81">
        <v>3</v>
      </c>
      <c r="AA59" s="81">
        <v>0</v>
      </c>
      <c r="AB59" s="81">
        <v>9</v>
      </c>
      <c r="AC59" s="82">
        <f t="shared" si="7"/>
        <v>12</v>
      </c>
      <c r="AD59" s="82">
        <f t="shared" si="41"/>
        <v>762660</v>
      </c>
      <c r="AE59" s="82">
        <f t="shared" si="8"/>
        <v>51840</v>
      </c>
      <c r="AF59" s="82">
        <f t="shared" si="9"/>
        <v>72000</v>
      </c>
      <c r="AG59" s="82">
        <f t="shared" si="10"/>
        <v>28800</v>
      </c>
      <c r="AH59" s="82">
        <f t="shared" si="11"/>
        <v>112800</v>
      </c>
      <c r="AI59" s="82">
        <f t="shared" si="12"/>
        <v>9600</v>
      </c>
      <c r="AJ59" s="82">
        <f t="shared" si="13"/>
        <v>0</v>
      </c>
      <c r="AK59" s="82">
        <f t="shared" si="14"/>
        <v>11520</v>
      </c>
      <c r="AL59" s="82">
        <f t="shared" si="15"/>
        <v>364242.68</v>
      </c>
      <c r="AM59" s="82">
        <f t="shared" si="16"/>
        <v>1413463</v>
      </c>
      <c r="AN59" s="119">
        <v>125152</v>
      </c>
      <c r="AO59" s="119">
        <f t="shared" si="42"/>
        <v>1538615</v>
      </c>
    </row>
    <row r="60" spans="1:41" s="83" customFormat="1" ht="18" customHeight="1">
      <c r="A60" s="79" t="s">
        <v>5</v>
      </c>
      <c r="B60" s="80" t="s">
        <v>690</v>
      </c>
      <c r="C60" s="80" t="s">
        <v>464</v>
      </c>
      <c r="D60" s="81"/>
      <c r="E60" s="86">
        <v>14.764705882352899</v>
      </c>
      <c r="F60" s="86">
        <v>10.5</v>
      </c>
      <c r="G60" s="86">
        <v>0</v>
      </c>
      <c r="H60" s="86">
        <v>6</v>
      </c>
      <c r="I60" s="82">
        <f t="shared" si="2"/>
        <v>31.264705882352899</v>
      </c>
      <c r="J60" s="81">
        <v>3</v>
      </c>
      <c r="K60" s="81">
        <v>2</v>
      </c>
      <c r="L60" s="81">
        <v>0</v>
      </c>
      <c r="M60" s="81">
        <v>4</v>
      </c>
      <c r="N60" s="82">
        <f t="shared" si="3"/>
        <v>9</v>
      </c>
      <c r="O60" s="82">
        <f t="shared" si="40"/>
        <v>17.764705882352899</v>
      </c>
      <c r="P60" s="82">
        <f t="shared" si="40"/>
        <v>12.5</v>
      </c>
      <c r="Q60" s="82">
        <f t="shared" si="40"/>
        <v>0</v>
      </c>
      <c r="R60" s="82">
        <f t="shared" si="40"/>
        <v>10</v>
      </c>
      <c r="S60" s="93">
        <f t="shared" si="5"/>
        <v>40.264705882352899</v>
      </c>
      <c r="T60" s="81">
        <v>5</v>
      </c>
      <c r="U60" s="81">
        <v>2</v>
      </c>
      <c r="V60" s="81">
        <v>0</v>
      </c>
      <c r="W60" s="81">
        <v>9</v>
      </c>
      <c r="X60" s="93">
        <f t="shared" si="6"/>
        <v>16</v>
      </c>
      <c r="Y60" s="81">
        <v>5</v>
      </c>
      <c r="Z60" s="81">
        <v>2</v>
      </c>
      <c r="AA60" s="81">
        <v>0</v>
      </c>
      <c r="AB60" s="81">
        <v>9</v>
      </c>
      <c r="AC60" s="82">
        <f t="shared" si="7"/>
        <v>16</v>
      </c>
      <c r="AD60" s="82">
        <f t="shared" ref="AD60:AD62" si="43">(Y60*9230+Z60*7215+AA60*5800+AB60*5100)*12</f>
        <v>1277760</v>
      </c>
      <c r="AE60" s="82">
        <f t="shared" si="8"/>
        <v>69120</v>
      </c>
      <c r="AF60" s="82">
        <f t="shared" si="9"/>
        <v>96000</v>
      </c>
      <c r="AG60" s="82">
        <f t="shared" si="10"/>
        <v>38400</v>
      </c>
      <c r="AH60" s="82">
        <f t="shared" ref="AH60:AH62" si="44">Y60*15400+(Z60+AA60+AB60)*9400</f>
        <v>180400</v>
      </c>
      <c r="AI60" s="82">
        <f t="shared" si="12"/>
        <v>12800</v>
      </c>
      <c r="AJ60" s="82">
        <f t="shared" si="13"/>
        <v>0</v>
      </c>
      <c r="AK60" s="82">
        <f t="shared" si="14"/>
        <v>15360</v>
      </c>
      <c r="AL60" s="82">
        <f t="shared" si="15"/>
        <v>485656.9</v>
      </c>
      <c r="AM60" s="82">
        <f t="shared" si="16"/>
        <v>2175497</v>
      </c>
      <c r="AN60" s="120">
        <v>118953.5</v>
      </c>
      <c r="AO60" s="119">
        <f t="shared" si="42"/>
        <v>2294450.5</v>
      </c>
    </row>
    <row r="61" spans="1:41" ht="18" customHeight="1">
      <c r="A61" s="79" t="s">
        <v>5</v>
      </c>
      <c r="B61" s="80" t="s">
        <v>691</v>
      </c>
      <c r="C61" s="80" t="s">
        <v>464</v>
      </c>
      <c r="D61" s="81"/>
      <c r="E61" s="86">
        <v>11.773109243697499</v>
      </c>
      <c r="F61" s="86">
        <v>10.5</v>
      </c>
      <c r="G61" s="86">
        <v>0</v>
      </c>
      <c r="H61" s="86">
        <v>6</v>
      </c>
      <c r="I61" s="82">
        <f t="shared" si="2"/>
        <v>28.273109243697498</v>
      </c>
      <c r="J61" s="81">
        <v>0</v>
      </c>
      <c r="K61" s="81">
        <v>1</v>
      </c>
      <c r="L61" s="81">
        <v>0</v>
      </c>
      <c r="M61" s="81">
        <v>0</v>
      </c>
      <c r="N61" s="82">
        <f t="shared" si="3"/>
        <v>1</v>
      </c>
      <c r="O61" s="82">
        <f t="shared" si="40"/>
        <v>11.773109243697499</v>
      </c>
      <c r="P61" s="82">
        <f t="shared" si="40"/>
        <v>11.5</v>
      </c>
      <c r="Q61" s="82">
        <f t="shared" si="40"/>
        <v>0</v>
      </c>
      <c r="R61" s="82">
        <f t="shared" si="40"/>
        <v>6</v>
      </c>
      <c r="S61" s="93">
        <f t="shared" si="5"/>
        <v>29.273109243697498</v>
      </c>
      <c r="T61" s="81">
        <v>2</v>
      </c>
      <c r="U61" s="81">
        <v>2</v>
      </c>
      <c r="V61" s="81">
        <v>0</v>
      </c>
      <c r="W61" s="81">
        <v>9</v>
      </c>
      <c r="X61" s="93">
        <f t="shared" si="6"/>
        <v>13</v>
      </c>
      <c r="Y61" s="81">
        <v>2</v>
      </c>
      <c r="Z61" s="81">
        <v>2</v>
      </c>
      <c r="AA61" s="81">
        <v>0</v>
      </c>
      <c r="AB61" s="81">
        <v>9</v>
      </c>
      <c r="AC61" s="82">
        <f t="shared" si="7"/>
        <v>13</v>
      </c>
      <c r="AD61" s="82">
        <f t="shared" si="43"/>
        <v>945480</v>
      </c>
      <c r="AE61" s="82">
        <f t="shared" si="8"/>
        <v>56160</v>
      </c>
      <c r="AF61" s="82">
        <f t="shared" si="9"/>
        <v>78000</v>
      </c>
      <c r="AG61" s="82">
        <f t="shared" si="10"/>
        <v>31200</v>
      </c>
      <c r="AH61" s="82">
        <f t="shared" si="44"/>
        <v>134200</v>
      </c>
      <c r="AI61" s="82">
        <f t="shared" si="12"/>
        <v>10400</v>
      </c>
      <c r="AJ61" s="82">
        <f t="shared" si="13"/>
        <v>0</v>
      </c>
      <c r="AK61" s="82">
        <f t="shared" si="14"/>
        <v>12480</v>
      </c>
      <c r="AL61" s="82">
        <f t="shared" si="15"/>
        <v>394596.23</v>
      </c>
      <c r="AM61" s="82">
        <f t="shared" si="16"/>
        <v>1662516</v>
      </c>
      <c r="AN61" s="119">
        <v>70970</v>
      </c>
      <c r="AO61" s="119">
        <f t="shared" si="42"/>
        <v>1733486</v>
      </c>
    </row>
    <row r="62" spans="1:41" s="83" customFormat="1" ht="18" customHeight="1">
      <c r="A62" s="79" t="s">
        <v>5</v>
      </c>
      <c r="B62" s="80" t="s">
        <v>692</v>
      </c>
      <c r="C62" s="80" t="s">
        <v>464</v>
      </c>
      <c r="D62" s="81"/>
      <c r="E62" s="86">
        <v>34.563025210084</v>
      </c>
      <c r="F62" s="86">
        <v>11</v>
      </c>
      <c r="G62" s="86">
        <v>0</v>
      </c>
      <c r="H62" s="86">
        <v>6</v>
      </c>
      <c r="I62" s="82">
        <f t="shared" si="2"/>
        <v>51.563025210084</v>
      </c>
      <c r="J62" s="81">
        <v>5</v>
      </c>
      <c r="K62" s="81">
        <v>4</v>
      </c>
      <c r="L62" s="81">
        <v>0</v>
      </c>
      <c r="M62" s="81">
        <v>2</v>
      </c>
      <c r="N62" s="82">
        <f t="shared" si="3"/>
        <v>11</v>
      </c>
      <c r="O62" s="82">
        <f t="shared" si="40"/>
        <v>39.563025210084</v>
      </c>
      <c r="P62" s="82">
        <f t="shared" si="40"/>
        <v>15</v>
      </c>
      <c r="Q62" s="82">
        <f t="shared" si="40"/>
        <v>0</v>
      </c>
      <c r="R62" s="82">
        <f t="shared" si="40"/>
        <v>8</v>
      </c>
      <c r="S62" s="93">
        <f t="shared" si="5"/>
        <v>62.563025210084</v>
      </c>
      <c r="T62" s="81">
        <v>1</v>
      </c>
      <c r="U62" s="81">
        <v>10</v>
      </c>
      <c r="V62" s="81">
        <v>0</v>
      </c>
      <c r="W62" s="81">
        <v>11</v>
      </c>
      <c r="X62" s="93">
        <f t="shared" si="6"/>
        <v>22</v>
      </c>
      <c r="Y62" s="81">
        <v>1</v>
      </c>
      <c r="Z62" s="81">
        <v>10</v>
      </c>
      <c r="AA62" s="81">
        <v>0</v>
      </c>
      <c r="AB62" s="81">
        <v>11</v>
      </c>
      <c r="AC62" s="82">
        <f t="shared" si="7"/>
        <v>22</v>
      </c>
      <c r="AD62" s="82">
        <f t="shared" si="43"/>
        <v>1649760</v>
      </c>
      <c r="AE62" s="82">
        <f t="shared" si="8"/>
        <v>95040</v>
      </c>
      <c r="AF62" s="82">
        <f t="shared" si="9"/>
        <v>132000</v>
      </c>
      <c r="AG62" s="82">
        <f t="shared" si="10"/>
        <v>52800</v>
      </c>
      <c r="AH62" s="82">
        <f t="shared" si="44"/>
        <v>212800</v>
      </c>
      <c r="AI62" s="82">
        <f t="shared" si="12"/>
        <v>17600</v>
      </c>
      <c r="AJ62" s="82">
        <f t="shared" si="13"/>
        <v>0</v>
      </c>
      <c r="AK62" s="82">
        <f t="shared" si="14"/>
        <v>21120</v>
      </c>
      <c r="AL62" s="82">
        <f t="shared" si="15"/>
        <v>667778.24</v>
      </c>
      <c r="AM62" s="82">
        <f t="shared" si="16"/>
        <v>2848898</v>
      </c>
      <c r="AN62" s="120">
        <v>16383.75</v>
      </c>
      <c r="AO62" s="119">
        <f t="shared" si="42"/>
        <v>2865281.75</v>
      </c>
    </row>
    <row r="63" spans="1:41" ht="18" customHeight="1">
      <c r="A63" s="79" t="s">
        <v>5</v>
      </c>
      <c r="B63" s="80" t="s">
        <v>693</v>
      </c>
      <c r="C63" s="80" t="s">
        <v>649</v>
      </c>
      <c r="D63" s="81">
        <v>2</v>
      </c>
      <c r="E63" s="86">
        <v>5.8461538461537996</v>
      </c>
      <c r="F63" s="86">
        <v>3</v>
      </c>
      <c r="G63" s="86">
        <v>24.412500000000001</v>
      </c>
      <c r="H63" s="86">
        <v>2</v>
      </c>
      <c r="I63" s="82">
        <f t="shared" si="2"/>
        <v>35.258653846153805</v>
      </c>
      <c r="J63" s="81">
        <v>0</v>
      </c>
      <c r="K63" s="81">
        <v>0</v>
      </c>
      <c r="L63" s="81">
        <v>0</v>
      </c>
      <c r="M63" s="81">
        <v>0</v>
      </c>
      <c r="N63" s="82">
        <f t="shared" si="3"/>
        <v>0</v>
      </c>
      <c r="O63" s="82">
        <f t="shared" si="40"/>
        <v>5.8461538461537996</v>
      </c>
      <c r="P63" s="82">
        <f t="shared" si="40"/>
        <v>3</v>
      </c>
      <c r="Q63" s="82">
        <f t="shared" si="40"/>
        <v>24.412500000000001</v>
      </c>
      <c r="R63" s="82">
        <f t="shared" si="40"/>
        <v>2</v>
      </c>
      <c r="S63" s="93">
        <f t="shared" si="5"/>
        <v>35.258653846153805</v>
      </c>
      <c r="T63" s="81">
        <v>7</v>
      </c>
      <c r="U63" s="81">
        <v>4</v>
      </c>
      <c r="V63" s="81">
        <v>25</v>
      </c>
      <c r="W63" s="81">
        <v>2</v>
      </c>
      <c r="X63" s="93">
        <f t="shared" si="6"/>
        <v>38</v>
      </c>
      <c r="Y63" s="81">
        <v>5.8461538461537996</v>
      </c>
      <c r="Z63" s="81">
        <v>3</v>
      </c>
      <c r="AA63" s="81">
        <v>24.412500000000001</v>
      </c>
      <c r="AB63" s="81">
        <v>2</v>
      </c>
      <c r="AC63" s="82">
        <f t="shared" si="7"/>
        <v>35.258653846153805</v>
      </c>
      <c r="AD63" s="82">
        <f>(Y63*7050+Z63*6485+AA63*5800+AB63*4900)*12</f>
        <v>2544754.6153846113</v>
      </c>
      <c r="AE63" s="82">
        <f t="shared" si="8"/>
        <v>152317.38461538445</v>
      </c>
      <c r="AF63" s="82">
        <f t="shared" si="9"/>
        <v>211551.92307692283</v>
      </c>
      <c r="AG63" s="82">
        <f t="shared" si="10"/>
        <v>84620.769230769132</v>
      </c>
      <c r="AH63" s="82">
        <f t="shared" si="11"/>
        <v>331431.34615384578</v>
      </c>
      <c r="AI63" s="82">
        <f t="shared" si="12"/>
        <v>28206.923076923045</v>
      </c>
      <c r="AJ63" s="82">
        <f t="shared" si="13"/>
        <v>20000</v>
      </c>
      <c r="AK63" s="82">
        <f t="shared" si="14"/>
        <v>33848.307692307651</v>
      </c>
      <c r="AL63" s="82">
        <f t="shared" si="15"/>
        <v>1070225.54</v>
      </c>
      <c r="AM63" s="82">
        <f t="shared" si="16"/>
        <v>4476957</v>
      </c>
      <c r="AN63" s="119"/>
      <c r="AO63" s="121">
        <f t="shared" si="42"/>
        <v>4476957</v>
      </c>
    </row>
    <row r="64" spans="1:41" ht="18" customHeight="1">
      <c r="A64" s="79" t="s">
        <v>5</v>
      </c>
      <c r="B64" s="80" t="s">
        <v>976</v>
      </c>
      <c r="C64" s="80" t="s">
        <v>959</v>
      </c>
      <c r="D64" s="81"/>
      <c r="E64" s="86">
        <v>11.965517241379301</v>
      </c>
      <c r="F64" s="86">
        <v>9.5</v>
      </c>
      <c r="G64" s="86">
        <v>0</v>
      </c>
      <c r="H64" s="86">
        <v>5.5</v>
      </c>
      <c r="I64" s="82">
        <f t="shared" si="2"/>
        <v>26.965517241379303</v>
      </c>
      <c r="J64" s="81">
        <v>0</v>
      </c>
      <c r="K64" s="81">
        <v>0</v>
      </c>
      <c r="L64" s="81">
        <v>0</v>
      </c>
      <c r="M64" s="81">
        <v>2</v>
      </c>
      <c r="N64" s="82">
        <f t="shared" si="3"/>
        <v>2</v>
      </c>
      <c r="O64" s="82">
        <f t="shared" si="40"/>
        <v>11.965517241379301</v>
      </c>
      <c r="P64" s="82">
        <f t="shared" si="40"/>
        <v>9.5</v>
      </c>
      <c r="Q64" s="82">
        <f t="shared" si="40"/>
        <v>0</v>
      </c>
      <c r="R64" s="82">
        <f t="shared" si="40"/>
        <v>7.5</v>
      </c>
      <c r="S64" s="93">
        <f t="shared" si="5"/>
        <v>28.965517241379303</v>
      </c>
      <c r="T64" s="81">
        <v>3</v>
      </c>
      <c r="U64" s="81">
        <v>8</v>
      </c>
      <c r="V64" s="81">
        <v>0</v>
      </c>
      <c r="W64" s="81">
        <v>6</v>
      </c>
      <c r="X64" s="93">
        <f t="shared" si="6"/>
        <v>17</v>
      </c>
      <c r="Y64" s="81">
        <v>3</v>
      </c>
      <c r="Z64" s="81">
        <v>8</v>
      </c>
      <c r="AA64" s="81">
        <v>0</v>
      </c>
      <c r="AB64" s="81">
        <v>6</v>
      </c>
      <c r="AC64" s="82">
        <f t="shared" si="7"/>
        <v>17</v>
      </c>
      <c r="AD64" s="82">
        <f>(Y64*7050+Z64*6485+AA64*5800+AB64*4900)*12</f>
        <v>1229160</v>
      </c>
      <c r="AE64" s="82">
        <f t="shared" si="8"/>
        <v>73440</v>
      </c>
      <c r="AF64" s="82">
        <f t="shared" si="9"/>
        <v>102000</v>
      </c>
      <c r="AG64" s="82">
        <f t="shared" si="10"/>
        <v>40800</v>
      </c>
      <c r="AH64" s="82">
        <f t="shared" si="11"/>
        <v>159800</v>
      </c>
      <c r="AI64" s="82">
        <f t="shared" si="12"/>
        <v>13600</v>
      </c>
      <c r="AJ64" s="82">
        <f t="shared" si="13"/>
        <v>0</v>
      </c>
      <c r="AK64" s="82">
        <f t="shared" si="14"/>
        <v>16320</v>
      </c>
      <c r="AL64" s="82">
        <f t="shared" si="15"/>
        <v>516010.46</v>
      </c>
      <c r="AM64" s="82">
        <f t="shared" si="16"/>
        <v>2151130</v>
      </c>
      <c r="AN64" s="119">
        <v>67830</v>
      </c>
      <c r="AO64" s="119">
        <f t="shared" si="42"/>
        <v>2218960</v>
      </c>
    </row>
    <row r="65" spans="1:41" ht="18" customHeight="1">
      <c r="A65" s="79" t="s">
        <v>5</v>
      </c>
      <c r="B65" s="80" t="s">
        <v>694</v>
      </c>
      <c r="C65" s="80" t="s">
        <v>649</v>
      </c>
      <c r="D65" s="81">
        <v>2</v>
      </c>
      <c r="E65" s="86">
        <v>14.1111111111111</v>
      </c>
      <c r="F65" s="86">
        <v>4</v>
      </c>
      <c r="G65" s="86">
        <v>24.012499999999999</v>
      </c>
      <c r="H65" s="86">
        <v>3</v>
      </c>
      <c r="I65" s="82">
        <f t="shared" si="2"/>
        <v>45.123611111111103</v>
      </c>
      <c r="J65" s="81">
        <v>6</v>
      </c>
      <c r="K65" s="81">
        <v>1</v>
      </c>
      <c r="L65" s="81">
        <v>5</v>
      </c>
      <c r="M65" s="81">
        <v>1</v>
      </c>
      <c r="N65" s="82">
        <f t="shared" si="3"/>
        <v>13</v>
      </c>
      <c r="O65" s="82">
        <f t="shared" si="40"/>
        <v>20.1111111111111</v>
      </c>
      <c r="P65" s="82">
        <f t="shared" si="40"/>
        <v>5</v>
      </c>
      <c r="Q65" s="82">
        <f t="shared" si="40"/>
        <v>29.012499999999999</v>
      </c>
      <c r="R65" s="82">
        <f t="shared" si="40"/>
        <v>4</v>
      </c>
      <c r="S65" s="93">
        <f t="shared" si="5"/>
        <v>58.123611111111103</v>
      </c>
      <c r="T65" s="81">
        <v>3</v>
      </c>
      <c r="U65" s="81">
        <v>5</v>
      </c>
      <c r="V65" s="81">
        <v>24</v>
      </c>
      <c r="W65" s="81">
        <v>3</v>
      </c>
      <c r="X65" s="93">
        <f t="shared" si="6"/>
        <v>35</v>
      </c>
      <c r="Y65" s="81">
        <v>3</v>
      </c>
      <c r="Z65" s="81">
        <v>5</v>
      </c>
      <c r="AA65" s="81">
        <v>24</v>
      </c>
      <c r="AB65" s="81">
        <v>3</v>
      </c>
      <c r="AC65" s="82">
        <f t="shared" si="7"/>
        <v>35</v>
      </c>
      <c r="AD65" s="82">
        <f>(Y65*7050+Z65*6485+AA65*5800+AB65*4900)*12</f>
        <v>2489700</v>
      </c>
      <c r="AE65" s="82">
        <f t="shared" si="8"/>
        <v>151200</v>
      </c>
      <c r="AF65" s="82">
        <f t="shared" si="9"/>
        <v>210000</v>
      </c>
      <c r="AG65" s="82">
        <f t="shared" si="10"/>
        <v>84000</v>
      </c>
      <c r="AH65" s="82">
        <f t="shared" si="11"/>
        <v>329000</v>
      </c>
      <c r="AI65" s="82">
        <f t="shared" si="12"/>
        <v>28000</v>
      </c>
      <c r="AJ65" s="82">
        <f t="shared" si="13"/>
        <v>20000</v>
      </c>
      <c r="AK65" s="82">
        <f t="shared" si="14"/>
        <v>33600</v>
      </c>
      <c r="AL65" s="82">
        <f t="shared" si="15"/>
        <v>1062374.48</v>
      </c>
      <c r="AM65" s="82">
        <f t="shared" si="16"/>
        <v>4407874</v>
      </c>
      <c r="AN65" s="119"/>
      <c r="AO65" s="121">
        <f t="shared" si="42"/>
        <v>4407874</v>
      </c>
    </row>
    <row r="66" spans="1:41" s="83" customFormat="1" ht="18" customHeight="1">
      <c r="A66" s="79" t="s">
        <v>5</v>
      </c>
      <c r="B66" s="80" t="s">
        <v>695</v>
      </c>
      <c r="C66" s="80" t="s">
        <v>649</v>
      </c>
      <c r="D66" s="81">
        <v>1</v>
      </c>
      <c r="E66" s="86">
        <v>5.0940170940170999</v>
      </c>
      <c r="F66" s="86">
        <v>3</v>
      </c>
      <c r="G66" s="86">
        <v>16.962499999999999</v>
      </c>
      <c r="H66" s="86">
        <v>2</v>
      </c>
      <c r="I66" s="82">
        <f t="shared" si="2"/>
        <v>27.056517094017099</v>
      </c>
      <c r="J66" s="81">
        <v>1</v>
      </c>
      <c r="K66" s="81">
        <v>0</v>
      </c>
      <c r="L66" s="81">
        <v>0</v>
      </c>
      <c r="M66" s="81">
        <v>0</v>
      </c>
      <c r="N66" s="82">
        <f t="shared" si="3"/>
        <v>1</v>
      </c>
      <c r="O66" s="82">
        <f t="shared" si="40"/>
        <v>6.0940170940170999</v>
      </c>
      <c r="P66" s="82">
        <f t="shared" si="40"/>
        <v>3</v>
      </c>
      <c r="Q66" s="82">
        <f t="shared" si="40"/>
        <v>16.962499999999999</v>
      </c>
      <c r="R66" s="82">
        <f t="shared" si="40"/>
        <v>2</v>
      </c>
      <c r="S66" s="93">
        <f t="shared" si="5"/>
        <v>28.056517094017099</v>
      </c>
      <c r="T66" s="81">
        <v>0</v>
      </c>
      <c r="U66" s="81">
        <v>3</v>
      </c>
      <c r="V66" s="81">
        <v>17</v>
      </c>
      <c r="W66" s="81">
        <v>2</v>
      </c>
      <c r="X66" s="93">
        <f t="shared" si="6"/>
        <v>22</v>
      </c>
      <c r="Y66" s="81">
        <v>0</v>
      </c>
      <c r="Z66" s="81">
        <v>3</v>
      </c>
      <c r="AA66" s="81">
        <v>17</v>
      </c>
      <c r="AB66" s="81">
        <v>2</v>
      </c>
      <c r="AC66" s="82">
        <f t="shared" si="7"/>
        <v>22</v>
      </c>
      <c r="AD66" s="82">
        <f>(Y66*7050+Z66*6485+AA66*5800+AB66*4900)*12</f>
        <v>1534260</v>
      </c>
      <c r="AE66" s="82">
        <f t="shared" si="8"/>
        <v>95040</v>
      </c>
      <c r="AF66" s="82">
        <f t="shared" si="9"/>
        <v>132000</v>
      </c>
      <c r="AG66" s="82">
        <f t="shared" si="10"/>
        <v>52800</v>
      </c>
      <c r="AH66" s="82">
        <f t="shared" si="11"/>
        <v>206800</v>
      </c>
      <c r="AI66" s="82">
        <f t="shared" si="12"/>
        <v>17600</v>
      </c>
      <c r="AJ66" s="82">
        <f t="shared" si="13"/>
        <v>10000</v>
      </c>
      <c r="AK66" s="82">
        <f t="shared" si="14"/>
        <v>21120</v>
      </c>
      <c r="AL66" s="82">
        <f t="shared" si="15"/>
        <v>667778.24</v>
      </c>
      <c r="AM66" s="82">
        <f t="shared" si="16"/>
        <v>2737398</v>
      </c>
      <c r="AN66" s="120"/>
      <c r="AO66" s="121">
        <f t="shared" si="42"/>
        <v>2737398</v>
      </c>
    </row>
    <row r="67" spans="1:41" ht="18" customHeight="1">
      <c r="A67" s="79" t="s">
        <v>5</v>
      </c>
      <c r="B67" s="80" t="s">
        <v>696</v>
      </c>
      <c r="C67" s="80" t="s">
        <v>972</v>
      </c>
      <c r="D67" s="81"/>
      <c r="E67" s="86">
        <v>6</v>
      </c>
      <c r="F67" s="86">
        <v>11</v>
      </c>
      <c r="G67" s="86">
        <v>0</v>
      </c>
      <c r="H67" s="86">
        <v>8</v>
      </c>
      <c r="I67" s="82">
        <f t="shared" si="2"/>
        <v>25</v>
      </c>
      <c r="J67" s="81">
        <v>0</v>
      </c>
      <c r="K67" s="81">
        <v>0</v>
      </c>
      <c r="L67" s="81">
        <v>0</v>
      </c>
      <c r="M67" s="81">
        <v>0</v>
      </c>
      <c r="N67" s="82">
        <f t="shared" si="3"/>
        <v>0</v>
      </c>
      <c r="O67" s="82">
        <f t="shared" si="40"/>
        <v>6</v>
      </c>
      <c r="P67" s="82">
        <f t="shared" si="40"/>
        <v>11</v>
      </c>
      <c r="Q67" s="82">
        <f t="shared" si="40"/>
        <v>0</v>
      </c>
      <c r="R67" s="82">
        <f t="shared" si="40"/>
        <v>8</v>
      </c>
      <c r="S67" s="93">
        <f t="shared" si="5"/>
        <v>25</v>
      </c>
      <c r="T67" s="81">
        <v>5</v>
      </c>
      <c r="U67" s="81">
        <v>9</v>
      </c>
      <c r="V67" s="81">
        <v>1</v>
      </c>
      <c r="W67" s="81">
        <v>10</v>
      </c>
      <c r="X67" s="93">
        <f t="shared" si="6"/>
        <v>25</v>
      </c>
      <c r="Y67" s="81">
        <v>5</v>
      </c>
      <c r="Z67" s="81">
        <v>9</v>
      </c>
      <c r="AA67" s="81">
        <v>1</v>
      </c>
      <c r="AB67" s="81">
        <v>10</v>
      </c>
      <c r="AC67" s="82">
        <f t="shared" si="7"/>
        <v>25</v>
      </c>
      <c r="AD67" s="82">
        <f>(Y67*9230+Z67*7215+AA67*5800+AB67*5100)*12</f>
        <v>2014620</v>
      </c>
      <c r="AE67" s="82">
        <f t="shared" si="8"/>
        <v>108000</v>
      </c>
      <c r="AF67" s="82">
        <f t="shared" si="9"/>
        <v>150000</v>
      </c>
      <c r="AG67" s="82">
        <f t="shared" si="10"/>
        <v>60000</v>
      </c>
      <c r="AH67" s="82">
        <f>Y67*15400+(Z67+AA67+AB67)*9400</f>
        <v>265000</v>
      </c>
      <c r="AI67" s="82">
        <f t="shared" si="12"/>
        <v>20000</v>
      </c>
      <c r="AJ67" s="82">
        <f t="shared" si="13"/>
        <v>0</v>
      </c>
      <c r="AK67" s="82">
        <f t="shared" si="14"/>
        <v>24000</v>
      </c>
      <c r="AL67" s="82">
        <f t="shared" si="15"/>
        <v>758838.91</v>
      </c>
      <c r="AM67" s="82">
        <f t="shared" si="16"/>
        <v>3400459</v>
      </c>
      <c r="AN67" s="119">
        <v>63959.5</v>
      </c>
      <c r="AO67" s="119">
        <f t="shared" si="42"/>
        <v>3464418.5</v>
      </c>
    </row>
    <row r="68" spans="1:41" ht="18" customHeight="1">
      <c r="A68" s="79" t="s">
        <v>5</v>
      </c>
      <c r="B68" s="80" t="s">
        <v>465</v>
      </c>
      <c r="C68" s="80" t="s">
        <v>649</v>
      </c>
      <c r="D68" s="81">
        <v>2</v>
      </c>
      <c r="E68" s="86">
        <v>14.452991452991499</v>
      </c>
      <c r="F68" s="86">
        <v>6</v>
      </c>
      <c r="G68" s="86">
        <v>25.0625</v>
      </c>
      <c r="H68" s="86">
        <v>2</v>
      </c>
      <c r="I68" s="82">
        <f t="shared" si="2"/>
        <v>47.515491452991498</v>
      </c>
      <c r="J68" s="81">
        <v>0</v>
      </c>
      <c r="K68" s="81">
        <v>0</v>
      </c>
      <c r="L68" s="81">
        <v>3</v>
      </c>
      <c r="M68" s="81">
        <v>0</v>
      </c>
      <c r="N68" s="82">
        <f t="shared" si="3"/>
        <v>3</v>
      </c>
      <c r="O68" s="82">
        <f>E68+J68</f>
        <v>14.452991452991499</v>
      </c>
      <c r="P68" s="82">
        <f>F68+K68</f>
        <v>6</v>
      </c>
      <c r="Q68" s="82">
        <f>G68+L68</f>
        <v>28.0625</v>
      </c>
      <c r="R68" s="82">
        <f>H68+M68</f>
        <v>2</v>
      </c>
      <c r="S68" s="93">
        <f t="shared" si="5"/>
        <v>50.515491452991498</v>
      </c>
      <c r="T68" s="81">
        <v>14</v>
      </c>
      <c r="U68" s="81">
        <v>6</v>
      </c>
      <c r="V68" s="81">
        <v>25</v>
      </c>
      <c r="W68" s="81">
        <v>2</v>
      </c>
      <c r="X68" s="93">
        <f t="shared" si="6"/>
        <v>47</v>
      </c>
      <c r="Y68" s="81">
        <v>14</v>
      </c>
      <c r="Z68" s="81">
        <v>6</v>
      </c>
      <c r="AA68" s="81">
        <v>25</v>
      </c>
      <c r="AB68" s="81">
        <v>2</v>
      </c>
      <c r="AC68" s="82">
        <f t="shared" si="7"/>
        <v>47</v>
      </c>
      <c r="AD68" s="82">
        <f>(Y68*7050+Z68*6485+AA68*5800+AB68*4900)*12</f>
        <v>3508920</v>
      </c>
      <c r="AE68" s="82">
        <f t="shared" si="8"/>
        <v>203040</v>
      </c>
      <c r="AF68" s="82">
        <f t="shared" si="9"/>
        <v>282000</v>
      </c>
      <c r="AG68" s="82">
        <f t="shared" si="10"/>
        <v>112800</v>
      </c>
      <c r="AH68" s="82">
        <f t="shared" si="11"/>
        <v>441800</v>
      </c>
      <c r="AI68" s="82">
        <f>AC68*800</f>
        <v>37600</v>
      </c>
      <c r="AJ68" s="82">
        <f>D68*50*200</f>
        <v>20000</v>
      </c>
      <c r="AK68" s="82">
        <f>AC68*960</f>
        <v>45120</v>
      </c>
      <c r="AL68" s="82">
        <f t="shared" si="15"/>
        <v>1426617.15</v>
      </c>
      <c r="AM68" s="82">
        <f t="shared" si="16"/>
        <v>6077897</v>
      </c>
      <c r="AN68" s="119"/>
      <c r="AO68" s="121">
        <f t="shared" si="42"/>
        <v>6077897</v>
      </c>
    </row>
    <row r="69" spans="1:41" ht="18" customHeight="1">
      <c r="A69" s="79" t="s">
        <v>5</v>
      </c>
      <c r="B69" s="80" t="s">
        <v>977</v>
      </c>
      <c r="C69" s="80" t="s">
        <v>464</v>
      </c>
      <c r="D69" s="81"/>
      <c r="E69" s="86">
        <v>21</v>
      </c>
      <c r="F69" s="86">
        <v>9</v>
      </c>
      <c r="G69" s="86">
        <v>0</v>
      </c>
      <c r="H69" s="86">
        <v>5</v>
      </c>
      <c r="I69" s="82">
        <f t="shared" ref="I69:I114" si="45">SUM(E69:H69)</f>
        <v>35</v>
      </c>
      <c r="J69" s="81">
        <v>10</v>
      </c>
      <c r="K69" s="81">
        <v>1</v>
      </c>
      <c r="L69" s="81">
        <v>0</v>
      </c>
      <c r="M69" s="81">
        <v>0</v>
      </c>
      <c r="N69" s="82">
        <f t="shared" ref="N69:N114" si="46">SUM(J69:M69)</f>
        <v>11</v>
      </c>
      <c r="O69" s="82">
        <f t="shared" si="40"/>
        <v>31</v>
      </c>
      <c r="P69" s="82">
        <f t="shared" si="40"/>
        <v>10</v>
      </c>
      <c r="Q69" s="82">
        <f t="shared" si="40"/>
        <v>0</v>
      </c>
      <c r="R69" s="82">
        <f t="shared" si="40"/>
        <v>5</v>
      </c>
      <c r="S69" s="93">
        <f t="shared" ref="S69:S114" si="47">SUM(O69:R69)</f>
        <v>46</v>
      </c>
      <c r="T69" s="81">
        <v>10</v>
      </c>
      <c r="U69" s="81">
        <v>7</v>
      </c>
      <c r="V69" s="81">
        <v>1</v>
      </c>
      <c r="W69" s="81">
        <v>4</v>
      </c>
      <c r="X69" s="93">
        <f t="shared" ref="X69:X114" si="48">SUM(T69:W69)</f>
        <v>22</v>
      </c>
      <c r="Y69" s="81">
        <v>10</v>
      </c>
      <c r="Z69" s="81">
        <v>7</v>
      </c>
      <c r="AA69" s="81">
        <v>1</v>
      </c>
      <c r="AB69" s="81">
        <v>4</v>
      </c>
      <c r="AC69" s="82">
        <f t="shared" ref="AC69:AC114" si="49">SUM(Y69:AB69)</f>
        <v>22</v>
      </c>
      <c r="AD69" s="82">
        <f>(Y69*9230+Z69*7215+AA69*5800+AB69*5100)*12</f>
        <v>2028060</v>
      </c>
      <c r="AE69" s="82">
        <f t="shared" ref="AE69:AE114" si="50">AC69*4320</f>
        <v>95040</v>
      </c>
      <c r="AF69" s="82">
        <f t="shared" ref="AF69:AF114" si="51">AC69*6000</f>
        <v>132000</v>
      </c>
      <c r="AG69" s="82">
        <f t="shared" ref="AG69:AG114" si="52">AC69*2400</f>
        <v>52800</v>
      </c>
      <c r="AH69" s="82">
        <f>Y69*15400+(Z69+AA69+AB69)*9400</f>
        <v>266800</v>
      </c>
      <c r="AI69" s="82">
        <f t="shared" ref="AI69:AI114" si="53">AC69*800</f>
        <v>17600</v>
      </c>
      <c r="AJ69" s="82">
        <f t="shared" si="13"/>
        <v>0</v>
      </c>
      <c r="AK69" s="82">
        <f t="shared" si="14"/>
        <v>21120</v>
      </c>
      <c r="AL69" s="82">
        <f t="shared" ref="AL69:AL114" si="54">ROUND((7384*0.34256*AC69*12),2)</f>
        <v>667778.24</v>
      </c>
      <c r="AM69" s="82">
        <f t="shared" ref="AM69:AM114" si="55">ROUND(SUM(AD69:AL69),0)</f>
        <v>3281198</v>
      </c>
      <c r="AN69" s="119">
        <v>45124</v>
      </c>
      <c r="AO69" s="119">
        <f t="shared" si="42"/>
        <v>3326322</v>
      </c>
    </row>
    <row r="70" spans="1:41" s="85" customFormat="1" ht="18" customHeight="1">
      <c r="A70" s="164"/>
      <c r="B70" s="164" t="s">
        <v>697</v>
      </c>
      <c r="C70" s="164"/>
      <c r="D70" s="84">
        <f>SUM(D52:D69)</f>
        <v>15</v>
      </c>
      <c r="E70" s="84">
        <f t="shared" ref="E70:AO70" si="56">SUM(E52:E69)</f>
        <v>270.30036877704231</v>
      </c>
      <c r="F70" s="84">
        <f t="shared" si="56"/>
        <v>134</v>
      </c>
      <c r="G70" s="84">
        <f t="shared" si="56"/>
        <v>239.08749999999998</v>
      </c>
      <c r="H70" s="84">
        <f t="shared" si="56"/>
        <v>82</v>
      </c>
      <c r="I70" s="84">
        <f t="shared" si="56"/>
        <v>725.38786877704217</v>
      </c>
      <c r="J70" s="84">
        <f t="shared" si="56"/>
        <v>40</v>
      </c>
      <c r="K70" s="84">
        <f t="shared" si="56"/>
        <v>10</v>
      </c>
      <c r="L70" s="84">
        <f t="shared" si="56"/>
        <v>15</v>
      </c>
      <c r="M70" s="84">
        <f t="shared" si="56"/>
        <v>13</v>
      </c>
      <c r="N70" s="84">
        <f t="shared" si="56"/>
        <v>78</v>
      </c>
      <c r="O70" s="84">
        <f t="shared" si="56"/>
        <v>310.30036877704231</v>
      </c>
      <c r="P70" s="84">
        <f t="shared" si="56"/>
        <v>144</v>
      </c>
      <c r="Q70" s="84">
        <f t="shared" si="56"/>
        <v>254.08749999999998</v>
      </c>
      <c r="R70" s="84">
        <f t="shared" si="56"/>
        <v>95</v>
      </c>
      <c r="S70" s="84">
        <f t="shared" si="56"/>
        <v>803.38786877704217</v>
      </c>
      <c r="T70" s="84">
        <f t="shared" si="56"/>
        <v>74</v>
      </c>
      <c r="U70" s="84">
        <f t="shared" si="56"/>
        <v>86</v>
      </c>
      <c r="V70" s="84">
        <f t="shared" si="56"/>
        <v>243</v>
      </c>
      <c r="W70" s="84">
        <f t="shared" si="56"/>
        <v>98</v>
      </c>
      <c r="X70" s="84">
        <f t="shared" si="56"/>
        <v>501</v>
      </c>
      <c r="Y70" s="84">
        <f t="shared" si="56"/>
        <v>72.846153846153797</v>
      </c>
      <c r="Z70" s="84">
        <f t="shared" si="56"/>
        <v>85</v>
      </c>
      <c r="AA70" s="84">
        <f t="shared" si="56"/>
        <v>242.41249999999999</v>
      </c>
      <c r="AB70" s="84">
        <f t="shared" si="56"/>
        <v>98</v>
      </c>
      <c r="AC70" s="84">
        <f t="shared" si="56"/>
        <v>498.25865384615383</v>
      </c>
      <c r="AD70" s="84">
        <f t="shared" si="56"/>
        <v>36379474.615384609</v>
      </c>
      <c r="AE70" s="84">
        <f t="shared" si="56"/>
        <v>2152477.3846153845</v>
      </c>
      <c r="AF70" s="84">
        <f t="shared" si="56"/>
        <v>2989551.923076923</v>
      </c>
      <c r="AG70" s="84">
        <f t="shared" si="56"/>
        <v>1195820.769230769</v>
      </c>
      <c r="AH70" s="84">
        <f t="shared" si="56"/>
        <v>4821631.346153846</v>
      </c>
      <c r="AI70" s="84">
        <f t="shared" si="56"/>
        <v>398606.92307692306</v>
      </c>
      <c r="AJ70" s="84">
        <f t="shared" si="56"/>
        <v>150000</v>
      </c>
      <c r="AK70" s="84">
        <f t="shared" si="56"/>
        <v>478328.30769230763</v>
      </c>
      <c r="AL70" s="84">
        <f t="shared" si="56"/>
        <v>15123922.170000004</v>
      </c>
      <c r="AM70" s="84">
        <f t="shared" si="56"/>
        <v>63689813</v>
      </c>
      <c r="AN70" s="84">
        <f t="shared" si="56"/>
        <v>741842.75</v>
      </c>
      <c r="AO70" s="84">
        <f t="shared" si="56"/>
        <v>64431655.75</v>
      </c>
    </row>
    <row r="71" spans="1:41" s="83" customFormat="1" ht="18" customHeight="1">
      <c r="A71" s="79" t="s">
        <v>4</v>
      </c>
      <c r="B71" s="80" t="s">
        <v>698</v>
      </c>
      <c r="C71" s="80" t="s">
        <v>649</v>
      </c>
      <c r="D71" s="81">
        <v>2</v>
      </c>
      <c r="E71" s="86">
        <v>1.8290598290597999</v>
      </c>
      <c r="F71" s="86">
        <v>3</v>
      </c>
      <c r="G71" s="86">
        <v>29.287500000000001</v>
      </c>
      <c r="H71" s="86">
        <v>2</v>
      </c>
      <c r="I71" s="82">
        <f t="shared" si="45"/>
        <v>36.116559829059803</v>
      </c>
      <c r="J71" s="81">
        <v>4</v>
      </c>
      <c r="K71" s="81">
        <v>1</v>
      </c>
      <c r="L71" s="81">
        <v>2</v>
      </c>
      <c r="M71" s="81">
        <v>0</v>
      </c>
      <c r="N71" s="82">
        <f t="shared" si="46"/>
        <v>7</v>
      </c>
      <c r="O71" s="82">
        <f t="shared" ref="O71:R89" si="57">E71+J71</f>
        <v>5.8290598290597995</v>
      </c>
      <c r="P71" s="82">
        <f t="shared" si="57"/>
        <v>4</v>
      </c>
      <c r="Q71" s="82">
        <f t="shared" si="57"/>
        <v>31.287500000000001</v>
      </c>
      <c r="R71" s="82">
        <f t="shared" si="57"/>
        <v>2</v>
      </c>
      <c r="S71" s="93">
        <f t="shared" si="47"/>
        <v>43.116559829059803</v>
      </c>
      <c r="T71" s="81">
        <v>6</v>
      </c>
      <c r="U71" s="81">
        <v>4</v>
      </c>
      <c r="V71" s="81">
        <v>31</v>
      </c>
      <c r="W71" s="81">
        <v>2</v>
      </c>
      <c r="X71" s="93">
        <f t="shared" si="48"/>
        <v>43</v>
      </c>
      <c r="Y71" s="81">
        <v>6</v>
      </c>
      <c r="Z71" s="81">
        <v>4</v>
      </c>
      <c r="AA71" s="81">
        <v>31</v>
      </c>
      <c r="AB71" s="81">
        <v>2</v>
      </c>
      <c r="AC71" s="82">
        <f t="shared" si="49"/>
        <v>43</v>
      </c>
      <c r="AD71" s="82">
        <f t="shared" ref="AD71:AD80" si="58">(Y71*7050+Z71*6485+AA71*5800+AB71*4900)*12</f>
        <v>3094080</v>
      </c>
      <c r="AE71" s="82">
        <f t="shared" si="50"/>
        <v>185760</v>
      </c>
      <c r="AF71" s="82">
        <f t="shared" si="51"/>
        <v>258000</v>
      </c>
      <c r="AG71" s="82">
        <f t="shared" si="52"/>
        <v>103200</v>
      </c>
      <c r="AH71" s="82">
        <f t="shared" ref="AH71:AH114" si="59">AC71*9400</f>
        <v>404200</v>
      </c>
      <c r="AI71" s="82">
        <f t="shared" si="53"/>
        <v>34400</v>
      </c>
      <c r="AJ71" s="82">
        <f t="shared" ref="AJ71:AJ114" si="60">D71*50*200</f>
        <v>20000</v>
      </c>
      <c r="AK71" s="82">
        <f t="shared" ref="AK71:AK114" si="61">AC71*960</f>
        <v>41280</v>
      </c>
      <c r="AL71" s="82">
        <f t="shared" si="54"/>
        <v>1305202.93</v>
      </c>
      <c r="AM71" s="82">
        <f t="shared" si="55"/>
        <v>5446123</v>
      </c>
      <c r="AN71" s="120"/>
      <c r="AO71" s="82">
        <f>AM71+AN71</f>
        <v>5446123</v>
      </c>
    </row>
    <row r="72" spans="1:41" ht="18" customHeight="1">
      <c r="A72" s="79" t="s">
        <v>4</v>
      </c>
      <c r="B72" s="80" t="s">
        <v>699</v>
      </c>
      <c r="C72" s="80" t="s">
        <v>649</v>
      </c>
      <c r="D72" s="81">
        <v>1</v>
      </c>
      <c r="E72" s="86">
        <v>0</v>
      </c>
      <c r="F72" s="86">
        <v>2</v>
      </c>
      <c r="G72" s="86">
        <v>17.1875</v>
      </c>
      <c r="H72" s="86">
        <v>2</v>
      </c>
      <c r="I72" s="82">
        <f t="shared" si="45"/>
        <v>21.1875</v>
      </c>
      <c r="J72" s="81">
        <v>4</v>
      </c>
      <c r="K72" s="81">
        <v>0</v>
      </c>
      <c r="L72" s="81">
        <v>0</v>
      </c>
      <c r="M72" s="81">
        <v>0</v>
      </c>
      <c r="N72" s="82">
        <f t="shared" si="46"/>
        <v>4</v>
      </c>
      <c r="O72" s="82">
        <f t="shared" si="57"/>
        <v>4</v>
      </c>
      <c r="P72" s="82">
        <f t="shared" si="57"/>
        <v>2</v>
      </c>
      <c r="Q72" s="82">
        <f t="shared" si="57"/>
        <v>17.1875</v>
      </c>
      <c r="R72" s="82">
        <f t="shared" si="57"/>
        <v>2</v>
      </c>
      <c r="S72" s="93">
        <f t="shared" si="47"/>
        <v>25.1875</v>
      </c>
      <c r="T72" s="81">
        <v>4</v>
      </c>
      <c r="U72" s="81">
        <v>2</v>
      </c>
      <c r="V72" s="81">
        <v>18</v>
      </c>
      <c r="W72" s="81">
        <v>1</v>
      </c>
      <c r="X72" s="93">
        <f t="shared" si="48"/>
        <v>25</v>
      </c>
      <c r="Y72" s="81">
        <v>4</v>
      </c>
      <c r="Z72" s="81">
        <v>2</v>
      </c>
      <c r="AA72" s="81">
        <v>18</v>
      </c>
      <c r="AB72" s="81">
        <v>1</v>
      </c>
      <c r="AC72" s="82">
        <f t="shared" si="49"/>
        <v>25</v>
      </c>
      <c r="AD72" s="82">
        <f t="shared" si="58"/>
        <v>1805640</v>
      </c>
      <c r="AE72" s="82">
        <f t="shared" si="50"/>
        <v>108000</v>
      </c>
      <c r="AF72" s="82">
        <f t="shared" si="51"/>
        <v>150000</v>
      </c>
      <c r="AG72" s="82">
        <f t="shared" si="52"/>
        <v>60000</v>
      </c>
      <c r="AH72" s="82">
        <f t="shared" si="59"/>
        <v>235000</v>
      </c>
      <c r="AI72" s="82">
        <f t="shared" si="53"/>
        <v>20000</v>
      </c>
      <c r="AJ72" s="82">
        <f t="shared" si="60"/>
        <v>10000</v>
      </c>
      <c r="AK72" s="82">
        <f t="shared" si="61"/>
        <v>24000</v>
      </c>
      <c r="AL72" s="82">
        <f t="shared" si="54"/>
        <v>758838.91</v>
      </c>
      <c r="AM72" s="82">
        <f t="shared" si="55"/>
        <v>3171479</v>
      </c>
      <c r="AN72" s="119"/>
      <c r="AO72" s="82">
        <f t="shared" ref="AO72:AO89" si="62">AM72+AN72</f>
        <v>3171479</v>
      </c>
    </row>
    <row r="73" spans="1:41" s="83" customFormat="1" ht="18" customHeight="1">
      <c r="A73" s="79" t="s">
        <v>4</v>
      </c>
      <c r="B73" s="80" t="s">
        <v>700</v>
      </c>
      <c r="C73" s="80" t="s">
        <v>649</v>
      </c>
      <c r="D73" s="81">
        <v>2</v>
      </c>
      <c r="E73" s="86">
        <v>0</v>
      </c>
      <c r="F73" s="86">
        <v>1</v>
      </c>
      <c r="G73" s="86">
        <v>20.574999999999999</v>
      </c>
      <c r="H73" s="86">
        <v>2</v>
      </c>
      <c r="I73" s="82">
        <f t="shared" si="45"/>
        <v>23.574999999999999</v>
      </c>
      <c r="J73" s="81">
        <v>1</v>
      </c>
      <c r="K73" s="81">
        <v>0</v>
      </c>
      <c r="L73" s="81">
        <v>0</v>
      </c>
      <c r="M73" s="81">
        <v>0</v>
      </c>
      <c r="N73" s="82">
        <f t="shared" si="46"/>
        <v>1</v>
      </c>
      <c r="O73" s="82">
        <f t="shared" si="57"/>
        <v>1</v>
      </c>
      <c r="P73" s="82">
        <f t="shared" si="57"/>
        <v>1</v>
      </c>
      <c r="Q73" s="82">
        <f t="shared" si="57"/>
        <v>20.574999999999999</v>
      </c>
      <c r="R73" s="82">
        <f t="shared" si="57"/>
        <v>2</v>
      </c>
      <c r="S73" s="93">
        <f t="shared" si="47"/>
        <v>24.574999999999999</v>
      </c>
      <c r="T73" s="81">
        <v>1</v>
      </c>
      <c r="U73" s="81">
        <v>1</v>
      </c>
      <c r="V73" s="81">
        <v>21</v>
      </c>
      <c r="W73" s="81">
        <v>2</v>
      </c>
      <c r="X73" s="93">
        <f t="shared" si="48"/>
        <v>25</v>
      </c>
      <c r="Y73" s="81">
        <v>1</v>
      </c>
      <c r="Z73" s="81">
        <v>1</v>
      </c>
      <c r="AA73" s="81">
        <v>20.574999999999999</v>
      </c>
      <c r="AB73" s="81">
        <v>2</v>
      </c>
      <c r="AC73" s="82">
        <f t="shared" si="49"/>
        <v>24.574999999999999</v>
      </c>
      <c r="AD73" s="82">
        <f t="shared" si="58"/>
        <v>1712040</v>
      </c>
      <c r="AE73" s="82">
        <f t="shared" si="50"/>
        <v>106164</v>
      </c>
      <c r="AF73" s="82">
        <f t="shared" si="51"/>
        <v>147450</v>
      </c>
      <c r="AG73" s="82">
        <f t="shared" si="52"/>
        <v>58980</v>
      </c>
      <c r="AH73" s="82">
        <f t="shared" si="59"/>
        <v>231005</v>
      </c>
      <c r="AI73" s="82">
        <f t="shared" si="53"/>
        <v>19660</v>
      </c>
      <c r="AJ73" s="82">
        <f t="shared" si="60"/>
        <v>20000</v>
      </c>
      <c r="AK73" s="82">
        <f t="shared" si="61"/>
        <v>23592</v>
      </c>
      <c r="AL73" s="82">
        <f t="shared" si="54"/>
        <v>745938.65</v>
      </c>
      <c r="AM73" s="82">
        <f t="shared" si="55"/>
        <v>3064830</v>
      </c>
      <c r="AN73" s="120"/>
      <c r="AO73" s="82">
        <f t="shared" si="62"/>
        <v>3064830</v>
      </c>
    </row>
    <row r="74" spans="1:41" s="83" customFormat="1" ht="18" customHeight="1">
      <c r="A74" s="79" t="s">
        <v>4</v>
      </c>
      <c r="B74" s="80" t="s">
        <v>701</v>
      </c>
      <c r="C74" s="80" t="s">
        <v>649</v>
      </c>
      <c r="D74" s="81">
        <v>5</v>
      </c>
      <c r="E74" s="86">
        <v>0</v>
      </c>
      <c r="F74" s="86">
        <v>0</v>
      </c>
      <c r="G74" s="86">
        <v>46.787500000000001</v>
      </c>
      <c r="H74" s="86">
        <v>3</v>
      </c>
      <c r="I74" s="82">
        <f t="shared" si="45"/>
        <v>49.787500000000001</v>
      </c>
      <c r="J74" s="81">
        <v>0</v>
      </c>
      <c r="K74" s="81">
        <v>0</v>
      </c>
      <c r="L74" s="81">
        <v>0</v>
      </c>
      <c r="M74" s="81">
        <v>0</v>
      </c>
      <c r="N74" s="82">
        <f t="shared" si="46"/>
        <v>0</v>
      </c>
      <c r="O74" s="82">
        <f t="shared" si="57"/>
        <v>0</v>
      </c>
      <c r="P74" s="82">
        <f t="shared" si="57"/>
        <v>0</v>
      </c>
      <c r="Q74" s="82">
        <f t="shared" si="57"/>
        <v>46.787500000000001</v>
      </c>
      <c r="R74" s="82">
        <f t="shared" si="57"/>
        <v>3</v>
      </c>
      <c r="S74" s="93">
        <f t="shared" si="47"/>
        <v>49.787500000000001</v>
      </c>
      <c r="T74" s="81">
        <v>0</v>
      </c>
      <c r="U74" s="81">
        <v>0</v>
      </c>
      <c r="V74" s="81">
        <v>47</v>
      </c>
      <c r="W74" s="81">
        <v>5</v>
      </c>
      <c r="X74" s="93">
        <f t="shared" si="48"/>
        <v>52</v>
      </c>
      <c r="Y74" s="81">
        <v>0</v>
      </c>
      <c r="Z74" s="81">
        <v>0</v>
      </c>
      <c r="AA74" s="81">
        <v>46.787500000000001</v>
      </c>
      <c r="AB74" s="81">
        <v>3</v>
      </c>
      <c r="AC74" s="82">
        <f t="shared" si="49"/>
        <v>49.787500000000001</v>
      </c>
      <c r="AD74" s="82">
        <f t="shared" si="58"/>
        <v>3432810</v>
      </c>
      <c r="AE74" s="82">
        <f t="shared" si="50"/>
        <v>215082</v>
      </c>
      <c r="AF74" s="82">
        <f t="shared" si="51"/>
        <v>298725</v>
      </c>
      <c r="AG74" s="82">
        <f t="shared" si="52"/>
        <v>119490</v>
      </c>
      <c r="AH74" s="82">
        <f t="shared" si="59"/>
        <v>468002.5</v>
      </c>
      <c r="AI74" s="82">
        <f t="shared" si="53"/>
        <v>39830</v>
      </c>
      <c r="AJ74" s="82">
        <f t="shared" si="60"/>
        <v>50000</v>
      </c>
      <c r="AK74" s="82">
        <f t="shared" si="61"/>
        <v>47796</v>
      </c>
      <c r="AL74" s="82">
        <f t="shared" si="54"/>
        <v>1511227.69</v>
      </c>
      <c r="AM74" s="82">
        <f t="shared" si="55"/>
        <v>6182963</v>
      </c>
      <c r="AN74" s="120"/>
      <c r="AO74" s="82">
        <f t="shared" si="62"/>
        <v>6182963</v>
      </c>
    </row>
    <row r="75" spans="1:41" s="83" customFormat="1" ht="18" customHeight="1">
      <c r="A75" s="79" t="s">
        <v>4</v>
      </c>
      <c r="B75" s="80" t="s">
        <v>702</v>
      </c>
      <c r="C75" s="80" t="s">
        <v>649</v>
      </c>
      <c r="D75" s="81">
        <v>2</v>
      </c>
      <c r="E75" s="86">
        <v>0</v>
      </c>
      <c r="F75" s="86">
        <v>1</v>
      </c>
      <c r="G75" s="86">
        <v>19.5</v>
      </c>
      <c r="H75" s="86">
        <v>1</v>
      </c>
      <c r="I75" s="82">
        <f t="shared" si="45"/>
        <v>21.5</v>
      </c>
      <c r="J75" s="81">
        <v>0</v>
      </c>
      <c r="K75" s="81">
        <v>0</v>
      </c>
      <c r="L75" s="81">
        <v>0</v>
      </c>
      <c r="M75" s="81">
        <v>0</v>
      </c>
      <c r="N75" s="82">
        <f t="shared" si="46"/>
        <v>0</v>
      </c>
      <c r="O75" s="82">
        <f t="shared" si="57"/>
        <v>0</v>
      </c>
      <c r="P75" s="82">
        <f t="shared" si="57"/>
        <v>1</v>
      </c>
      <c r="Q75" s="82">
        <f t="shared" si="57"/>
        <v>19.5</v>
      </c>
      <c r="R75" s="82">
        <f t="shared" si="57"/>
        <v>1</v>
      </c>
      <c r="S75" s="93">
        <f t="shared" si="47"/>
        <v>21.5</v>
      </c>
      <c r="T75" s="81">
        <v>0</v>
      </c>
      <c r="U75" s="81">
        <v>1</v>
      </c>
      <c r="V75" s="81">
        <v>20</v>
      </c>
      <c r="W75" s="81">
        <v>1</v>
      </c>
      <c r="X75" s="93">
        <f t="shared" si="48"/>
        <v>22</v>
      </c>
      <c r="Y75" s="81">
        <v>0</v>
      </c>
      <c r="Z75" s="81">
        <v>1</v>
      </c>
      <c r="AA75" s="81">
        <v>19.5</v>
      </c>
      <c r="AB75" s="81">
        <v>1</v>
      </c>
      <c r="AC75" s="82">
        <f t="shared" si="49"/>
        <v>21.5</v>
      </c>
      <c r="AD75" s="82">
        <f t="shared" si="58"/>
        <v>1493820</v>
      </c>
      <c r="AE75" s="82">
        <f t="shared" si="50"/>
        <v>92880</v>
      </c>
      <c r="AF75" s="82">
        <f t="shared" si="51"/>
        <v>129000</v>
      </c>
      <c r="AG75" s="82">
        <f t="shared" si="52"/>
        <v>51600</v>
      </c>
      <c r="AH75" s="82">
        <f t="shared" si="59"/>
        <v>202100</v>
      </c>
      <c r="AI75" s="82">
        <f t="shared" si="53"/>
        <v>17200</v>
      </c>
      <c r="AJ75" s="82">
        <f t="shared" si="60"/>
        <v>20000</v>
      </c>
      <c r="AK75" s="82">
        <f t="shared" si="61"/>
        <v>20640</v>
      </c>
      <c r="AL75" s="82">
        <f t="shared" si="54"/>
        <v>652601.46</v>
      </c>
      <c r="AM75" s="82">
        <f t="shared" si="55"/>
        <v>2679841</v>
      </c>
      <c r="AN75" s="120"/>
      <c r="AO75" s="82">
        <f t="shared" si="62"/>
        <v>2679841</v>
      </c>
    </row>
    <row r="76" spans="1:41" ht="18" customHeight="1">
      <c r="A76" s="79" t="s">
        <v>4</v>
      </c>
      <c r="B76" s="80" t="s">
        <v>243</v>
      </c>
      <c r="C76" s="80" t="s">
        <v>959</v>
      </c>
      <c r="D76" s="81"/>
      <c r="E76" s="86">
        <v>27.655172413793</v>
      </c>
      <c r="F76" s="86">
        <v>13.5</v>
      </c>
      <c r="G76" s="86">
        <v>0</v>
      </c>
      <c r="H76" s="86">
        <v>8</v>
      </c>
      <c r="I76" s="82">
        <f t="shared" si="45"/>
        <v>49.155172413792997</v>
      </c>
      <c r="J76" s="81">
        <v>0</v>
      </c>
      <c r="K76" s="81">
        <v>0</v>
      </c>
      <c r="L76" s="81">
        <v>0</v>
      </c>
      <c r="M76" s="81">
        <v>0</v>
      </c>
      <c r="N76" s="82">
        <f t="shared" si="46"/>
        <v>0</v>
      </c>
      <c r="O76" s="82">
        <f t="shared" si="57"/>
        <v>27.655172413793</v>
      </c>
      <c r="P76" s="82">
        <f t="shared" si="57"/>
        <v>13.5</v>
      </c>
      <c r="Q76" s="82">
        <f t="shared" si="57"/>
        <v>0</v>
      </c>
      <c r="R76" s="82">
        <f t="shared" si="57"/>
        <v>8</v>
      </c>
      <c r="S76" s="93">
        <f t="shared" si="47"/>
        <v>49.155172413792997</v>
      </c>
      <c r="T76" s="81">
        <v>6</v>
      </c>
      <c r="U76" s="81">
        <v>4</v>
      </c>
      <c r="V76" s="81">
        <v>0</v>
      </c>
      <c r="W76" s="81">
        <v>9</v>
      </c>
      <c r="X76" s="93">
        <f t="shared" si="48"/>
        <v>19</v>
      </c>
      <c r="Y76" s="81">
        <v>6</v>
      </c>
      <c r="Z76" s="81">
        <v>4</v>
      </c>
      <c r="AA76" s="81">
        <v>0</v>
      </c>
      <c r="AB76" s="81">
        <v>9</v>
      </c>
      <c r="AC76" s="82">
        <f t="shared" si="49"/>
        <v>19</v>
      </c>
      <c r="AD76" s="82">
        <f t="shared" si="58"/>
        <v>1348080</v>
      </c>
      <c r="AE76" s="82">
        <f t="shared" si="50"/>
        <v>82080</v>
      </c>
      <c r="AF76" s="82">
        <f t="shared" si="51"/>
        <v>114000</v>
      </c>
      <c r="AG76" s="82">
        <f t="shared" si="52"/>
        <v>45600</v>
      </c>
      <c r="AH76" s="82">
        <f t="shared" si="59"/>
        <v>178600</v>
      </c>
      <c r="AI76" s="82">
        <f t="shared" si="53"/>
        <v>15200</v>
      </c>
      <c r="AJ76" s="82">
        <f t="shared" si="60"/>
        <v>0</v>
      </c>
      <c r="AK76" s="82">
        <f t="shared" si="61"/>
        <v>18240</v>
      </c>
      <c r="AL76" s="82">
        <f t="shared" si="54"/>
        <v>576717.56999999995</v>
      </c>
      <c r="AM76" s="82">
        <f t="shared" si="55"/>
        <v>2378518</v>
      </c>
      <c r="AN76" s="119">
        <v>158478</v>
      </c>
      <c r="AO76" s="120">
        <f t="shared" si="62"/>
        <v>2536996</v>
      </c>
    </row>
    <row r="77" spans="1:41" ht="18" customHeight="1">
      <c r="A77" s="79" t="s">
        <v>4</v>
      </c>
      <c r="B77" s="80" t="s">
        <v>242</v>
      </c>
      <c r="C77" s="80" t="s">
        <v>959</v>
      </c>
      <c r="D77" s="81"/>
      <c r="E77" s="86">
        <v>0</v>
      </c>
      <c r="F77" s="86">
        <v>8</v>
      </c>
      <c r="G77" s="86">
        <v>0</v>
      </c>
      <c r="H77" s="86">
        <v>5</v>
      </c>
      <c r="I77" s="82">
        <f t="shared" si="45"/>
        <v>13</v>
      </c>
      <c r="J77" s="81">
        <v>0</v>
      </c>
      <c r="K77" s="81">
        <v>0</v>
      </c>
      <c r="L77" s="81">
        <v>0</v>
      </c>
      <c r="M77" s="81">
        <v>0</v>
      </c>
      <c r="N77" s="82">
        <f t="shared" si="46"/>
        <v>0</v>
      </c>
      <c r="O77" s="82">
        <f t="shared" si="57"/>
        <v>0</v>
      </c>
      <c r="P77" s="82">
        <f t="shared" si="57"/>
        <v>8</v>
      </c>
      <c r="Q77" s="82">
        <f t="shared" si="57"/>
        <v>0</v>
      </c>
      <c r="R77" s="82">
        <f t="shared" si="57"/>
        <v>5</v>
      </c>
      <c r="S77" s="93">
        <f t="shared" si="47"/>
        <v>13</v>
      </c>
      <c r="T77" s="81">
        <v>6</v>
      </c>
      <c r="U77" s="81">
        <v>2</v>
      </c>
      <c r="V77" s="81">
        <v>0</v>
      </c>
      <c r="W77" s="81">
        <v>4</v>
      </c>
      <c r="X77" s="93">
        <f t="shared" si="48"/>
        <v>12</v>
      </c>
      <c r="Y77" s="81">
        <v>6</v>
      </c>
      <c r="Z77" s="81">
        <v>2</v>
      </c>
      <c r="AA77" s="81">
        <v>0</v>
      </c>
      <c r="AB77" s="81">
        <v>4</v>
      </c>
      <c r="AC77" s="82">
        <f t="shared" si="49"/>
        <v>12</v>
      </c>
      <c r="AD77" s="82">
        <f t="shared" si="58"/>
        <v>898440</v>
      </c>
      <c r="AE77" s="82">
        <f t="shared" si="50"/>
        <v>51840</v>
      </c>
      <c r="AF77" s="82">
        <f t="shared" si="51"/>
        <v>72000</v>
      </c>
      <c r="AG77" s="82">
        <f t="shared" si="52"/>
        <v>28800</v>
      </c>
      <c r="AH77" s="82">
        <f t="shared" si="59"/>
        <v>112800</v>
      </c>
      <c r="AI77" s="82">
        <f t="shared" si="53"/>
        <v>9600</v>
      </c>
      <c r="AJ77" s="82">
        <f t="shared" si="60"/>
        <v>0</v>
      </c>
      <c r="AK77" s="82">
        <f t="shared" si="61"/>
        <v>11520</v>
      </c>
      <c r="AL77" s="82">
        <f t="shared" si="54"/>
        <v>364242.68</v>
      </c>
      <c r="AM77" s="82">
        <f t="shared" si="55"/>
        <v>1549243</v>
      </c>
      <c r="AN77" s="119">
        <v>20400</v>
      </c>
      <c r="AO77" s="120">
        <f t="shared" si="62"/>
        <v>1569643</v>
      </c>
    </row>
    <row r="78" spans="1:41" ht="18" customHeight="1">
      <c r="A78" s="79" t="s">
        <v>4</v>
      </c>
      <c r="B78" s="80" t="s">
        <v>263</v>
      </c>
      <c r="C78" s="80" t="s">
        <v>959</v>
      </c>
      <c r="D78" s="81"/>
      <c r="E78" s="86">
        <v>16.344827586207</v>
      </c>
      <c r="F78" s="86">
        <v>13.5</v>
      </c>
      <c r="G78" s="86">
        <v>0</v>
      </c>
      <c r="H78" s="86">
        <v>8</v>
      </c>
      <c r="I78" s="82">
        <f t="shared" si="45"/>
        <v>37.844827586207003</v>
      </c>
      <c r="J78" s="81">
        <v>0</v>
      </c>
      <c r="K78" s="81">
        <v>0</v>
      </c>
      <c r="L78" s="81">
        <v>0</v>
      </c>
      <c r="M78" s="81">
        <v>0</v>
      </c>
      <c r="N78" s="82">
        <f t="shared" si="46"/>
        <v>0</v>
      </c>
      <c r="O78" s="82">
        <f t="shared" si="57"/>
        <v>16.344827586207</v>
      </c>
      <c r="P78" s="82">
        <f t="shared" si="57"/>
        <v>13.5</v>
      </c>
      <c r="Q78" s="82">
        <f t="shared" si="57"/>
        <v>0</v>
      </c>
      <c r="R78" s="82">
        <f t="shared" si="57"/>
        <v>8</v>
      </c>
      <c r="S78" s="93">
        <f t="shared" si="47"/>
        <v>37.844827586207003</v>
      </c>
      <c r="T78" s="81">
        <v>6</v>
      </c>
      <c r="U78" s="81">
        <v>9</v>
      </c>
      <c r="V78" s="81">
        <v>0</v>
      </c>
      <c r="W78" s="81">
        <v>8</v>
      </c>
      <c r="X78" s="93">
        <f t="shared" si="48"/>
        <v>23</v>
      </c>
      <c r="Y78" s="81">
        <v>6</v>
      </c>
      <c r="Z78" s="81">
        <v>9</v>
      </c>
      <c r="AA78" s="81">
        <v>0</v>
      </c>
      <c r="AB78" s="81">
        <v>8</v>
      </c>
      <c r="AC78" s="82">
        <f t="shared" si="49"/>
        <v>23</v>
      </c>
      <c r="AD78" s="82">
        <f t="shared" si="58"/>
        <v>1678380</v>
      </c>
      <c r="AE78" s="82">
        <f t="shared" si="50"/>
        <v>99360</v>
      </c>
      <c r="AF78" s="82">
        <f t="shared" si="51"/>
        <v>138000</v>
      </c>
      <c r="AG78" s="82">
        <f t="shared" si="52"/>
        <v>55200</v>
      </c>
      <c r="AH78" s="82">
        <f t="shared" si="59"/>
        <v>216200</v>
      </c>
      <c r="AI78" s="82">
        <f t="shared" si="53"/>
        <v>18400</v>
      </c>
      <c r="AJ78" s="82">
        <f t="shared" si="60"/>
        <v>0</v>
      </c>
      <c r="AK78" s="82">
        <f t="shared" si="61"/>
        <v>22080</v>
      </c>
      <c r="AL78" s="82">
        <f t="shared" si="54"/>
        <v>698131.8</v>
      </c>
      <c r="AM78" s="82">
        <f t="shared" si="55"/>
        <v>2925752</v>
      </c>
      <c r="AN78" s="119">
        <v>36465</v>
      </c>
      <c r="AO78" s="120">
        <f t="shared" si="62"/>
        <v>2962217</v>
      </c>
    </row>
    <row r="79" spans="1:41" ht="18" customHeight="1">
      <c r="A79" s="79" t="s">
        <v>4</v>
      </c>
      <c r="B79" s="80" t="s">
        <v>241</v>
      </c>
      <c r="C79" s="80" t="s">
        <v>959</v>
      </c>
      <c r="D79" s="81"/>
      <c r="E79" s="86">
        <v>44.448275862069003</v>
      </c>
      <c r="F79" s="86">
        <v>36</v>
      </c>
      <c r="G79" s="86">
        <v>0</v>
      </c>
      <c r="H79" s="86">
        <v>24</v>
      </c>
      <c r="I79" s="82">
        <f t="shared" si="45"/>
        <v>104.44827586206901</v>
      </c>
      <c r="J79" s="81">
        <v>0</v>
      </c>
      <c r="K79" s="81">
        <v>2</v>
      </c>
      <c r="L79" s="81">
        <v>0</v>
      </c>
      <c r="M79" s="81">
        <v>0</v>
      </c>
      <c r="N79" s="82">
        <f t="shared" si="46"/>
        <v>2</v>
      </c>
      <c r="O79" s="82">
        <f t="shared" si="57"/>
        <v>44.448275862069003</v>
      </c>
      <c r="P79" s="82">
        <f t="shared" si="57"/>
        <v>38</v>
      </c>
      <c r="Q79" s="82">
        <f t="shared" si="57"/>
        <v>0</v>
      </c>
      <c r="R79" s="82">
        <f t="shared" si="57"/>
        <v>24</v>
      </c>
      <c r="S79" s="93">
        <f t="shared" si="47"/>
        <v>106.44827586206901</v>
      </c>
      <c r="T79" s="81">
        <v>12</v>
      </c>
      <c r="U79" s="81">
        <v>9</v>
      </c>
      <c r="V79" s="81">
        <v>0</v>
      </c>
      <c r="W79" s="81">
        <v>22</v>
      </c>
      <c r="X79" s="93">
        <f t="shared" si="48"/>
        <v>43</v>
      </c>
      <c r="Y79" s="81">
        <v>12</v>
      </c>
      <c r="Z79" s="81">
        <v>9</v>
      </c>
      <c r="AA79" s="81">
        <v>0</v>
      </c>
      <c r="AB79" s="81">
        <v>22</v>
      </c>
      <c r="AC79" s="82">
        <f t="shared" si="49"/>
        <v>43</v>
      </c>
      <c r="AD79" s="82">
        <f t="shared" si="58"/>
        <v>3009180</v>
      </c>
      <c r="AE79" s="82">
        <f t="shared" si="50"/>
        <v>185760</v>
      </c>
      <c r="AF79" s="82">
        <f t="shared" si="51"/>
        <v>258000</v>
      </c>
      <c r="AG79" s="82">
        <f t="shared" si="52"/>
        <v>103200</v>
      </c>
      <c r="AH79" s="82">
        <f t="shared" si="59"/>
        <v>404200</v>
      </c>
      <c r="AI79" s="82">
        <f t="shared" si="53"/>
        <v>34400</v>
      </c>
      <c r="AJ79" s="82">
        <f t="shared" si="60"/>
        <v>0</v>
      </c>
      <c r="AK79" s="82">
        <f t="shared" si="61"/>
        <v>41280</v>
      </c>
      <c r="AL79" s="82">
        <f t="shared" si="54"/>
        <v>1305202.93</v>
      </c>
      <c r="AM79" s="82">
        <f t="shared" si="55"/>
        <v>5341223</v>
      </c>
      <c r="AN79" s="119">
        <v>64523.75</v>
      </c>
      <c r="AO79" s="120">
        <f t="shared" si="62"/>
        <v>5405746.75</v>
      </c>
    </row>
    <row r="80" spans="1:41" s="83" customFormat="1" ht="18" customHeight="1">
      <c r="A80" s="79" t="s">
        <v>4</v>
      </c>
      <c r="B80" s="80" t="s">
        <v>703</v>
      </c>
      <c r="C80" s="80" t="s">
        <v>959</v>
      </c>
      <c r="D80" s="81"/>
      <c r="E80" s="86">
        <v>0</v>
      </c>
      <c r="F80" s="86">
        <v>8</v>
      </c>
      <c r="G80" s="86">
        <v>0</v>
      </c>
      <c r="H80" s="86">
        <v>5</v>
      </c>
      <c r="I80" s="82">
        <f t="shared" si="45"/>
        <v>13</v>
      </c>
      <c r="J80" s="81">
        <v>1</v>
      </c>
      <c r="K80" s="81">
        <v>0</v>
      </c>
      <c r="L80" s="81">
        <v>0</v>
      </c>
      <c r="M80" s="81">
        <v>0</v>
      </c>
      <c r="N80" s="82">
        <f t="shared" si="46"/>
        <v>1</v>
      </c>
      <c r="O80" s="82">
        <f t="shared" si="57"/>
        <v>1</v>
      </c>
      <c r="P80" s="82">
        <f t="shared" si="57"/>
        <v>8</v>
      </c>
      <c r="Q80" s="82">
        <f t="shared" si="57"/>
        <v>0</v>
      </c>
      <c r="R80" s="82">
        <f t="shared" si="57"/>
        <v>5</v>
      </c>
      <c r="S80" s="93">
        <f t="shared" si="47"/>
        <v>14</v>
      </c>
      <c r="T80" s="81">
        <v>2</v>
      </c>
      <c r="U80" s="81">
        <v>4</v>
      </c>
      <c r="V80" s="81">
        <v>0</v>
      </c>
      <c r="W80" s="81">
        <v>5</v>
      </c>
      <c r="X80" s="93">
        <f t="shared" si="48"/>
        <v>11</v>
      </c>
      <c r="Y80" s="81">
        <v>2</v>
      </c>
      <c r="Z80" s="81">
        <v>4</v>
      </c>
      <c r="AA80" s="81">
        <v>0</v>
      </c>
      <c r="AB80" s="81">
        <v>5</v>
      </c>
      <c r="AC80" s="82">
        <f t="shared" si="49"/>
        <v>11</v>
      </c>
      <c r="AD80" s="82">
        <f t="shared" si="58"/>
        <v>774480</v>
      </c>
      <c r="AE80" s="82">
        <f t="shared" si="50"/>
        <v>47520</v>
      </c>
      <c r="AF80" s="82">
        <f t="shared" si="51"/>
        <v>66000</v>
      </c>
      <c r="AG80" s="82">
        <f t="shared" si="52"/>
        <v>26400</v>
      </c>
      <c r="AH80" s="82">
        <f t="shared" si="59"/>
        <v>103400</v>
      </c>
      <c r="AI80" s="82">
        <f t="shared" si="53"/>
        <v>8800</v>
      </c>
      <c r="AJ80" s="82">
        <f t="shared" si="60"/>
        <v>0</v>
      </c>
      <c r="AK80" s="82">
        <f t="shared" si="61"/>
        <v>10560</v>
      </c>
      <c r="AL80" s="82">
        <f t="shared" si="54"/>
        <v>333889.12</v>
      </c>
      <c r="AM80" s="82">
        <f t="shared" si="55"/>
        <v>1371049</v>
      </c>
      <c r="AN80" s="120">
        <v>12877.5</v>
      </c>
      <c r="AO80" s="120">
        <f t="shared" si="62"/>
        <v>1383926.5</v>
      </c>
    </row>
    <row r="81" spans="1:41" ht="18" customHeight="1">
      <c r="A81" s="79" t="s">
        <v>4</v>
      </c>
      <c r="B81" s="80" t="s">
        <v>238</v>
      </c>
      <c r="C81" s="80" t="s">
        <v>464</v>
      </c>
      <c r="D81" s="81"/>
      <c r="E81" s="86">
        <v>21.949579831933001</v>
      </c>
      <c r="F81" s="86">
        <v>11</v>
      </c>
      <c r="G81" s="86">
        <v>0</v>
      </c>
      <c r="H81" s="86">
        <v>6</v>
      </c>
      <c r="I81" s="82">
        <f t="shared" si="45"/>
        <v>38.949579831933001</v>
      </c>
      <c r="J81" s="81">
        <v>2</v>
      </c>
      <c r="K81" s="81">
        <v>1</v>
      </c>
      <c r="L81" s="81">
        <v>0</v>
      </c>
      <c r="M81" s="81">
        <v>0</v>
      </c>
      <c r="N81" s="82">
        <f t="shared" si="46"/>
        <v>3</v>
      </c>
      <c r="O81" s="82">
        <f t="shared" si="57"/>
        <v>23.949579831933001</v>
      </c>
      <c r="P81" s="82">
        <f t="shared" si="57"/>
        <v>12</v>
      </c>
      <c r="Q81" s="82">
        <f t="shared" si="57"/>
        <v>0</v>
      </c>
      <c r="R81" s="82">
        <f t="shared" si="57"/>
        <v>6</v>
      </c>
      <c r="S81" s="93">
        <f t="shared" si="47"/>
        <v>41.949579831933001</v>
      </c>
      <c r="T81" s="81">
        <v>5</v>
      </c>
      <c r="U81" s="81">
        <v>6</v>
      </c>
      <c r="V81" s="81">
        <v>2</v>
      </c>
      <c r="W81" s="81">
        <v>6</v>
      </c>
      <c r="X81" s="93">
        <f t="shared" si="48"/>
        <v>19</v>
      </c>
      <c r="Y81" s="81">
        <v>5</v>
      </c>
      <c r="Z81" s="81">
        <v>6</v>
      </c>
      <c r="AA81" s="81">
        <v>2</v>
      </c>
      <c r="AB81" s="81">
        <v>6</v>
      </c>
      <c r="AC81" s="82">
        <f t="shared" si="49"/>
        <v>19</v>
      </c>
      <c r="AD81" s="82">
        <f t="shared" ref="AD81:AD84" si="63">(Y81*9230+Z81*7215+AA81*5800+AB81*5100)*12</f>
        <v>1579680</v>
      </c>
      <c r="AE81" s="82">
        <f t="shared" si="50"/>
        <v>82080</v>
      </c>
      <c r="AF81" s="82">
        <f t="shared" si="51"/>
        <v>114000</v>
      </c>
      <c r="AG81" s="82">
        <f t="shared" si="52"/>
        <v>45600</v>
      </c>
      <c r="AH81" s="82">
        <f t="shared" ref="AH81:AH84" si="64">Y81*15400+(Z81+AA81+AB81)*9400</f>
        <v>208600</v>
      </c>
      <c r="AI81" s="82">
        <f t="shared" si="53"/>
        <v>15200</v>
      </c>
      <c r="AJ81" s="82">
        <f t="shared" si="60"/>
        <v>0</v>
      </c>
      <c r="AK81" s="82">
        <f t="shared" si="61"/>
        <v>18240</v>
      </c>
      <c r="AL81" s="82">
        <f t="shared" si="54"/>
        <v>576717.56999999995</v>
      </c>
      <c r="AM81" s="82">
        <f t="shared" si="55"/>
        <v>2640118</v>
      </c>
      <c r="AN81" s="119">
        <v>15204.38</v>
      </c>
      <c r="AO81" s="120">
        <f t="shared" si="62"/>
        <v>2655322.38</v>
      </c>
    </row>
    <row r="82" spans="1:41" s="83" customFormat="1" ht="18" customHeight="1">
      <c r="A82" s="79" t="s">
        <v>4</v>
      </c>
      <c r="B82" s="80" t="s">
        <v>704</v>
      </c>
      <c r="C82" s="80" t="s">
        <v>464</v>
      </c>
      <c r="D82" s="81"/>
      <c r="E82" s="86">
        <v>34.831932773109003</v>
      </c>
      <c r="F82" s="86">
        <v>10</v>
      </c>
      <c r="G82" s="86">
        <v>0</v>
      </c>
      <c r="H82" s="86">
        <v>9</v>
      </c>
      <c r="I82" s="82">
        <f t="shared" si="45"/>
        <v>53.831932773109003</v>
      </c>
      <c r="J82" s="81">
        <v>0</v>
      </c>
      <c r="K82" s="81">
        <v>2</v>
      </c>
      <c r="L82" s="81">
        <v>0</v>
      </c>
      <c r="M82" s="81">
        <v>0</v>
      </c>
      <c r="N82" s="82">
        <f t="shared" si="46"/>
        <v>2</v>
      </c>
      <c r="O82" s="82">
        <f t="shared" si="57"/>
        <v>34.831932773109003</v>
      </c>
      <c r="P82" s="82">
        <f t="shared" si="57"/>
        <v>12</v>
      </c>
      <c r="Q82" s="82">
        <f t="shared" si="57"/>
        <v>0</v>
      </c>
      <c r="R82" s="82">
        <f t="shared" si="57"/>
        <v>9</v>
      </c>
      <c r="S82" s="93">
        <f t="shared" si="47"/>
        <v>55.831932773109003</v>
      </c>
      <c r="T82" s="81">
        <v>0</v>
      </c>
      <c r="U82" s="81">
        <v>10</v>
      </c>
      <c r="V82" s="81">
        <v>0</v>
      </c>
      <c r="W82" s="81">
        <v>10</v>
      </c>
      <c r="X82" s="93">
        <f t="shared" si="48"/>
        <v>20</v>
      </c>
      <c r="Y82" s="81">
        <v>0</v>
      </c>
      <c r="Z82" s="81">
        <v>10</v>
      </c>
      <c r="AA82" s="81">
        <v>0</v>
      </c>
      <c r="AB82" s="81">
        <v>10</v>
      </c>
      <c r="AC82" s="82">
        <f t="shared" si="49"/>
        <v>20</v>
      </c>
      <c r="AD82" s="82">
        <f t="shared" si="63"/>
        <v>1477800</v>
      </c>
      <c r="AE82" s="82">
        <f t="shared" si="50"/>
        <v>86400</v>
      </c>
      <c r="AF82" s="82">
        <f t="shared" si="51"/>
        <v>120000</v>
      </c>
      <c r="AG82" s="82">
        <f t="shared" si="52"/>
        <v>48000</v>
      </c>
      <c r="AH82" s="82">
        <f t="shared" si="64"/>
        <v>188000</v>
      </c>
      <c r="AI82" s="82">
        <f t="shared" si="53"/>
        <v>16000</v>
      </c>
      <c r="AJ82" s="82">
        <f t="shared" si="60"/>
        <v>0</v>
      </c>
      <c r="AK82" s="82">
        <f t="shared" si="61"/>
        <v>19200</v>
      </c>
      <c r="AL82" s="82">
        <f t="shared" si="54"/>
        <v>607071.13</v>
      </c>
      <c r="AM82" s="82">
        <f t="shared" si="55"/>
        <v>2562471</v>
      </c>
      <c r="AN82" s="120">
        <v>12431.25</v>
      </c>
      <c r="AO82" s="120">
        <f t="shared" si="62"/>
        <v>2574902.25</v>
      </c>
    </row>
    <row r="83" spans="1:41" ht="18" customHeight="1">
      <c r="A83" s="79" t="s">
        <v>4</v>
      </c>
      <c r="B83" s="80" t="s">
        <v>705</v>
      </c>
      <c r="C83" s="80" t="s">
        <v>464</v>
      </c>
      <c r="D83" s="81"/>
      <c r="E83" s="86">
        <v>43.420168067227003</v>
      </c>
      <c r="F83" s="86">
        <v>28</v>
      </c>
      <c r="G83" s="86">
        <v>0</v>
      </c>
      <c r="H83" s="86">
        <v>18</v>
      </c>
      <c r="I83" s="82">
        <f t="shared" si="45"/>
        <v>89.420168067226996</v>
      </c>
      <c r="J83" s="81">
        <v>4</v>
      </c>
      <c r="K83" s="81">
        <v>1</v>
      </c>
      <c r="L83" s="81">
        <v>0</v>
      </c>
      <c r="M83" s="81">
        <v>1</v>
      </c>
      <c r="N83" s="82">
        <f t="shared" si="46"/>
        <v>6</v>
      </c>
      <c r="O83" s="82">
        <f t="shared" si="57"/>
        <v>47.420168067227003</v>
      </c>
      <c r="P83" s="82">
        <f t="shared" si="57"/>
        <v>29</v>
      </c>
      <c r="Q83" s="82">
        <f t="shared" si="57"/>
        <v>0</v>
      </c>
      <c r="R83" s="82">
        <f t="shared" si="57"/>
        <v>19</v>
      </c>
      <c r="S83" s="93">
        <f t="shared" si="47"/>
        <v>95.420168067226996</v>
      </c>
      <c r="T83" s="81">
        <v>5</v>
      </c>
      <c r="U83" s="81">
        <v>13</v>
      </c>
      <c r="V83" s="81">
        <v>0</v>
      </c>
      <c r="W83" s="81">
        <v>12</v>
      </c>
      <c r="X83" s="93">
        <f t="shared" si="48"/>
        <v>30</v>
      </c>
      <c r="Y83" s="81">
        <v>5</v>
      </c>
      <c r="Z83" s="81">
        <v>13</v>
      </c>
      <c r="AA83" s="81">
        <v>0</v>
      </c>
      <c r="AB83" s="81">
        <v>12</v>
      </c>
      <c r="AC83" s="82">
        <f t="shared" si="49"/>
        <v>30</v>
      </c>
      <c r="AD83" s="82">
        <f t="shared" si="63"/>
        <v>2413740</v>
      </c>
      <c r="AE83" s="82">
        <f t="shared" si="50"/>
        <v>129600</v>
      </c>
      <c r="AF83" s="82">
        <f t="shared" si="51"/>
        <v>180000</v>
      </c>
      <c r="AG83" s="82">
        <f t="shared" si="52"/>
        <v>72000</v>
      </c>
      <c r="AH83" s="82">
        <f t="shared" si="64"/>
        <v>312000</v>
      </c>
      <c r="AI83" s="82">
        <f t="shared" si="53"/>
        <v>24000</v>
      </c>
      <c r="AJ83" s="82">
        <f t="shared" si="60"/>
        <v>0</v>
      </c>
      <c r="AK83" s="82">
        <f t="shared" si="61"/>
        <v>28800</v>
      </c>
      <c r="AL83" s="82">
        <f t="shared" si="54"/>
        <v>910606.69</v>
      </c>
      <c r="AM83" s="82">
        <f t="shared" si="55"/>
        <v>4070747</v>
      </c>
      <c r="AN83" s="119">
        <v>239229</v>
      </c>
      <c r="AO83" s="120">
        <f t="shared" si="62"/>
        <v>4309976</v>
      </c>
    </row>
    <row r="84" spans="1:41" ht="18" customHeight="1">
      <c r="A84" s="79" t="s">
        <v>4</v>
      </c>
      <c r="B84" s="80" t="s">
        <v>236</v>
      </c>
      <c r="C84" s="80" t="s">
        <v>464</v>
      </c>
      <c r="D84" s="81"/>
      <c r="E84" s="86">
        <v>19.6386554621849</v>
      </c>
      <c r="F84" s="86">
        <v>10.5</v>
      </c>
      <c r="G84" s="86">
        <v>0</v>
      </c>
      <c r="H84" s="86">
        <v>6</v>
      </c>
      <c r="I84" s="82">
        <f t="shared" si="45"/>
        <v>36.1386554621849</v>
      </c>
      <c r="J84" s="81">
        <v>4</v>
      </c>
      <c r="K84" s="81">
        <v>1</v>
      </c>
      <c r="L84" s="81">
        <v>0</v>
      </c>
      <c r="M84" s="81">
        <v>1</v>
      </c>
      <c r="N84" s="82">
        <f t="shared" si="46"/>
        <v>6</v>
      </c>
      <c r="O84" s="82">
        <f t="shared" si="57"/>
        <v>23.6386554621849</v>
      </c>
      <c r="P84" s="82">
        <f t="shared" si="57"/>
        <v>11.5</v>
      </c>
      <c r="Q84" s="82">
        <f t="shared" si="57"/>
        <v>0</v>
      </c>
      <c r="R84" s="82">
        <f t="shared" si="57"/>
        <v>7</v>
      </c>
      <c r="S84" s="93">
        <f t="shared" si="47"/>
        <v>42.1386554621849</v>
      </c>
      <c r="T84" s="81">
        <v>7</v>
      </c>
      <c r="U84" s="81">
        <v>3</v>
      </c>
      <c r="V84" s="81">
        <v>0</v>
      </c>
      <c r="W84" s="81">
        <v>7</v>
      </c>
      <c r="X84" s="93">
        <f t="shared" si="48"/>
        <v>17</v>
      </c>
      <c r="Y84" s="81">
        <v>7</v>
      </c>
      <c r="Z84" s="81">
        <v>3</v>
      </c>
      <c r="AA84" s="81">
        <v>0</v>
      </c>
      <c r="AB84" s="81">
        <v>7</v>
      </c>
      <c r="AC84" s="82">
        <f t="shared" si="49"/>
        <v>17</v>
      </c>
      <c r="AD84" s="82">
        <f t="shared" si="63"/>
        <v>1463460</v>
      </c>
      <c r="AE84" s="82">
        <f t="shared" si="50"/>
        <v>73440</v>
      </c>
      <c r="AF84" s="82">
        <f t="shared" si="51"/>
        <v>102000</v>
      </c>
      <c r="AG84" s="82">
        <f t="shared" si="52"/>
        <v>40800</v>
      </c>
      <c r="AH84" s="82">
        <f t="shared" si="64"/>
        <v>201800</v>
      </c>
      <c r="AI84" s="82">
        <f t="shared" si="53"/>
        <v>13600</v>
      </c>
      <c r="AJ84" s="82">
        <f t="shared" si="60"/>
        <v>0</v>
      </c>
      <c r="AK84" s="82">
        <f t="shared" si="61"/>
        <v>16320</v>
      </c>
      <c r="AL84" s="82">
        <f t="shared" si="54"/>
        <v>516010.46</v>
      </c>
      <c r="AM84" s="82">
        <f t="shared" si="55"/>
        <v>2427430</v>
      </c>
      <c r="AN84" s="119">
        <v>97730.75</v>
      </c>
      <c r="AO84" s="120">
        <f t="shared" si="62"/>
        <v>2525160.75</v>
      </c>
    </row>
    <row r="85" spans="1:41" s="83" customFormat="1" ht="18" customHeight="1">
      <c r="A85" s="79" t="s">
        <v>4</v>
      </c>
      <c r="B85" s="80" t="s">
        <v>706</v>
      </c>
      <c r="C85" s="80" t="s">
        <v>649</v>
      </c>
      <c r="D85" s="81">
        <v>1</v>
      </c>
      <c r="E85" s="86">
        <v>0</v>
      </c>
      <c r="F85" s="86">
        <v>2</v>
      </c>
      <c r="G85" s="86">
        <v>20.5625</v>
      </c>
      <c r="H85" s="86">
        <v>2</v>
      </c>
      <c r="I85" s="82">
        <f t="shared" si="45"/>
        <v>24.5625</v>
      </c>
      <c r="J85" s="81">
        <v>1</v>
      </c>
      <c r="K85" s="81">
        <v>0</v>
      </c>
      <c r="L85" s="81">
        <v>0</v>
      </c>
      <c r="M85" s="81">
        <v>0</v>
      </c>
      <c r="N85" s="82">
        <f t="shared" si="46"/>
        <v>1</v>
      </c>
      <c r="O85" s="82">
        <f t="shared" si="57"/>
        <v>1</v>
      </c>
      <c r="P85" s="82">
        <f t="shared" si="57"/>
        <v>2</v>
      </c>
      <c r="Q85" s="82">
        <f t="shared" si="57"/>
        <v>20.5625</v>
      </c>
      <c r="R85" s="82">
        <f t="shared" si="57"/>
        <v>2</v>
      </c>
      <c r="S85" s="93">
        <f t="shared" si="47"/>
        <v>25.5625</v>
      </c>
      <c r="T85" s="81">
        <v>1</v>
      </c>
      <c r="U85" s="81">
        <v>3</v>
      </c>
      <c r="V85" s="81">
        <v>14</v>
      </c>
      <c r="W85" s="81">
        <v>1</v>
      </c>
      <c r="X85" s="93">
        <f t="shared" si="48"/>
        <v>19</v>
      </c>
      <c r="Y85" s="81">
        <v>1</v>
      </c>
      <c r="Z85" s="81">
        <v>3</v>
      </c>
      <c r="AA85" s="81">
        <v>14</v>
      </c>
      <c r="AB85" s="81">
        <v>1</v>
      </c>
      <c r="AC85" s="82">
        <f t="shared" si="49"/>
        <v>19</v>
      </c>
      <c r="AD85" s="82">
        <f>(Y85*7050+Z85*6485+AA85*5800+AB85*4900)*12</f>
        <v>1351260</v>
      </c>
      <c r="AE85" s="82">
        <f t="shared" si="50"/>
        <v>82080</v>
      </c>
      <c r="AF85" s="82">
        <f t="shared" si="51"/>
        <v>114000</v>
      </c>
      <c r="AG85" s="82">
        <f t="shared" si="52"/>
        <v>45600</v>
      </c>
      <c r="AH85" s="82">
        <f t="shared" si="59"/>
        <v>178600</v>
      </c>
      <c r="AI85" s="82">
        <f t="shared" si="53"/>
        <v>15200</v>
      </c>
      <c r="AJ85" s="82">
        <f t="shared" si="60"/>
        <v>10000</v>
      </c>
      <c r="AK85" s="82">
        <f t="shared" si="61"/>
        <v>18240</v>
      </c>
      <c r="AL85" s="82">
        <f t="shared" si="54"/>
        <v>576717.56999999995</v>
      </c>
      <c r="AM85" s="82">
        <f t="shared" si="55"/>
        <v>2391698</v>
      </c>
      <c r="AN85" s="120"/>
      <c r="AO85" s="82">
        <f t="shared" si="62"/>
        <v>2391698</v>
      </c>
    </row>
    <row r="86" spans="1:41" s="83" customFormat="1" ht="18" customHeight="1">
      <c r="A86" s="79" t="s">
        <v>4</v>
      </c>
      <c r="B86" s="80" t="s">
        <v>707</v>
      </c>
      <c r="C86" s="80" t="s">
        <v>649</v>
      </c>
      <c r="D86" s="81">
        <v>1</v>
      </c>
      <c r="E86" s="86">
        <v>0</v>
      </c>
      <c r="F86" s="86">
        <v>2</v>
      </c>
      <c r="G86" s="86">
        <v>28.837499999999999</v>
      </c>
      <c r="H86" s="86">
        <v>1</v>
      </c>
      <c r="I86" s="82">
        <f t="shared" si="45"/>
        <v>31.837499999999999</v>
      </c>
      <c r="J86" s="81">
        <v>0</v>
      </c>
      <c r="K86" s="81">
        <v>0</v>
      </c>
      <c r="L86" s="81">
        <v>0</v>
      </c>
      <c r="M86" s="81">
        <v>0</v>
      </c>
      <c r="N86" s="82">
        <f t="shared" si="46"/>
        <v>0</v>
      </c>
      <c r="O86" s="82">
        <f t="shared" si="57"/>
        <v>0</v>
      </c>
      <c r="P86" s="82">
        <f t="shared" si="57"/>
        <v>2</v>
      </c>
      <c r="Q86" s="82">
        <f t="shared" si="57"/>
        <v>28.837499999999999</v>
      </c>
      <c r="R86" s="82">
        <f t="shared" si="57"/>
        <v>1</v>
      </c>
      <c r="S86" s="93">
        <f t="shared" si="47"/>
        <v>31.837499999999999</v>
      </c>
      <c r="T86" s="81">
        <v>0</v>
      </c>
      <c r="U86" s="81">
        <v>0</v>
      </c>
      <c r="V86" s="81">
        <v>29</v>
      </c>
      <c r="W86" s="81">
        <v>1</v>
      </c>
      <c r="X86" s="93">
        <f t="shared" si="48"/>
        <v>30</v>
      </c>
      <c r="Y86" s="81">
        <v>0</v>
      </c>
      <c r="Z86" s="81">
        <v>0</v>
      </c>
      <c r="AA86" s="81">
        <v>29</v>
      </c>
      <c r="AB86" s="81">
        <v>1</v>
      </c>
      <c r="AC86" s="82">
        <f t="shared" si="49"/>
        <v>30</v>
      </c>
      <c r="AD86" s="82">
        <f>(Y86*7050+Z86*6485+AA86*5800+AB86*4900)*12</f>
        <v>2077200</v>
      </c>
      <c r="AE86" s="82">
        <f t="shared" si="50"/>
        <v>129600</v>
      </c>
      <c r="AF86" s="82">
        <f t="shared" si="51"/>
        <v>180000</v>
      </c>
      <c r="AG86" s="82">
        <f t="shared" si="52"/>
        <v>72000</v>
      </c>
      <c r="AH86" s="82">
        <f t="shared" si="59"/>
        <v>282000</v>
      </c>
      <c r="AI86" s="82">
        <f t="shared" si="53"/>
        <v>24000</v>
      </c>
      <c r="AJ86" s="82">
        <f t="shared" si="60"/>
        <v>10000</v>
      </c>
      <c r="AK86" s="82">
        <f t="shared" si="61"/>
        <v>28800</v>
      </c>
      <c r="AL86" s="82">
        <f t="shared" si="54"/>
        <v>910606.69</v>
      </c>
      <c r="AM86" s="82">
        <f t="shared" si="55"/>
        <v>3714207</v>
      </c>
      <c r="AN86" s="120"/>
      <c r="AO86" s="82">
        <f t="shared" si="62"/>
        <v>3714207</v>
      </c>
    </row>
    <row r="87" spans="1:41" s="83" customFormat="1" ht="18" customHeight="1">
      <c r="A87" s="79" t="s">
        <v>4</v>
      </c>
      <c r="B87" s="80" t="s">
        <v>708</v>
      </c>
      <c r="C87" s="80" t="s">
        <v>649</v>
      </c>
      <c r="D87" s="81">
        <v>1</v>
      </c>
      <c r="E87" s="86">
        <v>0</v>
      </c>
      <c r="F87" s="86">
        <v>2</v>
      </c>
      <c r="G87" s="86">
        <v>11.574999999999999</v>
      </c>
      <c r="H87" s="86">
        <v>2</v>
      </c>
      <c r="I87" s="82">
        <f t="shared" si="45"/>
        <v>15.574999999999999</v>
      </c>
      <c r="J87" s="81">
        <v>2</v>
      </c>
      <c r="K87" s="81">
        <v>0</v>
      </c>
      <c r="L87" s="81">
        <v>1</v>
      </c>
      <c r="M87" s="81">
        <v>0</v>
      </c>
      <c r="N87" s="82">
        <f t="shared" si="46"/>
        <v>3</v>
      </c>
      <c r="O87" s="82">
        <f t="shared" si="57"/>
        <v>2</v>
      </c>
      <c r="P87" s="82">
        <f t="shared" si="57"/>
        <v>2</v>
      </c>
      <c r="Q87" s="82">
        <f t="shared" si="57"/>
        <v>12.574999999999999</v>
      </c>
      <c r="R87" s="82">
        <f t="shared" si="57"/>
        <v>2</v>
      </c>
      <c r="S87" s="93">
        <f t="shared" si="47"/>
        <v>18.574999999999999</v>
      </c>
      <c r="T87" s="81">
        <v>2</v>
      </c>
      <c r="U87" s="81">
        <v>2</v>
      </c>
      <c r="V87" s="81">
        <v>13</v>
      </c>
      <c r="W87" s="81">
        <v>2</v>
      </c>
      <c r="X87" s="93">
        <f t="shared" si="48"/>
        <v>19</v>
      </c>
      <c r="Y87" s="81">
        <v>2</v>
      </c>
      <c r="Z87" s="81">
        <v>2</v>
      </c>
      <c r="AA87" s="81">
        <v>12.574999999999999</v>
      </c>
      <c r="AB87" s="81">
        <v>2</v>
      </c>
      <c r="AC87" s="82">
        <f t="shared" si="49"/>
        <v>18.574999999999999</v>
      </c>
      <c r="AD87" s="82">
        <f>(Y87*7050+Z87*6485+AA87*5800+AB87*4900)*12</f>
        <v>1317660</v>
      </c>
      <c r="AE87" s="82">
        <f t="shared" si="50"/>
        <v>80244</v>
      </c>
      <c r="AF87" s="82">
        <f t="shared" si="51"/>
        <v>111450</v>
      </c>
      <c r="AG87" s="82">
        <f t="shared" si="52"/>
        <v>44580</v>
      </c>
      <c r="AH87" s="82">
        <f t="shared" si="59"/>
        <v>174605</v>
      </c>
      <c r="AI87" s="82">
        <f>AC87*800</f>
        <v>14860</v>
      </c>
      <c r="AJ87" s="82">
        <f>D87*50*200</f>
        <v>10000</v>
      </c>
      <c r="AK87" s="82">
        <f>AC87*960</f>
        <v>17832</v>
      </c>
      <c r="AL87" s="82">
        <f t="shared" si="54"/>
        <v>563817.31000000006</v>
      </c>
      <c r="AM87" s="82">
        <f t="shared" si="55"/>
        <v>2335048</v>
      </c>
      <c r="AN87" s="120"/>
      <c r="AO87" s="82">
        <f t="shared" si="62"/>
        <v>2335048</v>
      </c>
    </row>
    <row r="88" spans="1:41" ht="18" customHeight="1">
      <c r="A88" s="79" t="s">
        <v>4</v>
      </c>
      <c r="B88" s="80" t="s">
        <v>709</v>
      </c>
      <c r="C88" s="80" t="s">
        <v>972</v>
      </c>
      <c r="D88" s="81"/>
      <c r="E88" s="86">
        <v>39</v>
      </c>
      <c r="F88" s="86">
        <v>11</v>
      </c>
      <c r="G88" s="86">
        <v>0</v>
      </c>
      <c r="H88" s="86">
        <v>9</v>
      </c>
      <c r="I88" s="82">
        <f t="shared" si="45"/>
        <v>59</v>
      </c>
      <c r="J88" s="81">
        <v>6</v>
      </c>
      <c r="K88" s="81">
        <v>1</v>
      </c>
      <c r="L88" s="81">
        <v>0</v>
      </c>
      <c r="M88" s="81">
        <v>1</v>
      </c>
      <c r="N88" s="82">
        <f t="shared" si="46"/>
        <v>8</v>
      </c>
      <c r="O88" s="82">
        <f t="shared" si="57"/>
        <v>45</v>
      </c>
      <c r="P88" s="82">
        <f t="shared" si="57"/>
        <v>12</v>
      </c>
      <c r="Q88" s="82">
        <f t="shared" si="57"/>
        <v>0</v>
      </c>
      <c r="R88" s="82">
        <f t="shared" si="57"/>
        <v>10</v>
      </c>
      <c r="S88" s="93">
        <f t="shared" si="47"/>
        <v>67</v>
      </c>
      <c r="T88" s="81">
        <v>10</v>
      </c>
      <c r="U88" s="81">
        <v>6</v>
      </c>
      <c r="V88" s="81">
        <v>0</v>
      </c>
      <c r="W88" s="81">
        <v>10</v>
      </c>
      <c r="X88" s="93">
        <f t="shared" si="48"/>
        <v>26</v>
      </c>
      <c r="Y88" s="81">
        <v>10</v>
      </c>
      <c r="Z88" s="81">
        <v>6</v>
      </c>
      <c r="AA88" s="81">
        <v>0</v>
      </c>
      <c r="AB88" s="81">
        <v>10</v>
      </c>
      <c r="AC88" s="82">
        <f t="shared" si="49"/>
        <v>26</v>
      </c>
      <c r="AD88" s="82">
        <f>(Y88*9230+Z88*7215+AA88*5800+AB88*5100)*12</f>
        <v>2239080</v>
      </c>
      <c r="AE88" s="82">
        <f t="shared" si="50"/>
        <v>112320</v>
      </c>
      <c r="AF88" s="82">
        <f t="shared" si="51"/>
        <v>156000</v>
      </c>
      <c r="AG88" s="82">
        <f t="shared" si="52"/>
        <v>62400</v>
      </c>
      <c r="AH88" s="82">
        <f>Y88*15400+(Z88+AA88+AB88)*9400</f>
        <v>304400</v>
      </c>
      <c r="AI88" s="82">
        <f>AC88*800</f>
        <v>20800</v>
      </c>
      <c r="AJ88" s="82">
        <f>D88*50*200</f>
        <v>0</v>
      </c>
      <c r="AK88" s="82">
        <f>AC88*960</f>
        <v>24960</v>
      </c>
      <c r="AL88" s="82">
        <f t="shared" si="54"/>
        <v>789192.47</v>
      </c>
      <c r="AM88" s="82">
        <f t="shared" si="55"/>
        <v>3709152</v>
      </c>
      <c r="AN88" s="119">
        <v>114888.75</v>
      </c>
      <c r="AO88" s="120">
        <f t="shared" si="62"/>
        <v>3824040.75</v>
      </c>
    </row>
    <row r="89" spans="1:41" s="83" customFormat="1" ht="18" customHeight="1">
      <c r="A89" s="79" t="s">
        <v>4</v>
      </c>
      <c r="B89" s="80" t="s">
        <v>978</v>
      </c>
      <c r="C89" s="80" t="s">
        <v>649</v>
      </c>
      <c r="D89" s="81">
        <v>1</v>
      </c>
      <c r="E89" s="86">
        <v>5.4017094017094003</v>
      </c>
      <c r="F89" s="86">
        <v>3</v>
      </c>
      <c r="G89" s="86">
        <v>11.8375</v>
      </c>
      <c r="H89" s="86">
        <v>1</v>
      </c>
      <c r="I89" s="82">
        <f t="shared" si="45"/>
        <v>21.239209401709402</v>
      </c>
      <c r="J89" s="81">
        <v>0</v>
      </c>
      <c r="K89" s="81">
        <v>2</v>
      </c>
      <c r="L89" s="81">
        <v>0</v>
      </c>
      <c r="M89" s="81">
        <v>0</v>
      </c>
      <c r="N89" s="82">
        <f t="shared" si="46"/>
        <v>2</v>
      </c>
      <c r="O89" s="82">
        <f t="shared" si="57"/>
        <v>5.4017094017094003</v>
      </c>
      <c r="P89" s="82">
        <f t="shared" si="57"/>
        <v>5</v>
      </c>
      <c r="Q89" s="82">
        <f t="shared" si="57"/>
        <v>11.8375</v>
      </c>
      <c r="R89" s="82">
        <f t="shared" si="57"/>
        <v>1</v>
      </c>
      <c r="S89" s="93">
        <f t="shared" si="47"/>
        <v>23.239209401709402</v>
      </c>
      <c r="T89" s="81">
        <v>4</v>
      </c>
      <c r="U89" s="81">
        <v>5</v>
      </c>
      <c r="V89" s="81">
        <v>12</v>
      </c>
      <c r="W89" s="81">
        <v>1</v>
      </c>
      <c r="X89" s="93">
        <f t="shared" si="48"/>
        <v>22</v>
      </c>
      <c r="Y89" s="81">
        <v>4</v>
      </c>
      <c r="Z89" s="81">
        <v>5</v>
      </c>
      <c r="AA89" s="81">
        <v>12</v>
      </c>
      <c r="AB89" s="81">
        <v>1</v>
      </c>
      <c r="AC89" s="82">
        <f t="shared" si="49"/>
        <v>22</v>
      </c>
      <c r="AD89" s="82">
        <f>(Y89*7050+Z89*6485+AA89*5800+AB89*4900)*12</f>
        <v>1621500</v>
      </c>
      <c r="AE89" s="82">
        <f t="shared" si="50"/>
        <v>95040</v>
      </c>
      <c r="AF89" s="82">
        <f t="shared" si="51"/>
        <v>132000</v>
      </c>
      <c r="AG89" s="82">
        <f t="shared" si="52"/>
        <v>52800</v>
      </c>
      <c r="AH89" s="82">
        <f t="shared" si="59"/>
        <v>206800</v>
      </c>
      <c r="AI89" s="82">
        <f t="shared" si="53"/>
        <v>17600</v>
      </c>
      <c r="AJ89" s="82">
        <f t="shared" si="60"/>
        <v>10000</v>
      </c>
      <c r="AK89" s="82">
        <f t="shared" si="61"/>
        <v>21120</v>
      </c>
      <c r="AL89" s="82">
        <f t="shared" si="54"/>
        <v>667778.24</v>
      </c>
      <c r="AM89" s="82">
        <f t="shared" si="55"/>
        <v>2824638</v>
      </c>
      <c r="AN89" s="120"/>
      <c r="AO89" s="82">
        <f t="shared" si="62"/>
        <v>2824638</v>
      </c>
    </row>
    <row r="90" spans="1:41" s="85" customFormat="1" ht="18" customHeight="1">
      <c r="A90" s="164"/>
      <c r="B90" s="164" t="s">
        <v>710</v>
      </c>
      <c r="C90" s="164"/>
      <c r="D90" s="84">
        <f>SUM(D71:D89)</f>
        <v>16</v>
      </c>
      <c r="E90" s="84">
        <f t="shared" ref="E90:AO90" si="65">SUM(E71:E89)</f>
        <v>254.51938122729211</v>
      </c>
      <c r="F90" s="84">
        <f t="shared" si="65"/>
        <v>165.5</v>
      </c>
      <c r="G90" s="84">
        <f t="shared" si="65"/>
        <v>206.15</v>
      </c>
      <c r="H90" s="84">
        <f t="shared" si="65"/>
        <v>114</v>
      </c>
      <c r="I90" s="84">
        <f t="shared" si="65"/>
        <v>740.16938122729221</v>
      </c>
      <c r="J90" s="84">
        <f t="shared" si="65"/>
        <v>29</v>
      </c>
      <c r="K90" s="84">
        <f t="shared" si="65"/>
        <v>11</v>
      </c>
      <c r="L90" s="84">
        <f t="shared" si="65"/>
        <v>3</v>
      </c>
      <c r="M90" s="84">
        <f t="shared" si="65"/>
        <v>3</v>
      </c>
      <c r="N90" s="84">
        <f t="shared" si="65"/>
        <v>46</v>
      </c>
      <c r="O90" s="84">
        <f t="shared" si="65"/>
        <v>283.51938122729211</v>
      </c>
      <c r="P90" s="84">
        <f t="shared" si="65"/>
        <v>176.5</v>
      </c>
      <c r="Q90" s="84">
        <f t="shared" si="65"/>
        <v>209.15</v>
      </c>
      <c r="R90" s="84">
        <f t="shared" si="65"/>
        <v>117</v>
      </c>
      <c r="S90" s="84">
        <f t="shared" si="65"/>
        <v>786.16938122729221</v>
      </c>
      <c r="T90" s="84">
        <f t="shared" si="65"/>
        <v>77</v>
      </c>
      <c r="U90" s="84">
        <f t="shared" si="65"/>
        <v>84</v>
      </c>
      <c r="V90" s="84">
        <f t="shared" si="65"/>
        <v>207</v>
      </c>
      <c r="W90" s="84">
        <f t="shared" si="65"/>
        <v>109</v>
      </c>
      <c r="X90" s="84">
        <f t="shared" si="65"/>
        <v>477</v>
      </c>
      <c r="Y90" s="84">
        <f t="shared" si="65"/>
        <v>77</v>
      </c>
      <c r="Z90" s="84">
        <f t="shared" si="65"/>
        <v>84</v>
      </c>
      <c r="AA90" s="84">
        <f t="shared" si="65"/>
        <v>205.4375</v>
      </c>
      <c r="AB90" s="84">
        <f t="shared" si="65"/>
        <v>107</v>
      </c>
      <c r="AC90" s="84">
        <f t="shared" si="65"/>
        <v>473.4375</v>
      </c>
      <c r="AD90" s="84">
        <f t="shared" si="65"/>
        <v>34788330</v>
      </c>
      <c r="AE90" s="84">
        <f t="shared" si="65"/>
        <v>2045250</v>
      </c>
      <c r="AF90" s="84">
        <f t="shared" si="65"/>
        <v>2840625</v>
      </c>
      <c r="AG90" s="84">
        <f t="shared" si="65"/>
        <v>1136250</v>
      </c>
      <c r="AH90" s="84">
        <f t="shared" si="65"/>
        <v>4612312.5</v>
      </c>
      <c r="AI90" s="84">
        <f t="shared" si="65"/>
        <v>378750</v>
      </c>
      <c r="AJ90" s="84">
        <f t="shared" si="65"/>
        <v>160000</v>
      </c>
      <c r="AK90" s="84">
        <f t="shared" si="65"/>
        <v>454500</v>
      </c>
      <c r="AL90" s="84">
        <f t="shared" si="65"/>
        <v>14370511.870000001</v>
      </c>
      <c r="AM90" s="84">
        <f t="shared" si="65"/>
        <v>60786530</v>
      </c>
      <c r="AN90" s="84">
        <f t="shared" si="65"/>
        <v>772228.38</v>
      </c>
      <c r="AO90" s="84">
        <f t="shared" si="65"/>
        <v>61558758.380000003</v>
      </c>
    </row>
    <row r="91" spans="1:41" ht="18" customHeight="1">
      <c r="A91" s="79" t="s">
        <v>3</v>
      </c>
      <c r="B91" s="80" t="s">
        <v>711</v>
      </c>
      <c r="C91" s="80" t="s">
        <v>649</v>
      </c>
      <c r="D91" s="81">
        <v>2</v>
      </c>
      <c r="E91" s="82">
        <v>14.017094017093996</v>
      </c>
      <c r="F91" s="82">
        <v>3</v>
      </c>
      <c r="G91" s="82">
        <v>37.362499999999997</v>
      </c>
      <c r="H91" s="82">
        <v>4</v>
      </c>
      <c r="I91" s="82">
        <f t="shared" si="45"/>
        <v>58.379594017093993</v>
      </c>
      <c r="J91" s="81">
        <v>6</v>
      </c>
      <c r="K91" s="81">
        <v>1</v>
      </c>
      <c r="L91" s="81">
        <v>4</v>
      </c>
      <c r="M91" s="81">
        <v>0</v>
      </c>
      <c r="N91" s="82">
        <f t="shared" si="46"/>
        <v>11</v>
      </c>
      <c r="O91" s="82">
        <f t="shared" ref="O91:R94" si="66">E91+J91</f>
        <v>20.017094017093996</v>
      </c>
      <c r="P91" s="82">
        <f t="shared" si="66"/>
        <v>4</v>
      </c>
      <c r="Q91" s="82">
        <f t="shared" si="66"/>
        <v>41.362499999999997</v>
      </c>
      <c r="R91" s="82">
        <f t="shared" si="66"/>
        <v>4</v>
      </c>
      <c r="S91" s="93">
        <f t="shared" si="47"/>
        <v>69.379594017093993</v>
      </c>
      <c r="T91" s="81">
        <v>15</v>
      </c>
      <c r="U91" s="81">
        <v>3</v>
      </c>
      <c r="V91" s="81">
        <v>37</v>
      </c>
      <c r="W91" s="81">
        <v>4</v>
      </c>
      <c r="X91" s="93">
        <f t="shared" si="48"/>
        <v>59</v>
      </c>
      <c r="Y91" s="81">
        <v>15</v>
      </c>
      <c r="Z91" s="81">
        <v>3</v>
      </c>
      <c r="AA91" s="81">
        <v>37</v>
      </c>
      <c r="AB91" s="81">
        <v>4</v>
      </c>
      <c r="AC91" s="82">
        <f t="shared" si="49"/>
        <v>59</v>
      </c>
      <c r="AD91" s="82">
        <f>(Y91*7050+Z91*6485+AA91*5800+AB91*4900)*12</f>
        <v>4312860</v>
      </c>
      <c r="AE91" s="82">
        <f t="shared" si="50"/>
        <v>254880</v>
      </c>
      <c r="AF91" s="82">
        <f t="shared" si="51"/>
        <v>354000</v>
      </c>
      <c r="AG91" s="82">
        <f t="shared" si="52"/>
        <v>141600</v>
      </c>
      <c r="AH91" s="82">
        <f t="shared" si="59"/>
        <v>554600</v>
      </c>
      <c r="AI91" s="82">
        <f t="shared" si="53"/>
        <v>47200</v>
      </c>
      <c r="AJ91" s="82">
        <f t="shared" si="60"/>
        <v>20000</v>
      </c>
      <c r="AK91" s="82">
        <f t="shared" si="61"/>
        <v>56640</v>
      </c>
      <c r="AL91" s="82">
        <f t="shared" si="54"/>
        <v>1790859.83</v>
      </c>
      <c r="AM91" s="82">
        <f t="shared" si="55"/>
        <v>7532640</v>
      </c>
      <c r="AN91" s="119"/>
      <c r="AO91" s="121">
        <f>AM91+AN91</f>
        <v>7532640</v>
      </c>
    </row>
    <row r="92" spans="1:41" s="83" customFormat="1" ht="18" customHeight="1">
      <c r="A92" s="79" t="s">
        <v>3</v>
      </c>
      <c r="B92" s="80" t="s">
        <v>712</v>
      </c>
      <c r="C92" s="80" t="s">
        <v>649</v>
      </c>
      <c r="D92" s="81">
        <v>1</v>
      </c>
      <c r="E92" s="82">
        <v>2.8717948717948971</v>
      </c>
      <c r="F92" s="82">
        <v>3</v>
      </c>
      <c r="G92" s="82">
        <v>20.100000000000001</v>
      </c>
      <c r="H92" s="82">
        <v>3</v>
      </c>
      <c r="I92" s="82">
        <f t="shared" si="45"/>
        <v>28.971794871794899</v>
      </c>
      <c r="J92" s="81">
        <v>3</v>
      </c>
      <c r="K92" s="81">
        <v>0</v>
      </c>
      <c r="L92" s="81">
        <v>2</v>
      </c>
      <c r="M92" s="81">
        <v>0</v>
      </c>
      <c r="N92" s="82">
        <f t="shared" si="46"/>
        <v>5</v>
      </c>
      <c r="O92" s="82">
        <f t="shared" si="66"/>
        <v>5.8717948717948971</v>
      </c>
      <c r="P92" s="82">
        <f t="shared" si="66"/>
        <v>3</v>
      </c>
      <c r="Q92" s="82">
        <f t="shared" si="66"/>
        <v>22.1</v>
      </c>
      <c r="R92" s="82">
        <f t="shared" si="66"/>
        <v>3</v>
      </c>
      <c r="S92" s="93">
        <f t="shared" si="47"/>
        <v>33.971794871794899</v>
      </c>
      <c r="T92" s="81">
        <v>3</v>
      </c>
      <c r="U92" s="81">
        <v>3</v>
      </c>
      <c r="V92" s="81">
        <v>21</v>
      </c>
      <c r="W92" s="81">
        <v>2</v>
      </c>
      <c r="X92" s="93">
        <f t="shared" si="48"/>
        <v>29</v>
      </c>
      <c r="Y92" s="81">
        <v>3</v>
      </c>
      <c r="Z92" s="81">
        <v>3</v>
      </c>
      <c r="AA92" s="81">
        <v>21</v>
      </c>
      <c r="AB92" s="81">
        <v>2</v>
      </c>
      <c r="AC92" s="82">
        <f t="shared" si="49"/>
        <v>29</v>
      </c>
      <c r="AD92" s="82">
        <f>(Y92*7050+Z92*6485+AA92*5800+AB92*4900)*12</f>
        <v>2066460</v>
      </c>
      <c r="AE92" s="82">
        <f t="shared" si="50"/>
        <v>125280</v>
      </c>
      <c r="AF92" s="82">
        <f t="shared" si="51"/>
        <v>174000</v>
      </c>
      <c r="AG92" s="82">
        <f t="shared" si="52"/>
        <v>69600</v>
      </c>
      <c r="AH92" s="82">
        <f t="shared" si="59"/>
        <v>272600</v>
      </c>
      <c r="AI92" s="82">
        <f t="shared" si="53"/>
        <v>23200</v>
      </c>
      <c r="AJ92" s="82">
        <f t="shared" si="60"/>
        <v>10000</v>
      </c>
      <c r="AK92" s="82">
        <f t="shared" si="61"/>
        <v>27840</v>
      </c>
      <c r="AL92" s="82">
        <f t="shared" si="54"/>
        <v>880253.14</v>
      </c>
      <c r="AM92" s="82">
        <f t="shared" si="55"/>
        <v>3649233</v>
      </c>
      <c r="AN92" s="120"/>
      <c r="AO92" s="121">
        <f t="shared" ref="AO92:AO94" si="67">AM92+AN92</f>
        <v>3649233</v>
      </c>
    </row>
    <row r="93" spans="1:41" s="83" customFormat="1" ht="18" customHeight="1">
      <c r="A93" s="79" t="s">
        <v>3</v>
      </c>
      <c r="B93" s="80" t="s">
        <v>166</v>
      </c>
      <c r="C93" s="80" t="s">
        <v>649</v>
      </c>
      <c r="D93" s="81">
        <v>1</v>
      </c>
      <c r="E93" s="82">
        <v>0</v>
      </c>
      <c r="F93" s="82">
        <v>1</v>
      </c>
      <c r="G93" s="82">
        <v>6.5625</v>
      </c>
      <c r="H93" s="82">
        <v>1</v>
      </c>
      <c r="I93" s="82">
        <f t="shared" si="45"/>
        <v>8.5625</v>
      </c>
      <c r="J93" s="81">
        <v>0</v>
      </c>
      <c r="K93" s="81">
        <v>0</v>
      </c>
      <c r="L93" s="81">
        <v>0</v>
      </c>
      <c r="M93" s="81">
        <v>0</v>
      </c>
      <c r="N93" s="82">
        <f t="shared" si="46"/>
        <v>0</v>
      </c>
      <c r="O93" s="82">
        <f t="shared" si="66"/>
        <v>0</v>
      </c>
      <c r="P93" s="82">
        <f t="shared" si="66"/>
        <v>1</v>
      </c>
      <c r="Q93" s="82">
        <f t="shared" si="66"/>
        <v>6.5625</v>
      </c>
      <c r="R93" s="82">
        <f t="shared" si="66"/>
        <v>1</v>
      </c>
      <c r="S93" s="93">
        <f t="shared" si="47"/>
        <v>8.5625</v>
      </c>
      <c r="T93" s="81">
        <v>0</v>
      </c>
      <c r="U93" s="81">
        <v>1</v>
      </c>
      <c r="V93" s="81">
        <v>7</v>
      </c>
      <c r="W93" s="81">
        <v>0</v>
      </c>
      <c r="X93" s="93">
        <f t="shared" si="48"/>
        <v>8</v>
      </c>
      <c r="Y93" s="81">
        <v>0</v>
      </c>
      <c r="Z93" s="81">
        <v>1</v>
      </c>
      <c r="AA93" s="81">
        <v>7</v>
      </c>
      <c r="AB93" s="81">
        <v>0</v>
      </c>
      <c r="AC93" s="82">
        <f t="shared" si="49"/>
        <v>8</v>
      </c>
      <c r="AD93" s="82">
        <f>(Y93*7050+Z93*6485+AA93*5800+AB93*4900)*12</f>
        <v>565020</v>
      </c>
      <c r="AE93" s="82">
        <f t="shared" si="50"/>
        <v>34560</v>
      </c>
      <c r="AF93" s="82">
        <f t="shared" si="51"/>
        <v>48000</v>
      </c>
      <c r="AG93" s="82">
        <f t="shared" si="52"/>
        <v>19200</v>
      </c>
      <c r="AH93" s="82">
        <f t="shared" si="59"/>
        <v>75200</v>
      </c>
      <c r="AI93" s="82">
        <f t="shared" si="53"/>
        <v>6400</v>
      </c>
      <c r="AJ93" s="82">
        <f t="shared" si="60"/>
        <v>10000</v>
      </c>
      <c r="AK93" s="82">
        <f t="shared" si="61"/>
        <v>7680</v>
      </c>
      <c r="AL93" s="82">
        <f t="shared" si="54"/>
        <v>242828.45</v>
      </c>
      <c r="AM93" s="82">
        <f t="shared" si="55"/>
        <v>1008888</v>
      </c>
      <c r="AN93" s="120"/>
      <c r="AO93" s="121">
        <f t="shared" si="67"/>
        <v>1008888</v>
      </c>
    </row>
    <row r="94" spans="1:41" ht="18" customHeight="1">
      <c r="A94" s="79" t="s">
        <v>3</v>
      </c>
      <c r="B94" s="80" t="s">
        <v>713</v>
      </c>
      <c r="C94" s="81" t="s">
        <v>959</v>
      </c>
      <c r="D94" s="81"/>
      <c r="E94" s="82">
        <v>5.3793103448276014</v>
      </c>
      <c r="F94" s="82">
        <v>9</v>
      </c>
      <c r="G94" s="82">
        <v>0</v>
      </c>
      <c r="H94" s="82">
        <v>5.5</v>
      </c>
      <c r="I94" s="82">
        <f t="shared" si="45"/>
        <v>19.879310344827601</v>
      </c>
      <c r="J94" s="81">
        <v>3</v>
      </c>
      <c r="K94" s="81">
        <v>0</v>
      </c>
      <c r="L94" s="81">
        <v>0</v>
      </c>
      <c r="M94" s="81">
        <v>0</v>
      </c>
      <c r="N94" s="82">
        <f t="shared" si="46"/>
        <v>3</v>
      </c>
      <c r="O94" s="82">
        <f t="shared" si="66"/>
        <v>8.3793103448276014</v>
      </c>
      <c r="P94" s="82">
        <f t="shared" si="66"/>
        <v>9</v>
      </c>
      <c r="Q94" s="82">
        <f t="shared" si="66"/>
        <v>0</v>
      </c>
      <c r="R94" s="82">
        <f t="shared" si="66"/>
        <v>5.5</v>
      </c>
      <c r="S94" s="93">
        <f t="shared" si="47"/>
        <v>22.879310344827601</v>
      </c>
      <c r="T94" s="81">
        <v>2</v>
      </c>
      <c r="U94" s="81">
        <v>3</v>
      </c>
      <c r="V94" s="81">
        <v>0</v>
      </c>
      <c r="W94" s="81">
        <v>6</v>
      </c>
      <c r="X94" s="93">
        <f t="shared" si="48"/>
        <v>11</v>
      </c>
      <c r="Y94" s="81">
        <v>2</v>
      </c>
      <c r="Z94" s="81">
        <v>3</v>
      </c>
      <c r="AA94" s="81">
        <v>0</v>
      </c>
      <c r="AB94" s="81">
        <v>6</v>
      </c>
      <c r="AC94" s="82">
        <f t="shared" si="49"/>
        <v>11</v>
      </c>
      <c r="AD94" s="82">
        <f>(Y94*7050+Z94*6485+AA94*5800+AB94*4900)*12</f>
        <v>755460</v>
      </c>
      <c r="AE94" s="82">
        <f t="shared" si="50"/>
        <v>47520</v>
      </c>
      <c r="AF94" s="82">
        <f t="shared" si="51"/>
        <v>66000</v>
      </c>
      <c r="AG94" s="82">
        <f t="shared" si="52"/>
        <v>26400</v>
      </c>
      <c r="AH94" s="82">
        <f t="shared" si="59"/>
        <v>103400</v>
      </c>
      <c r="AI94" s="82">
        <f t="shared" si="53"/>
        <v>8800</v>
      </c>
      <c r="AJ94" s="82">
        <f t="shared" si="60"/>
        <v>0</v>
      </c>
      <c r="AK94" s="82">
        <f t="shared" si="61"/>
        <v>10560</v>
      </c>
      <c r="AL94" s="82">
        <f t="shared" si="54"/>
        <v>333889.12</v>
      </c>
      <c r="AM94" s="82">
        <f t="shared" si="55"/>
        <v>1352029</v>
      </c>
      <c r="AN94" s="119">
        <v>35062.5</v>
      </c>
      <c r="AO94" s="119">
        <f t="shared" si="67"/>
        <v>1387091.5</v>
      </c>
    </row>
    <row r="95" spans="1:41" s="85" customFormat="1" ht="18" customHeight="1">
      <c r="A95" s="164"/>
      <c r="B95" s="164" t="s">
        <v>714</v>
      </c>
      <c r="C95" s="164"/>
      <c r="D95" s="84">
        <f>SUM(D91:D94)</f>
        <v>4</v>
      </c>
      <c r="E95" s="84">
        <f>SUM(E91:E94)</f>
        <v>22.268199233716494</v>
      </c>
      <c r="F95" s="84">
        <f>SUM(F91:F94)</f>
        <v>16</v>
      </c>
      <c r="G95" s="84">
        <f>SUM(G91:G94)</f>
        <v>64.025000000000006</v>
      </c>
      <c r="H95" s="84">
        <f>SUM(H91:H94)</f>
        <v>13.5</v>
      </c>
      <c r="I95" s="84">
        <f t="shared" ref="I95:AO95" si="68">SUM(I91:I94)</f>
        <v>115.79319923371649</v>
      </c>
      <c r="J95" s="84">
        <f t="shared" si="68"/>
        <v>12</v>
      </c>
      <c r="K95" s="84">
        <f t="shared" si="68"/>
        <v>1</v>
      </c>
      <c r="L95" s="84">
        <f t="shared" si="68"/>
        <v>6</v>
      </c>
      <c r="M95" s="84">
        <f t="shared" si="68"/>
        <v>0</v>
      </c>
      <c r="N95" s="84">
        <f t="shared" si="68"/>
        <v>19</v>
      </c>
      <c r="O95" s="84">
        <f t="shared" si="68"/>
        <v>34.268199233716494</v>
      </c>
      <c r="P95" s="84">
        <f t="shared" si="68"/>
        <v>17</v>
      </c>
      <c r="Q95" s="84">
        <f t="shared" si="68"/>
        <v>70.025000000000006</v>
      </c>
      <c r="R95" s="84">
        <f t="shared" si="68"/>
        <v>13.5</v>
      </c>
      <c r="S95" s="84">
        <f t="shared" si="68"/>
        <v>134.79319923371651</v>
      </c>
      <c r="T95" s="84">
        <f t="shared" si="68"/>
        <v>20</v>
      </c>
      <c r="U95" s="84">
        <f t="shared" si="68"/>
        <v>10</v>
      </c>
      <c r="V95" s="84">
        <f t="shared" si="68"/>
        <v>65</v>
      </c>
      <c r="W95" s="84">
        <f t="shared" si="68"/>
        <v>12</v>
      </c>
      <c r="X95" s="84">
        <f t="shared" si="68"/>
        <v>107</v>
      </c>
      <c r="Y95" s="84">
        <f t="shared" si="68"/>
        <v>20</v>
      </c>
      <c r="Z95" s="84">
        <f t="shared" si="68"/>
        <v>10</v>
      </c>
      <c r="AA95" s="84">
        <f t="shared" si="68"/>
        <v>65</v>
      </c>
      <c r="AB95" s="84">
        <f t="shared" si="68"/>
        <v>12</v>
      </c>
      <c r="AC95" s="84">
        <f t="shared" si="68"/>
        <v>107</v>
      </c>
      <c r="AD95" s="84">
        <f t="shared" si="68"/>
        <v>7699800</v>
      </c>
      <c r="AE95" s="84">
        <f t="shared" si="68"/>
        <v>462240</v>
      </c>
      <c r="AF95" s="84">
        <f t="shared" si="68"/>
        <v>642000</v>
      </c>
      <c r="AG95" s="84">
        <f t="shared" si="68"/>
        <v>256800</v>
      </c>
      <c r="AH95" s="84">
        <f t="shared" si="68"/>
        <v>1005800</v>
      </c>
      <c r="AI95" s="84">
        <f t="shared" si="68"/>
        <v>85600</v>
      </c>
      <c r="AJ95" s="84">
        <f t="shared" si="68"/>
        <v>40000</v>
      </c>
      <c r="AK95" s="84">
        <f t="shared" si="68"/>
        <v>102720</v>
      </c>
      <c r="AL95" s="84">
        <f t="shared" si="68"/>
        <v>3247830.5400000005</v>
      </c>
      <c r="AM95" s="84">
        <f t="shared" si="68"/>
        <v>13542790</v>
      </c>
      <c r="AN95" s="84">
        <f t="shared" si="68"/>
        <v>35062.5</v>
      </c>
      <c r="AO95" s="84">
        <f t="shared" si="68"/>
        <v>13577852.5</v>
      </c>
    </row>
    <row r="96" spans="1:41" ht="18" customHeight="1">
      <c r="A96" s="79" t="s">
        <v>2</v>
      </c>
      <c r="B96" s="87" t="s">
        <v>715</v>
      </c>
      <c r="C96" s="80" t="s">
        <v>649</v>
      </c>
      <c r="D96" s="81">
        <v>2</v>
      </c>
      <c r="E96" s="86">
        <v>0</v>
      </c>
      <c r="F96" s="86">
        <v>3</v>
      </c>
      <c r="G96" s="86">
        <v>27.074999999999999</v>
      </c>
      <c r="H96" s="86">
        <v>3</v>
      </c>
      <c r="I96" s="82">
        <f t="shared" si="45"/>
        <v>33.075000000000003</v>
      </c>
      <c r="J96" s="81">
        <v>2</v>
      </c>
      <c r="K96" s="81">
        <v>0</v>
      </c>
      <c r="L96" s="81">
        <v>0</v>
      </c>
      <c r="M96" s="81">
        <v>0</v>
      </c>
      <c r="N96" s="82">
        <f t="shared" si="46"/>
        <v>2</v>
      </c>
      <c r="O96" s="82">
        <f>E96+J96</f>
        <v>2</v>
      </c>
      <c r="P96" s="82">
        <f t="shared" ref="P96:R99" si="69">F96+K96</f>
        <v>3</v>
      </c>
      <c r="Q96" s="82">
        <f t="shared" si="69"/>
        <v>27.074999999999999</v>
      </c>
      <c r="R96" s="82">
        <f t="shared" si="69"/>
        <v>3</v>
      </c>
      <c r="S96" s="93">
        <f t="shared" si="47"/>
        <v>35.075000000000003</v>
      </c>
      <c r="T96" s="81">
        <v>0</v>
      </c>
      <c r="U96" s="81">
        <v>2</v>
      </c>
      <c r="V96" s="81">
        <v>27</v>
      </c>
      <c r="W96" s="81">
        <v>3</v>
      </c>
      <c r="X96" s="93">
        <f t="shared" si="48"/>
        <v>32</v>
      </c>
      <c r="Y96" s="81">
        <v>0</v>
      </c>
      <c r="Z96" s="81">
        <v>2</v>
      </c>
      <c r="AA96" s="81">
        <v>27</v>
      </c>
      <c r="AB96" s="81">
        <v>3</v>
      </c>
      <c r="AC96" s="82">
        <f t="shared" si="49"/>
        <v>32</v>
      </c>
      <c r="AD96" s="82">
        <f>(Y96*7050+Z96*6485+AA96*5800+AB96*4900)*12</f>
        <v>2211240</v>
      </c>
      <c r="AE96" s="82">
        <f t="shared" si="50"/>
        <v>138240</v>
      </c>
      <c r="AF96" s="82">
        <f t="shared" si="51"/>
        <v>192000</v>
      </c>
      <c r="AG96" s="82">
        <f t="shared" si="52"/>
        <v>76800</v>
      </c>
      <c r="AH96" s="82">
        <f t="shared" si="59"/>
        <v>300800</v>
      </c>
      <c r="AI96" s="82">
        <f t="shared" si="53"/>
        <v>25600</v>
      </c>
      <c r="AJ96" s="82">
        <f t="shared" si="60"/>
        <v>20000</v>
      </c>
      <c r="AK96" s="82">
        <f t="shared" si="61"/>
        <v>30720</v>
      </c>
      <c r="AL96" s="82">
        <f t="shared" si="54"/>
        <v>971313.81</v>
      </c>
      <c r="AM96" s="82">
        <f t="shared" si="55"/>
        <v>3966714</v>
      </c>
      <c r="AN96" s="119"/>
      <c r="AO96" s="121">
        <f>AM96+AN96</f>
        <v>3966714</v>
      </c>
    </row>
    <row r="97" spans="1:41" ht="18" customHeight="1">
      <c r="A97" s="79" t="s">
        <v>2</v>
      </c>
      <c r="B97" s="87" t="s">
        <v>716</v>
      </c>
      <c r="C97" s="80" t="s">
        <v>649</v>
      </c>
      <c r="D97" s="81">
        <v>3</v>
      </c>
      <c r="E97" s="86">
        <v>0</v>
      </c>
      <c r="F97" s="86">
        <v>2</v>
      </c>
      <c r="G97" s="86">
        <v>30.1</v>
      </c>
      <c r="H97" s="86">
        <v>4</v>
      </c>
      <c r="I97" s="82">
        <f t="shared" si="45"/>
        <v>36.1</v>
      </c>
      <c r="J97" s="81">
        <v>0</v>
      </c>
      <c r="K97" s="81">
        <v>0</v>
      </c>
      <c r="L97" s="81">
        <v>1</v>
      </c>
      <c r="M97" s="81">
        <v>0</v>
      </c>
      <c r="N97" s="82">
        <f t="shared" si="46"/>
        <v>1</v>
      </c>
      <c r="O97" s="82">
        <f>E97+J97</f>
        <v>0</v>
      </c>
      <c r="P97" s="82">
        <f t="shared" si="69"/>
        <v>2</v>
      </c>
      <c r="Q97" s="82">
        <f t="shared" si="69"/>
        <v>31.1</v>
      </c>
      <c r="R97" s="82">
        <f t="shared" si="69"/>
        <v>4</v>
      </c>
      <c r="S97" s="93">
        <f t="shared" si="47"/>
        <v>37.1</v>
      </c>
      <c r="T97" s="81">
        <v>0</v>
      </c>
      <c r="U97" s="81">
        <v>1</v>
      </c>
      <c r="V97" s="81">
        <v>31</v>
      </c>
      <c r="W97" s="81">
        <v>3</v>
      </c>
      <c r="X97" s="93">
        <f t="shared" si="48"/>
        <v>35</v>
      </c>
      <c r="Y97" s="82">
        <v>0</v>
      </c>
      <c r="Z97" s="82">
        <v>1</v>
      </c>
      <c r="AA97" s="82">
        <v>31</v>
      </c>
      <c r="AB97" s="82">
        <v>3</v>
      </c>
      <c r="AC97" s="82">
        <f t="shared" si="49"/>
        <v>35</v>
      </c>
      <c r="AD97" s="82">
        <f>(Y97*7050+Z97*6485+AA97*5800+AB97*4900)*12</f>
        <v>2411820</v>
      </c>
      <c r="AE97" s="82">
        <f t="shared" si="50"/>
        <v>151200</v>
      </c>
      <c r="AF97" s="82">
        <f t="shared" si="51"/>
        <v>210000</v>
      </c>
      <c r="AG97" s="82">
        <f t="shared" si="52"/>
        <v>84000</v>
      </c>
      <c r="AH97" s="82">
        <f t="shared" si="59"/>
        <v>329000</v>
      </c>
      <c r="AI97" s="82">
        <f t="shared" si="53"/>
        <v>28000</v>
      </c>
      <c r="AJ97" s="82">
        <f t="shared" si="60"/>
        <v>30000</v>
      </c>
      <c r="AK97" s="82">
        <f t="shared" si="61"/>
        <v>33600</v>
      </c>
      <c r="AL97" s="82">
        <f t="shared" si="54"/>
        <v>1062374.48</v>
      </c>
      <c r="AM97" s="82">
        <f t="shared" si="55"/>
        <v>4339994</v>
      </c>
      <c r="AN97" s="119"/>
      <c r="AO97" s="121">
        <f t="shared" ref="AO97:AO99" si="70">AM97+AN97</f>
        <v>4339994</v>
      </c>
    </row>
    <row r="98" spans="1:41" s="83" customFormat="1" ht="18" customHeight="1">
      <c r="A98" s="79" t="s">
        <v>2</v>
      </c>
      <c r="B98" s="80" t="s">
        <v>717</v>
      </c>
      <c r="C98" s="80" t="s">
        <v>972</v>
      </c>
      <c r="D98" s="81"/>
      <c r="E98" s="86">
        <v>10</v>
      </c>
      <c r="F98" s="86">
        <v>10</v>
      </c>
      <c r="G98" s="86">
        <v>0</v>
      </c>
      <c r="H98" s="86">
        <v>9</v>
      </c>
      <c r="I98" s="82">
        <f t="shared" si="45"/>
        <v>29</v>
      </c>
      <c r="J98" s="81">
        <v>2</v>
      </c>
      <c r="K98" s="81">
        <v>0</v>
      </c>
      <c r="L98" s="81">
        <v>0</v>
      </c>
      <c r="M98" s="81">
        <v>0</v>
      </c>
      <c r="N98" s="82">
        <f t="shared" si="46"/>
        <v>2</v>
      </c>
      <c r="O98" s="82">
        <f>E98+J98</f>
        <v>12</v>
      </c>
      <c r="P98" s="82">
        <f t="shared" si="69"/>
        <v>10</v>
      </c>
      <c r="Q98" s="82">
        <f t="shared" si="69"/>
        <v>0</v>
      </c>
      <c r="R98" s="82">
        <f t="shared" si="69"/>
        <v>9</v>
      </c>
      <c r="S98" s="93">
        <f t="shared" si="47"/>
        <v>31</v>
      </c>
      <c r="T98" s="81">
        <v>1</v>
      </c>
      <c r="U98" s="81">
        <v>6</v>
      </c>
      <c r="V98" s="81">
        <v>0</v>
      </c>
      <c r="W98" s="81">
        <v>0</v>
      </c>
      <c r="X98" s="93">
        <f t="shared" si="48"/>
        <v>7</v>
      </c>
      <c r="Y98" s="81">
        <v>1</v>
      </c>
      <c r="Z98" s="81">
        <v>6</v>
      </c>
      <c r="AA98" s="81">
        <v>0</v>
      </c>
      <c r="AB98" s="81">
        <v>0</v>
      </c>
      <c r="AC98" s="82">
        <f t="shared" si="49"/>
        <v>7</v>
      </c>
      <c r="AD98" s="82">
        <f>(Y98*9230+Z98*7215+AA98*5800+AB98*5100)*12</f>
        <v>630240</v>
      </c>
      <c r="AE98" s="82">
        <f t="shared" si="50"/>
        <v>30240</v>
      </c>
      <c r="AF98" s="82">
        <f t="shared" si="51"/>
        <v>42000</v>
      </c>
      <c r="AG98" s="82">
        <f t="shared" si="52"/>
        <v>16800</v>
      </c>
      <c r="AH98" s="82">
        <f>Y98*15400+(Z98+AA98+AB98)*9400</f>
        <v>71800</v>
      </c>
      <c r="AI98" s="82">
        <f t="shared" si="53"/>
        <v>5600</v>
      </c>
      <c r="AJ98" s="82">
        <f t="shared" si="60"/>
        <v>0</v>
      </c>
      <c r="AK98" s="82">
        <f t="shared" si="61"/>
        <v>6720</v>
      </c>
      <c r="AL98" s="82">
        <f t="shared" si="54"/>
        <v>212474.9</v>
      </c>
      <c r="AM98" s="82">
        <f t="shared" si="55"/>
        <v>1015875</v>
      </c>
      <c r="AN98" s="82"/>
      <c r="AO98" s="119">
        <f t="shared" si="70"/>
        <v>1015875</v>
      </c>
    </row>
    <row r="99" spans="1:41" s="88" customFormat="1" ht="18" customHeight="1">
      <c r="A99" s="82" t="s">
        <v>2</v>
      </c>
      <c r="B99" s="81" t="s">
        <v>264</v>
      </c>
      <c r="C99" s="81" t="s">
        <v>649</v>
      </c>
      <c r="D99" s="81">
        <v>1</v>
      </c>
      <c r="E99" s="86">
        <v>0</v>
      </c>
      <c r="F99" s="86">
        <v>0</v>
      </c>
      <c r="G99" s="86">
        <v>14.074999999999999</v>
      </c>
      <c r="H99" s="86">
        <v>2</v>
      </c>
      <c r="I99" s="82">
        <f t="shared" si="45"/>
        <v>16.074999999999999</v>
      </c>
      <c r="J99" s="81">
        <v>0</v>
      </c>
      <c r="K99" s="81">
        <v>0</v>
      </c>
      <c r="L99" s="81">
        <v>4</v>
      </c>
      <c r="M99" s="81">
        <v>0</v>
      </c>
      <c r="N99" s="82">
        <f t="shared" si="46"/>
        <v>4</v>
      </c>
      <c r="O99" s="82">
        <f>E99+J99</f>
        <v>0</v>
      </c>
      <c r="P99" s="82">
        <f t="shared" si="69"/>
        <v>0</v>
      </c>
      <c r="Q99" s="82">
        <f t="shared" si="69"/>
        <v>18.074999999999999</v>
      </c>
      <c r="R99" s="82">
        <f t="shared" si="69"/>
        <v>2</v>
      </c>
      <c r="S99" s="93">
        <f t="shared" si="47"/>
        <v>20.074999999999999</v>
      </c>
      <c r="T99" s="81">
        <v>0</v>
      </c>
      <c r="U99" s="81">
        <v>0</v>
      </c>
      <c r="V99" s="81">
        <v>12</v>
      </c>
      <c r="W99" s="81">
        <v>4</v>
      </c>
      <c r="X99" s="93">
        <f t="shared" si="48"/>
        <v>16</v>
      </c>
      <c r="Y99" s="81">
        <v>0</v>
      </c>
      <c r="Z99" s="81">
        <v>0</v>
      </c>
      <c r="AA99" s="81">
        <v>12</v>
      </c>
      <c r="AB99" s="81">
        <v>4</v>
      </c>
      <c r="AC99" s="82">
        <f t="shared" si="49"/>
        <v>16</v>
      </c>
      <c r="AD99" s="82">
        <f>(Y99*7050+Z99*6485+AA99*5800+AB99*4900)*12</f>
        <v>1070400</v>
      </c>
      <c r="AE99" s="82">
        <f t="shared" si="50"/>
        <v>69120</v>
      </c>
      <c r="AF99" s="82">
        <f t="shared" si="51"/>
        <v>96000</v>
      </c>
      <c r="AG99" s="82">
        <f t="shared" si="52"/>
        <v>38400</v>
      </c>
      <c r="AH99" s="82">
        <f t="shared" si="59"/>
        <v>150400</v>
      </c>
      <c r="AI99" s="82">
        <f t="shared" si="53"/>
        <v>12800</v>
      </c>
      <c r="AJ99" s="82">
        <f t="shared" si="60"/>
        <v>10000</v>
      </c>
      <c r="AK99" s="82">
        <f t="shared" si="61"/>
        <v>15360</v>
      </c>
      <c r="AL99" s="82">
        <f t="shared" si="54"/>
        <v>485656.9</v>
      </c>
      <c r="AM99" s="82">
        <f t="shared" si="55"/>
        <v>1948137</v>
      </c>
      <c r="AN99" s="121"/>
      <c r="AO99" s="121">
        <f t="shared" si="70"/>
        <v>1948137</v>
      </c>
    </row>
    <row r="100" spans="1:41" s="85" customFormat="1" ht="18" customHeight="1">
      <c r="A100" s="164"/>
      <c r="B100" s="164" t="s">
        <v>718</v>
      </c>
      <c r="C100" s="164"/>
      <c r="D100" s="84">
        <f>SUM(D96:D99)</f>
        <v>6</v>
      </c>
      <c r="E100" s="84">
        <f t="shared" ref="E100:AO100" si="71">SUM(E96:E99)</f>
        <v>10</v>
      </c>
      <c r="F100" s="84">
        <f t="shared" si="71"/>
        <v>15</v>
      </c>
      <c r="G100" s="84">
        <f t="shared" si="71"/>
        <v>71.25</v>
      </c>
      <c r="H100" s="84">
        <f t="shared" si="71"/>
        <v>18</v>
      </c>
      <c r="I100" s="84">
        <f t="shared" si="71"/>
        <v>114.25000000000001</v>
      </c>
      <c r="J100" s="84">
        <f t="shared" si="71"/>
        <v>4</v>
      </c>
      <c r="K100" s="84">
        <f t="shared" si="71"/>
        <v>0</v>
      </c>
      <c r="L100" s="84">
        <f t="shared" si="71"/>
        <v>5</v>
      </c>
      <c r="M100" s="84">
        <f t="shared" si="71"/>
        <v>0</v>
      </c>
      <c r="N100" s="84">
        <f t="shared" si="71"/>
        <v>9</v>
      </c>
      <c r="O100" s="84">
        <f t="shared" si="71"/>
        <v>14</v>
      </c>
      <c r="P100" s="84">
        <f t="shared" si="71"/>
        <v>15</v>
      </c>
      <c r="Q100" s="84">
        <f t="shared" si="71"/>
        <v>76.25</v>
      </c>
      <c r="R100" s="84">
        <f t="shared" si="71"/>
        <v>18</v>
      </c>
      <c r="S100" s="84">
        <f t="shared" si="71"/>
        <v>123.25000000000001</v>
      </c>
      <c r="T100" s="84">
        <f t="shared" si="71"/>
        <v>1</v>
      </c>
      <c r="U100" s="84">
        <f t="shared" si="71"/>
        <v>9</v>
      </c>
      <c r="V100" s="84">
        <f t="shared" si="71"/>
        <v>70</v>
      </c>
      <c r="W100" s="84">
        <f t="shared" si="71"/>
        <v>10</v>
      </c>
      <c r="X100" s="84">
        <f t="shared" si="71"/>
        <v>90</v>
      </c>
      <c r="Y100" s="84">
        <f t="shared" si="71"/>
        <v>1</v>
      </c>
      <c r="Z100" s="84">
        <f t="shared" si="71"/>
        <v>9</v>
      </c>
      <c r="AA100" s="84">
        <f t="shared" si="71"/>
        <v>70</v>
      </c>
      <c r="AB100" s="84">
        <f t="shared" si="71"/>
        <v>10</v>
      </c>
      <c r="AC100" s="84">
        <f t="shared" si="71"/>
        <v>90</v>
      </c>
      <c r="AD100" s="84">
        <f t="shared" si="71"/>
        <v>6323700</v>
      </c>
      <c r="AE100" s="84">
        <f t="shared" si="71"/>
        <v>388800</v>
      </c>
      <c r="AF100" s="84">
        <f t="shared" si="71"/>
        <v>540000</v>
      </c>
      <c r="AG100" s="84">
        <f t="shared" si="71"/>
        <v>216000</v>
      </c>
      <c r="AH100" s="84">
        <f t="shared" si="71"/>
        <v>852000</v>
      </c>
      <c r="AI100" s="84">
        <f t="shared" si="71"/>
        <v>72000</v>
      </c>
      <c r="AJ100" s="84">
        <f t="shared" si="71"/>
        <v>60000</v>
      </c>
      <c r="AK100" s="84">
        <f t="shared" si="71"/>
        <v>86400</v>
      </c>
      <c r="AL100" s="84">
        <f t="shared" si="71"/>
        <v>2731820.09</v>
      </c>
      <c r="AM100" s="84">
        <f t="shared" si="71"/>
        <v>11270720</v>
      </c>
      <c r="AN100" s="84">
        <f t="shared" si="71"/>
        <v>0</v>
      </c>
      <c r="AO100" s="84">
        <f t="shared" si="71"/>
        <v>11270720</v>
      </c>
    </row>
    <row r="101" spans="1:41" ht="18" customHeight="1">
      <c r="A101" s="79" t="s">
        <v>9</v>
      </c>
      <c r="B101" s="80" t="s">
        <v>719</v>
      </c>
      <c r="C101" s="80" t="s">
        <v>649</v>
      </c>
      <c r="D101" s="81">
        <v>2</v>
      </c>
      <c r="E101" s="90">
        <v>3.8376068376067991</v>
      </c>
      <c r="F101" s="91">
        <v>3</v>
      </c>
      <c r="G101" s="90">
        <v>26.85</v>
      </c>
      <c r="H101" s="91">
        <v>2</v>
      </c>
      <c r="I101" s="82">
        <f t="shared" si="45"/>
        <v>35.687606837606801</v>
      </c>
      <c r="J101" s="81">
        <v>4</v>
      </c>
      <c r="K101" s="81">
        <v>0</v>
      </c>
      <c r="L101" s="81">
        <v>3</v>
      </c>
      <c r="M101" s="81">
        <v>1</v>
      </c>
      <c r="N101" s="82">
        <f t="shared" si="46"/>
        <v>8</v>
      </c>
      <c r="O101" s="82">
        <f>E101+J101</f>
        <v>7.8376068376067991</v>
      </c>
      <c r="P101" s="82">
        <f t="shared" ref="P101:R114" si="72">F101+K101</f>
        <v>3</v>
      </c>
      <c r="Q101" s="82">
        <f t="shared" si="72"/>
        <v>29.85</v>
      </c>
      <c r="R101" s="82">
        <f t="shared" si="72"/>
        <v>3</v>
      </c>
      <c r="S101" s="93">
        <f t="shared" si="47"/>
        <v>43.687606837606801</v>
      </c>
      <c r="T101" s="82">
        <v>10</v>
      </c>
      <c r="U101" s="82">
        <v>3</v>
      </c>
      <c r="V101" s="82">
        <v>27</v>
      </c>
      <c r="W101" s="82">
        <v>2</v>
      </c>
      <c r="X101" s="93">
        <f t="shared" si="48"/>
        <v>42</v>
      </c>
      <c r="Y101" s="81">
        <v>10</v>
      </c>
      <c r="Z101" s="81">
        <v>3</v>
      </c>
      <c r="AA101" s="81">
        <v>27</v>
      </c>
      <c r="AB101" s="81">
        <v>2</v>
      </c>
      <c r="AC101" s="82">
        <f t="shared" si="49"/>
        <v>42</v>
      </c>
      <c r="AD101" s="82">
        <f t="shared" ref="AD101:AD108" si="73">(Y101*7050+Z101*6485+AA101*5800+AB101*4900)*12</f>
        <v>3076260</v>
      </c>
      <c r="AE101" s="82">
        <f t="shared" si="50"/>
        <v>181440</v>
      </c>
      <c r="AF101" s="82">
        <f t="shared" si="51"/>
        <v>252000</v>
      </c>
      <c r="AG101" s="82">
        <f t="shared" si="52"/>
        <v>100800</v>
      </c>
      <c r="AH101" s="82">
        <f t="shared" si="59"/>
        <v>394800</v>
      </c>
      <c r="AI101" s="82">
        <f t="shared" si="53"/>
        <v>33600</v>
      </c>
      <c r="AJ101" s="82">
        <f t="shared" si="60"/>
        <v>20000</v>
      </c>
      <c r="AK101" s="82">
        <f t="shared" si="61"/>
        <v>40320</v>
      </c>
      <c r="AL101" s="82">
        <f t="shared" si="54"/>
        <v>1274849.3700000001</v>
      </c>
      <c r="AM101" s="82">
        <f t="shared" si="55"/>
        <v>5374069</v>
      </c>
      <c r="AN101" s="119"/>
      <c r="AO101" s="121">
        <f>AM101+AN101</f>
        <v>5374069</v>
      </c>
    </row>
    <row r="102" spans="1:41" ht="18" customHeight="1">
      <c r="A102" s="79" t="s">
        <v>9</v>
      </c>
      <c r="B102" s="80" t="s">
        <v>720</v>
      </c>
      <c r="C102" s="80" t="s">
        <v>649</v>
      </c>
      <c r="D102" s="81">
        <v>2</v>
      </c>
      <c r="E102" s="90">
        <v>3.846153846153797</v>
      </c>
      <c r="F102" s="91">
        <v>2</v>
      </c>
      <c r="G102" s="90">
        <v>25.412500000000001</v>
      </c>
      <c r="H102" s="91">
        <v>2</v>
      </c>
      <c r="I102" s="82">
        <f t="shared" si="45"/>
        <v>33.258653846153798</v>
      </c>
      <c r="J102" s="81">
        <v>7</v>
      </c>
      <c r="K102" s="81">
        <v>0</v>
      </c>
      <c r="L102" s="81">
        <v>0</v>
      </c>
      <c r="M102" s="81">
        <v>0</v>
      </c>
      <c r="N102" s="82">
        <f t="shared" si="46"/>
        <v>7</v>
      </c>
      <c r="O102" s="82">
        <f t="shared" ref="O102:O114" si="74">E102+J102</f>
        <v>10.846153846153797</v>
      </c>
      <c r="P102" s="82">
        <f t="shared" si="72"/>
        <v>2</v>
      </c>
      <c r="Q102" s="82">
        <f t="shared" si="72"/>
        <v>25.412500000000001</v>
      </c>
      <c r="R102" s="82">
        <f t="shared" si="72"/>
        <v>2</v>
      </c>
      <c r="S102" s="93">
        <f t="shared" si="47"/>
        <v>40.258653846153798</v>
      </c>
      <c r="T102" s="81">
        <v>7</v>
      </c>
      <c r="U102" s="81">
        <v>2</v>
      </c>
      <c r="V102" s="81">
        <v>25</v>
      </c>
      <c r="W102" s="81">
        <v>2</v>
      </c>
      <c r="X102" s="93">
        <f t="shared" si="48"/>
        <v>36</v>
      </c>
      <c r="Y102" s="82">
        <v>7</v>
      </c>
      <c r="Z102" s="82">
        <v>2</v>
      </c>
      <c r="AA102" s="82">
        <v>25</v>
      </c>
      <c r="AB102" s="82">
        <v>2</v>
      </c>
      <c r="AC102" s="82">
        <f t="shared" si="49"/>
        <v>36</v>
      </c>
      <c r="AD102" s="82">
        <f t="shared" si="73"/>
        <v>2605440</v>
      </c>
      <c r="AE102" s="82">
        <f t="shared" si="50"/>
        <v>155520</v>
      </c>
      <c r="AF102" s="82">
        <f t="shared" si="51"/>
        <v>216000</v>
      </c>
      <c r="AG102" s="82">
        <f t="shared" si="52"/>
        <v>86400</v>
      </c>
      <c r="AH102" s="82">
        <f t="shared" si="59"/>
        <v>338400</v>
      </c>
      <c r="AI102" s="82">
        <f t="shared" si="53"/>
        <v>28800</v>
      </c>
      <c r="AJ102" s="82">
        <f t="shared" si="60"/>
        <v>20000</v>
      </c>
      <c r="AK102" s="82">
        <f t="shared" si="61"/>
        <v>34560</v>
      </c>
      <c r="AL102" s="82">
        <f t="shared" si="54"/>
        <v>1092728.03</v>
      </c>
      <c r="AM102" s="82">
        <f t="shared" si="55"/>
        <v>4577848</v>
      </c>
      <c r="AN102" s="119"/>
      <c r="AO102" s="121">
        <f t="shared" ref="AO102:AO114" si="75">AM102+AN102</f>
        <v>4577848</v>
      </c>
    </row>
    <row r="103" spans="1:41" ht="18" customHeight="1">
      <c r="A103" s="79" t="s">
        <v>9</v>
      </c>
      <c r="B103" s="80" t="s">
        <v>721</v>
      </c>
      <c r="C103" s="80" t="s">
        <v>649</v>
      </c>
      <c r="D103" s="81">
        <v>2</v>
      </c>
      <c r="E103" s="90">
        <v>3.1196581196580979</v>
      </c>
      <c r="F103" s="91">
        <v>3</v>
      </c>
      <c r="G103" s="90">
        <v>32.5</v>
      </c>
      <c r="H103" s="91">
        <v>5</v>
      </c>
      <c r="I103" s="82">
        <f t="shared" si="45"/>
        <v>43.619658119658098</v>
      </c>
      <c r="J103" s="81">
        <v>1</v>
      </c>
      <c r="K103" s="81">
        <v>0</v>
      </c>
      <c r="L103" s="81">
        <v>4</v>
      </c>
      <c r="M103" s="81">
        <v>0</v>
      </c>
      <c r="N103" s="82">
        <f t="shared" si="46"/>
        <v>5</v>
      </c>
      <c r="O103" s="82">
        <f t="shared" si="74"/>
        <v>4.1196581196580979</v>
      </c>
      <c r="P103" s="82">
        <f t="shared" si="72"/>
        <v>3</v>
      </c>
      <c r="Q103" s="82">
        <f t="shared" si="72"/>
        <v>36.5</v>
      </c>
      <c r="R103" s="82">
        <f t="shared" si="72"/>
        <v>5</v>
      </c>
      <c r="S103" s="93">
        <f t="shared" si="47"/>
        <v>48.619658119658098</v>
      </c>
      <c r="T103" s="81">
        <v>3</v>
      </c>
      <c r="U103" s="81">
        <v>4</v>
      </c>
      <c r="V103" s="81">
        <v>33</v>
      </c>
      <c r="W103" s="81">
        <v>5</v>
      </c>
      <c r="X103" s="93">
        <f t="shared" si="48"/>
        <v>45</v>
      </c>
      <c r="Y103" s="82">
        <v>3</v>
      </c>
      <c r="Z103" s="82">
        <v>4</v>
      </c>
      <c r="AA103" s="82">
        <v>33</v>
      </c>
      <c r="AB103" s="82">
        <v>5</v>
      </c>
      <c r="AC103" s="82">
        <f t="shared" si="49"/>
        <v>45</v>
      </c>
      <c r="AD103" s="82">
        <f t="shared" si="73"/>
        <v>3155880</v>
      </c>
      <c r="AE103" s="82">
        <f t="shared" si="50"/>
        <v>194400</v>
      </c>
      <c r="AF103" s="82">
        <f t="shared" si="51"/>
        <v>270000</v>
      </c>
      <c r="AG103" s="82">
        <f t="shared" si="52"/>
        <v>108000</v>
      </c>
      <c r="AH103" s="82">
        <f t="shared" si="59"/>
        <v>423000</v>
      </c>
      <c r="AI103" s="82">
        <f t="shared" si="53"/>
        <v>36000</v>
      </c>
      <c r="AJ103" s="82">
        <f t="shared" si="60"/>
        <v>20000</v>
      </c>
      <c r="AK103" s="82">
        <f t="shared" si="61"/>
        <v>43200</v>
      </c>
      <c r="AL103" s="82">
        <f t="shared" si="54"/>
        <v>1365910.04</v>
      </c>
      <c r="AM103" s="82">
        <f t="shared" si="55"/>
        <v>5616390</v>
      </c>
      <c r="AN103" s="119"/>
      <c r="AO103" s="121">
        <f t="shared" si="75"/>
        <v>5616390</v>
      </c>
    </row>
    <row r="104" spans="1:41" ht="18" customHeight="1">
      <c r="A104" s="79" t="s">
        <v>9</v>
      </c>
      <c r="B104" s="80" t="s">
        <v>722</v>
      </c>
      <c r="C104" s="80" t="s">
        <v>649</v>
      </c>
      <c r="D104" s="81">
        <v>4</v>
      </c>
      <c r="E104" s="90">
        <v>1.2478632478633003</v>
      </c>
      <c r="F104" s="91">
        <v>3</v>
      </c>
      <c r="G104" s="90">
        <v>24.324999999999999</v>
      </c>
      <c r="H104" s="91">
        <v>3</v>
      </c>
      <c r="I104" s="82">
        <f t="shared" si="45"/>
        <v>31.5728632478633</v>
      </c>
      <c r="J104" s="81">
        <v>0</v>
      </c>
      <c r="K104" s="81">
        <v>0</v>
      </c>
      <c r="L104" s="81">
        <v>1</v>
      </c>
      <c r="M104" s="81">
        <v>1</v>
      </c>
      <c r="N104" s="82">
        <f t="shared" si="46"/>
        <v>2</v>
      </c>
      <c r="O104" s="82">
        <f t="shared" si="74"/>
        <v>1.2478632478633003</v>
      </c>
      <c r="P104" s="82">
        <f t="shared" si="72"/>
        <v>3</v>
      </c>
      <c r="Q104" s="82">
        <f t="shared" si="72"/>
        <v>25.324999999999999</v>
      </c>
      <c r="R104" s="82">
        <f t="shared" si="72"/>
        <v>4</v>
      </c>
      <c r="S104" s="93">
        <f t="shared" si="47"/>
        <v>33.572863247863296</v>
      </c>
      <c r="T104" s="81">
        <v>4</v>
      </c>
      <c r="U104" s="81">
        <v>4</v>
      </c>
      <c r="V104" s="81">
        <v>25</v>
      </c>
      <c r="W104" s="81">
        <v>5</v>
      </c>
      <c r="X104" s="93">
        <f t="shared" si="48"/>
        <v>38</v>
      </c>
      <c r="Y104" s="82">
        <v>1.2478632478633003</v>
      </c>
      <c r="Z104" s="82">
        <v>3</v>
      </c>
      <c r="AA104" s="82">
        <v>25.324999999999999</v>
      </c>
      <c r="AB104" s="82">
        <v>4</v>
      </c>
      <c r="AC104" s="82">
        <f t="shared" si="49"/>
        <v>33.572863247863296</v>
      </c>
      <c r="AD104" s="82">
        <f t="shared" si="73"/>
        <v>2336849.2307692356</v>
      </c>
      <c r="AE104" s="116">
        <f t="shared" si="50"/>
        <v>145034.76923076945</v>
      </c>
      <c r="AF104" s="116">
        <f t="shared" si="51"/>
        <v>201437.17948717979</v>
      </c>
      <c r="AG104" s="116">
        <f t="shared" si="52"/>
        <v>80574.871794871913</v>
      </c>
      <c r="AH104" s="116">
        <f t="shared" si="59"/>
        <v>315584.91452991497</v>
      </c>
      <c r="AI104" s="116">
        <f t="shared" si="53"/>
        <v>26858.290598290638</v>
      </c>
      <c r="AJ104" s="116">
        <f t="shared" si="60"/>
        <v>40000</v>
      </c>
      <c r="AK104" s="116">
        <f t="shared" si="61"/>
        <v>32229.948717948762</v>
      </c>
      <c r="AL104" s="116">
        <f t="shared" si="54"/>
        <v>1019055.8</v>
      </c>
      <c r="AM104" s="82">
        <f t="shared" si="55"/>
        <v>4197625</v>
      </c>
      <c r="AN104" s="119"/>
      <c r="AO104" s="121">
        <f t="shared" si="75"/>
        <v>4197625</v>
      </c>
    </row>
    <row r="105" spans="1:41" ht="18" customHeight="1">
      <c r="A105" s="79" t="s">
        <v>9</v>
      </c>
      <c r="B105" s="80" t="s">
        <v>250</v>
      </c>
      <c r="C105" s="80" t="s">
        <v>959</v>
      </c>
      <c r="D105" s="81"/>
      <c r="E105" s="90">
        <v>0</v>
      </c>
      <c r="F105" s="91">
        <v>9</v>
      </c>
      <c r="G105" s="90">
        <v>0</v>
      </c>
      <c r="H105" s="91">
        <v>5.5</v>
      </c>
      <c r="I105" s="82">
        <f t="shared" si="45"/>
        <v>14.5</v>
      </c>
      <c r="J105" s="81">
        <v>0</v>
      </c>
      <c r="K105" s="81">
        <v>0</v>
      </c>
      <c r="L105" s="81">
        <v>0</v>
      </c>
      <c r="M105" s="81">
        <v>0</v>
      </c>
      <c r="N105" s="82">
        <f t="shared" si="46"/>
        <v>0</v>
      </c>
      <c r="O105" s="82">
        <f t="shared" si="74"/>
        <v>0</v>
      </c>
      <c r="P105" s="82">
        <f t="shared" si="72"/>
        <v>9</v>
      </c>
      <c r="Q105" s="82">
        <f t="shared" si="72"/>
        <v>0</v>
      </c>
      <c r="R105" s="82">
        <f t="shared" si="72"/>
        <v>5.5</v>
      </c>
      <c r="S105" s="93">
        <f t="shared" si="47"/>
        <v>14.5</v>
      </c>
      <c r="T105" s="81">
        <v>0</v>
      </c>
      <c r="U105" s="81">
        <v>0</v>
      </c>
      <c r="V105" s="81">
        <v>0</v>
      </c>
      <c r="W105" s="81">
        <v>6</v>
      </c>
      <c r="X105" s="93">
        <f t="shared" si="48"/>
        <v>6</v>
      </c>
      <c r="Y105" s="82">
        <v>0</v>
      </c>
      <c r="Z105" s="82">
        <v>0</v>
      </c>
      <c r="AA105" s="82">
        <v>0</v>
      </c>
      <c r="AB105" s="82">
        <v>6</v>
      </c>
      <c r="AC105" s="82">
        <f t="shared" si="49"/>
        <v>6</v>
      </c>
      <c r="AD105" s="82">
        <f t="shared" si="73"/>
        <v>352800</v>
      </c>
      <c r="AE105" s="82">
        <f t="shared" si="50"/>
        <v>25920</v>
      </c>
      <c r="AF105" s="82">
        <f t="shared" si="51"/>
        <v>36000</v>
      </c>
      <c r="AG105" s="82">
        <f t="shared" si="52"/>
        <v>14400</v>
      </c>
      <c r="AH105" s="82">
        <f t="shared" si="59"/>
        <v>56400</v>
      </c>
      <c r="AI105" s="82">
        <f t="shared" si="53"/>
        <v>4800</v>
      </c>
      <c r="AJ105" s="82">
        <f t="shared" si="60"/>
        <v>0</v>
      </c>
      <c r="AK105" s="82">
        <f t="shared" si="61"/>
        <v>5760</v>
      </c>
      <c r="AL105" s="82">
        <f t="shared" si="54"/>
        <v>182121.34</v>
      </c>
      <c r="AM105" s="82">
        <f t="shared" si="55"/>
        <v>678201</v>
      </c>
      <c r="AN105" s="119">
        <v>127.5</v>
      </c>
      <c r="AO105" s="119">
        <f t="shared" si="75"/>
        <v>678328.5</v>
      </c>
    </row>
    <row r="106" spans="1:41" ht="18" customHeight="1">
      <c r="A106" s="79" t="s">
        <v>9</v>
      </c>
      <c r="B106" s="80" t="s">
        <v>723</v>
      </c>
      <c r="C106" s="80" t="s">
        <v>959</v>
      </c>
      <c r="D106" s="81"/>
      <c r="E106" s="90">
        <v>34.103448275862007</v>
      </c>
      <c r="F106" s="91">
        <v>24</v>
      </c>
      <c r="G106" s="90">
        <v>0</v>
      </c>
      <c r="H106" s="91">
        <v>12</v>
      </c>
      <c r="I106" s="82">
        <f t="shared" si="45"/>
        <v>70.103448275862007</v>
      </c>
      <c r="J106" s="81">
        <v>3</v>
      </c>
      <c r="K106" s="81">
        <v>0</v>
      </c>
      <c r="L106" s="81">
        <v>0</v>
      </c>
      <c r="M106" s="81">
        <v>0</v>
      </c>
      <c r="N106" s="82">
        <f t="shared" si="46"/>
        <v>3</v>
      </c>
      <c r="O106" s="82">
        <f t="shared" si="74"/>
        <v>37.103448275862007</v>
      </c>
      <c r="P106" s="82">
        <f t="shared" si="72"/>
        <v>24</v>
      </c>
      <c r="Q106" s="82">
        <f t="shared" si="72"/>
        <v>0</v>
      </c>
      <c r="R106" s="82">
        <f t="shared" si="72"/>
        <v>12</v>
      </c>
      <c r="S106" s="93">
        <f t="shared" si="47"/>
        <v>73.103448275862007</v>
      </c>
      <c r="T106" s="81">
        <v>18</v>
      </c>
      <c r="U106" s="81">
        <v>14</v>
      </c>
      <c r="V106" s="81">
        <v>0</v>
      </c>
      <c r="W106" s="81">
        <v>6</v>
      </c>
      <c r="X106" s="93">
        <f t="shared" si="48"/>
        <v>38</v>
      </c>
      <c r="Y106" s="82">
        <v>18</v>
      </c>
      <c r="Z106" s="82">
        <v>14</v>
      </c>
      <c r="AA106" s="82">
        <v>0</v>
      </c>
      <c r="AB106" s="82">
        <v>6</v>
      </c>
      <c r="AC106" s="82">
        <f t="shared" si="49"/>
        <v>38</v>
      </c>
      <c r="AD106" s="82">
        <f t="shared" si="73"/>
        <v>2965080</v>
      </c>
      <c r="AE106" s="82">
        <f t="shared" si="50"/>
        <v>164160</v>
      </c>
      <c r="AF106" s="82">
        <f t="shared" si="51"/>
        <v>228000</v>
      </c>
      <c r="AG106" s="82">
        <f t="shared" si="52"/>
        <v>91200</v>
      </c>
      <c r="AH106" s="82">
        <f t="shared" si="59"/>
        <v>357200</v>
      </c>
      <c r="AI106" s="82">
        <f t="shared" si="53"/>
        <v>30400</v>
      </c>
      <c r="AJ106" s="82">
        <f t="shared" si="60"/>
        <v>0</v>
      </c>
      <c r="AK106" s="82">
        <f t="shared" si="61"/>
        <v>36480</v>
      </c>
      <c r="AL106" s="82">
        <f t="shared" si="54"/>
        <v>1153435.1499999999</v>
      </c>
      <c r="AM106" s="82">
        <f t="shared" si="55"/>
        <v>5025955</v>
      </c>
      <c r="AN106" s="119">
        <v>253414.25</v>
      </c>
      <c r="AO106" s="119">
        <f t="shared" si="75"/>
        <v>5279369.25</v>
      </c>
    </row>
    <row r="107" spans="1:41" ht="18" customHeight="1">
      <c r="A107" s="79" t="s">
        <v>9</v>
      </c>
      <c r="B107" s="80" t="s">
        <v>724</v>
      </c>
      <c r="C107" s="80" t="s">
        <v>959</v>
      </c>
      <c r="D107" s="81"/>
      <c r="E107" s="90">
        <v>2.517241379310299</v>
      </c>
      <c r="F107" s="91">
        <v>8</v>
      </c>
      <c r="G107" s="90">
        <v>0</v>
      </c>
      <c r="H107" s="91">
        <v>5</v>
      </c>
      <c r="I107" s="82">
        <f t="shared" si="45"/>
        <v>15.517241379310299</v>
      </c>
      <c r="J107" s="81">
        <v>0</v>
      </c>
      <c r="K107" s="81">
        <v>0</v>
      </c>
      <c r="L107" s="81">
        <v>0</v>
      </c>
      <c r="M107" s="81">
        <v>0</v>
      </c>
      <c r="N107" s="82">
        <f t="shared" si="46"/>
        <v>0</v>
      </c>
      <c r="O107" s="82">
        <f t="shared" si="74"/>
        <v>2.517241379310299</v>
      </c>
      <c r="P107" s="82">
        <f t="shared" si="72"/>
        <v>8</v>
      </c>
      <c r="Q107" s="82">
        <f t="shared" si="72"/>
        <v>0</v>
      </c>
      <c r="R107" s="82">
        <f t="shared" si="72"/>
        <v>5</v>
      </c>
      <c r="S107" s="93">
        <f t="shared" si="47"/>
        <v>15.517241379310299</v>
      </c>
      <c r="T107" s="81">
        <v>2</v>
      </c>
      <c r="U107" s="81">
        <v>5</v>
      </c>
      <c r="V107" s="81">
        <v>0</v>
      </c>
      <c r="W107" s="81">
        <v>1</v>
      </c>
      <c r="X107" s="93">
        <f t="shared" si="48"/>
        <v>8</v>
      </c>
      <c r="Y107" s="82">
        <v>2</v>
      </c>
      <c r="Z107" s="82">
        <v>5</v>
      </c>
      <c r="AA107" s="82">
        <v>0</v>
      </c>
      <c r="AB107" s="82">
        <v>1</v>
      </c>
      <c r="AC107" s="82">
        <f t="shared" si="49"/>
        <v>8</v>
      </c>
      <c r="AD107" s="82">
        <f t="shared" si="73"/>
        <v>617100</v>
      </c>
      <c r="AE107" s="82">
        <f t="shared" si="50"/>
        <v>34560</v>
      </c>
      <c r="AF107" s="82">
        <f t="shared" si="51"/>
        <v>48000</v>
      </c>
      <c r="AG107" s="82">
        <f t="shared" si="52"/>
        <v>19200</v>
      </c>
      <c r="AH107" s="82">
        <f t="shared" si="59"/>
        <v>75200</v>
      </c>
      <c r="AI107" s="82">
        <f t="shared" si="53"/>
        <v>6400</v>
      </c>
      <c r="AJ107" s="82">
        <f t="shared" si="60"/>
        <v>0</v>
      </c>
      <c r="AK107" s="82">
        <f t="shared" si="61"/>
        <v>7680</v>
      </c>
      <c r="AL107" s="82">
        <f t="shared" si="54"/>
        <v>242828.45</v>
      </c>
      <c r="AM107" s="82">
        <f t="shared" si="55"/>
        <v>1050968</v>
      </c>
      <c r="AN107" s="119">
        <v>37867.5</v>
      </c>
      <c r="AO107" s="119">
        <f t="shared" si="75"/>
        <v>1088835.5</v>
      </c>
    </row>
    <row r="108" spans="1:41" s="83" customFormat="1" ht="18" customHeight="1">
      <c r="A108" s="79" t="s">
        <v>9</v>
      </c>
      <c r="B108" s="80" t="s">
        <v>725</v>
      </c>
      <c r="C108" s="80" t="s">
        <v>959</v>
      </c>
      <c r="D108" s="81"/>
      <c r="E108" s="90">
        <v>0.2413793103447972</v>
      </c>
      <c r="F108" s="91">
        <v>9</v>
      </c>
      <c r="G108" s="90">
        <v>0</v>
      </c>
      <c r="H108" s="91">
        <v>5.5</v>
      </c>
      <c r="I108" s="82">
        <f t="shared" si="45"/>
        <v>14.741379310344797</v>
      </c>
      <c r="J108" s="81">
        <v>4</v>
      </c>
      <c r="K108" s="81">
        <v>0</v>
      </c>
      <c r="L108" s="81">
        <v>0</v>
      </c>
      <c r="M108" s="81">
        <v>0</v>
      </c>
      <c r="N108" s="82">
        <f t="shared" si="46"/>
        <v>4</v>
      </c>
      <c r="O108" s="82">
        <f t="shared" si="74"/>
        <v>4.2413793103447972</v>
      </c>
      <c r="P108" s="82">
        <f t="shared" si="72"/>
        <v>9</v>
      </c>
      <c r="Q108" s="82">
        <f t="shared" si="72"/>
        <v>0</v>
      </c>
      <c r="R108" s="82">
        <f t="shared" si="72"/>
        <v>5.5</v>
      </c>
      <c r="S108" s="93">
        <f t="shared" si="47"/>
        <v>18.741379310344797</v>
      </c>
      <c r="T108" s="81">
        <v>4</v>
      </c>
      <c r="U108" s="81">
        <v>2</v>
      </c>
      <c r="V108" s="81">
        <v>0</v>
      </c>
      <c r="W108" s="81">
        <v>6</v>
      </c>
      <c r="X108" s="93">
        <f t="shared" si="48"/>
        <v>12</v>
      </c>
      <c r="Y108" s="82">
        <v>4</v>
      </c>
      <c r="Z108" s="82">
        <v>2</v>
      </c>
      <c r="AA108" s="82">
        <v>0</v>
      </c>
      <c r="AB108" s="82">
        <v>6</v>
      </c>
      <c r="AC108" s="82">
        <f t="shared" si="49"/>
        <v>12</v>
      </c>
      <c r="AD108" s="82">
        <f t="shared" si="73"/>
        <v>846840</v>
      </c>
      <c r="AE108" s="82">
        <f t="shared" si="50"/>
        <v>51840</v>
      </c>
      <c r="AF108" s="82">
        <f t="shared" si="51"/>
        <v>72000</v>
      </c>
      <c r="AG108" s="82">
        <f t="shared" si="52"/>
        <v>28800</v>
      </c>
      <c r="AH108" s="82">
        <f t="shared" si="59"/>
        <v>112800</v>
      </c>
      <c r="AI108" s="82">
        <f t="shared" si="53"/>
        <v>9600</v>
      </c>
      <c r="AJ108" s="82">
        <f t="shared" si="60"/>
        <v>0</v>
      </c>
      <c r="AK108" s="82">
        <f t="shared" si="61"/>
        <v>11520</v>
      </c>
      <c r="AL108" s="82">
        <f t="shared" si="54"/>
        <v>364242.68</v>
      </c>
      <c r="AM108" s="82">
        <f t="shared" si="55"/>
        <v>1497643</v>
      </c>
      <c r="AN108" s="120"/>
      <c r="AO108" s="119">
        <f t="shared" si="75"/>
        <v>1497643</v>
      </c>
    </row>
    <row r="109" spans="1:41" ht="18" customHeight="1">
      <c r="A109" s="79" t="s">
        <v>9</v>
      </c>
      <c r="B109" s="80" t="s">
        <v>726</v>
      </c>
      <c r="C109" s="80" t="s">
        <v>464</v>
      </c>
      <c r="D109" s="81"/>
      <c r="E109" s="90">
        <v>10</v>
      </c>
      <c r="F109" s="91">
        <v>10.5</v>
      </c>
      <c r="G109" s="90">
        <v>0</v>
      </c>
      <c r="H109" s="91">
        <v>6</v>
      </c>
      <c r="I109" s="82">
        <f t="shared" si="45"/>
        <v>26.5</v>
      </c>
      <c r="J109" s="81">
        <v>5</v>
      </c>
      <c r="K109" s="81">
        <v>4</v>
      </c>
      <c r="L109" s="81">
        <v>0</v>
      </c>
      <c r="M109" s="81">
        <v>0</v>
      </c>
      <c r="N109" s="82">
        <f t="shared" si="46"/>
        <v>9</v>
      </c>
      <c r="O109" s="82">
        <f t="shared" si="74"/>
        <v>15</v>
      </c>
      <c r="P109" s="82">
        <f t="shared" si="72"/>
        <v>14.5</v>
      </c>
      <c r="Q109" s="82">
        <f t="shared" si="72"/>
        <v>0</v>
      </c>
      <c r="R109" s="82">
        <f t="shared" si="72"/>
        <v>6</v>
      </c>
      <c r="S109" s="93">
        <f t="shared" si="47"/>
        <v>35.5</v>
      </c>
      <c r="T109" s="81">
        <v>6</v>
      </c>
      <c r="U109" s="81">
        <v>6</v>
      </c>
      <c r="V109" s="81">
        <v>0</v>
      </c>
      <c r="W109" s="81">
        <v>5</v>
      </c>
      <c r="X109" s="93">
        <f t="shared" si="48"/>
        <v>17</v>
      </c>
      <c r="Y109" s="82">
        <v>6</v>
      </c>
      <c r="Z109" s="82">
        <v>6</v>
      </c>
      <c r="AA109" s="82">
        <v>0</v>
      </c>
      <c r="AB109" s="82">
        <v>5</v>
      </c>
      <c r="AC109" s="82">
        <f t="shared" si="49"/>
        <v>17</v>
      </c>
      <c r="AD109" s="82">
        <f t="shared" ref="AD109:AD112" si="76">(Y109*9230+Z109*7215+AA109*5800+AB109*5100)*12</f>
        <v>1490040</v>
      </c>
      <c r="AE109" s="82">
        <f t="shared" si="50"/>
        <v>73440</v>
      </c>
      <c r="AF109" s="82">
        <f t="shared" si="51"/>
        <v>102000</v>
      </c>
      <c r="AG109" s="82">
        <f t="shared" si="52"/>
        <v>40800</v>
      </c>
      <c r="AH109" s="82">
        <f t="shared" ref="AH109:AH112" si="77">Y109*15400+(Z109+AA109+AB109)*9400</f>
        <v>195800</v>
      </c>
      <c r="AI109" s="82">
        <f t="shared" si="53"/>
        <v>13600</v>
      </c>
      <c r="AJ109" s="82">
        <f t="shared" si="60"/>
        <v>0</v>
      </c>
      <c r="AK109" s="82">
        <f t="shared" si="61"/>
        <v>16320</v>
      </c>
      <c r="AL109" s="82">
        <f t="shared" si="54"/>
        <v>516010.46</v>
      </c>
      <c r="AM109" s="82">
        <f t="shared" si="55"/>
        <v>2448010</v>
      </c>
      <c r="AN109" s="119">
        <v>49597.5</v>
      </c>
      <c r="AO109" s="119">
        <f t="shared" si="75"/>
        <v>2497607.5</v>
      </c>
    </row>
    <row r="110" spans="1:41" ht="18" customHeight="1">
      <c r="A110" s="79" t="s">
        <v>9</v>
      </c>
      <c r="B110" s="80" t="s">
        <v>727</v>
      </c>
      <c r="C110" s="80" t="s">
        <v>464</v>
      </c>
      <c r="D110" s="81"/>
      <c r="E110" s="90">
        <v>15.873949579832001</v>
      </c>
      <c r="F110" s="91">
        <v>10</v>
      </c>
      <c r="G110" s="90">
        <v>0</v>
      </c>
      <c r="H110" s="91">
        <v>9</v>
      </c>
      <c r="I110" s="82">
        <f t="shared" si="45"/>
        <v>34.873949579832001</v>
      </c>
      <c r="J110" s="81">
        <v>5</v>
      </c>
      <c r="K110" s="81">
        <v>2</v>
      </c>
      <c r="L110" s="81">
        <v>0</v>
      </c>
      <c r="M110" s="81">
        <v>0</v>
      </c>
      <c r="N110" s="82">
        <f t="shared" si="46"/>
        <v>7</v>
      </c>
      <c r="O110" s="82">
        <f t="shared" si="74"/>
        <v>20.873949579832001</v>
      </c>
      <c r="P110" s="82">
        <f t="shared" si="72"/>
        <v>12</v>
      </c>
      <c r="Q110" s="82">
        <f t="shared" si="72"/>
        <v>0</v>
      </c>
      <c r="R110" s="82">
        <f t="shared" si="72"/>
        <v>9</v>
      </c>
      <c r="S110" s="93">
        <f t="shared" si="47"/>
        <v>41.873949579832001</v>
      </c>
      <c r="T110" s="81">
        <v>5</v>
      </c>
      <c r="U110" s="81">
        <v>7</v>
      </c>
      <c r="V110" s="81">
        <v>0</v>
      </c>
      <c r="W110" s="81">
        <v>7</v>
      </c>
      <c r="X110" s="93">
        <f t="shared" si="48"/>
        <v>19</v>
      </c>
      <c r="Y110" s="82">
        <v>5</v>
      </c>
      <c r="Z110" s="82">
        <v>7</v>
      </c>
      <c r="AA110" s="82">
        <v>0</v>
      </c>
      <c r="AB110" s="82">
        <v>7</v>
      </c>
      <c r="AC110" s="82">
        <f t="shared" si="49"/>
        <v>19</v>
      </c>
      <c r="AD110" s="82">
        <f t="shared" si="76"/>
        <v>1588260</v>
      </c>
      <c r="AE110" s="82">
        <f t="shared" si="50"/>
        <v>82080</v>
      </c>
      <c r="AF110" s="82">
        <f t="shared" si="51"/>
        <v>114000</v>
      </c>
      <c r="AG110" s="82">
        <f t="shared" si="52"/>
        <v>45600</v>
      </c>
      <c r="AH110" s="82">
        <f t="shared" si="77"/>
        <v>208600</v>
      </c>
      <c r="AI110" s="82">
        <f t="shared" si="53"/>
        <v>15200</v>
      </c>
      <c r="AJ110" s="82">
        <f t="shared" si="60"/>
        <v>0</v>
      </c>
      <c r="AK110" s="82">
        <f t="shared" si="61"/>
        <v>18240</v>
      </c>
      <c r="AL110" s="82">
        <f t="shared" si="54"/>
        <v>576717.56999999995</v>
      </c>
      <c r="AM110" s="82">
        <f t="shared" si="55"/>
        <v>2648698</v>
      </c>
      <c r="AN110" s="119">
        <v>70329</v>
      </c>
      <c r="AO110" s="119">
        <f t="shared" si="75"/>
        <v>2719027</v>
      </c>
    </row>
    <row r="111" spans="1:41" ht="18" customHeight="1">
      <c r="A111" s="79" t="s">
        <v>9</v>
      </c>
      <c r="B111" s="80" t="s">
        <v>728</v>
      </c>
      <c r="C111" s="80" t="s">
        <v>972</v>
      </c>
      <c r="D111" s="81"/>
      <c r="E111" s="90">
        <v>13</v>
      </c>
      <c r="F111" s="91">
        <v>12</v>
      </c>
      <c r="G111" s="90">
        <v>0</v>
      </c>
      <c r="H111" s="91">
        <v>10</v>
      </c>
      <c r="I111" s="82">
        <f t="shared" si="45"/>
        <v>35</v>
      </c>
      <c r="J111" s="81">
        <v>0</v>
      </c>
      <c r="K111" s="81">
        <v>1</v>
      </c>
      <c r="L111" s="81">
        <v>0</v>
      </c>
      <c r="M111" s="81">
        <v>2</v>
      </c>
      <c r="N111" s="82">
        <f t="shared" si="46"/>
        <v>3</v>
      </c>
      <c r="O111" s="82">
        <f t="shared" si="74"/>
        <v>13</v>
      </c>
      <c r="P111" s="82">
        <f t="shared" si="72"/>
        <v>13</v>
      </c>
      <c r="Q111" s="82">
        <f t="shared" si="72"/>
        <v>0</v>
      </c>
      <c r="R111" s="82">
        <f t="shared" si="72"/>
        <v>12</v>
      </c>
      <c r="S111" s="93">
        <f t="shared" si="47"/>
        <v>38</v>
      </c>
      <c r="T111" s="81">
        <v>5</v>
      </c>
      <c r="U111" s="81">
        <v>9</v>
      </c>
      <c r="V111" s="81">
        <v>0</v>
      </c>
      <c r="W111" s="81">
        <v>7</v>
      </c>
      <c r="X111" s="93">
        <f t="shared" si="48"/>
        <v>21</v>
      </c>
      <c r="Y111" s="82">
        <v>5</v>
      </c>
      <c r="Z111" s="82">
        <v>9</v>
      </c>
      <c r="AA111" s="82">
        <v>0</v>
      </c>
      <c r="AB111" s="82">
        <v>7</v>
      </c>
      <c r="AC111" s="82">
        <f t="shared" si="49"/>
        <v>21</v>
      </c>
      <c r="AD111" s="82">
        <f t="shared" si="76"/>
        <v>1761420</v>
      </c>
      <c r="AE111" s="82">
        <f t="shared" si="50"/>
        <v>90720</v>
      </c>
      <c r="AF111" s="82">
        <f t="shared" si="51"/>
        <v>126000</v>
      </c>
      <c r="AG111" s="82">
        <f t="shared" si="52"/>
        <v>50400</v>
      </c>
      <c r="AH111" s="82">
        <f t="shared" si="77"/>
        <v>227400</v>
      </c>
      <c r="AI111" s="82">
        <f t="shared" si="53"/>
        <v>16800</v>
      </c>
      <c r="AJ111" s="82">
        <f t="shared" si="60"/>
        <v>0</v>
      </c>
      <c r="AK111" s="82">
        <f t="shared" si="61"/>
        <v>20160</v>
      </c>
      <c r="AL111" s="82">
        <f t="shared" si="54"/>
        <v>637424.68999999994</v>
      </c>
      <c r="AM111" s="82">
        <f t="shared" si="55"/>
        <v>2930325</v>
      </c>
      <c r="AN111" s="119">
        <v>44046.5</v>
      </c>
      <c r="AO111" s="119">
        <f t="shared" si="75"/>
        <v>2974371.5</v>
      </c>
    </row>
    <row r="112" spans="1:41" ht="18" customHeight="1">
      <c r="A112" s="79" t="s">
        <v>9</v>
      </c>
      <c r="B112" s="80" t="s">
        <v>729</v>
      </c>
      <c r="C112" s="80" t="s">
        <v>464</v>
      </c>
      <c r="D112" s="81"/>
      <c r="E112" s="90">
        <v>23.731092436975004</v>
      </c>
      <c r="F112" s="91">
        <v>11</v>
      </c>
      <c r="G112" s="90">
        <v>0</v>
      </c>
      <c r="H112" s="91">
        <v>6</v>
      </c>
      <c r="I112" s="82">
        <f t="shared" si="45"/>
        <v>40.731092436975004</v>
      </c>
      <c r="J112" s="81">
        <v>0</v>
      </c>
      <c r="K112" s="81">
        <v>0</v>
      </c>
      <c r="L112" s="81">
        <v>0</v>
      </c>
      <c r="M112" s="81">
        <v>0</v>
      </c>
      <c r="N112" s="82">
        <f t="shared" si="46"/>
        <v>0</v>
      </c>
      <c r="O112" s="82">
        <f t="shared" si="74"/>
        <v>23.731092436975004</v>
      </c>
      <c r="P112" s="82">
        <f t="shared" si="72"/>
        <v>11</v>
      </c>
      <c r="Q112" s="82">
        <f t="shared" si="72"/>
        <v>0</v>
      </c>
      <c r="R112" s="82">
        <f t="shared" si="72"/>
        <v>6</v>
      </c>
      <c r="S112" s="93">
        <f t="shared" si="47"/>
        <v>40.731092436975004</v>
      </c>
      <c r="T112" s="81">
        <v>4</v>
      </c>
      <c r="U112" s="81">
        <v>7</v>
      </c>
      <c r="V112" s="81">
        <v>0</v>
      </c>
      <c r="W112" s="81">
        <v>2</v>
      </c>
      <c r="X112" s="93">
        <f t="shared" si="48"/>
        <v>13</v>
      </c>
      <c r="Y112" s="82">
        <v>4</v>
      </c>
      <c r="Z112" s="82">
        <v>7</v>
      </c>
      <c r="AA112" s="82">
        <v>0</v>
      </c>
      <c r="AB112" s="82">
        <v>2</v>
      </c>
      <c r="AC112" s="82">
        <f t="shared" si="49"/>
        <v>13</v>
      </c>
      <c r="AD112" s="82">
        <f t="shared" si="76"/>
        <v>1171500</v>
      </c>
      <c r="AE112" s="82">
        <f t="shared" si="50"/>
        <v>56160</v>
      </c>
      <c r="AF112" s="82">
        <f t="shared" si="51"/>
        <v>78000</v>
      </c>
      <c r="AG112" s="82">
        <f t="shared" si="52"/>
        <v>31200</v>
      </c>
      <c r="AH112" s="82">
        <f t="shared" si="77"/>
        <v>146200</v>
      </c>
      <c r="AI112" s="82">
        <f t="shared" si="53"/>
        <v>10400</v>
      </c>
      <c r="AJ112" s="82">
        <f t="shared" si="60"/>
        <v>0</v>
      </c>
      <c r="AK112" s="82">
        <f t="shared" si="61"/>
        <v>12480</v>
      </c>
      <c r="AL112" s="82">
        <f t="shared" si="54"/>
        <v>394596.23</v>
      </c>
      <c r="AM112" s="82">
        <f t="shared" si="55"/>
        <v>1900536</v>
      </c>
      <c r="AN112" s="119">
        <v>43104</v>
      </c>
      <c r="AO112" s="119">
        <f t="shared" si="75"/>
        <v>1943640</v>
      </c>
    </row>
    <row r="113" spans="1:41" s="83" customFormat="1" ht="18" customHeight="1">
      <c r="A113" s="79" t="s">
        <v>9</v>
      </c>
      <c r="B113" s="80" t="s">
        <v>730</v>
      </c>
      <c r="C113" s="80" t="s">
        <v>649</v>
      </c>
      <c r="D113" s="81">
        <v>2</v>
      </c>
      <c r="E113" s="90">
        <v>1.1623931623932009</v>
      </c>
      <c r="F113" s="91">
        <v>3</v>
      </c>
      <c r="G113" s="90">
        <v>19.850000000000001</v>
      </c>
      <c r="H113" s="91">
        <v>2</v>
      </c>
      <c r="I113" s="82">
        <f t="shared" si="45"/>
        <v>26.012393162393202</v>
      </c>
      <c r="J113" s="81">
        <v>5</v>
      </c>
      <c r="K113" s="81">
        <v>1</v>
      </c>
      <c r="L113" s="81">
        <v>0</v>
      </c>
      <c r="M113" s="81">
        <v>0</v>
      </c>
      <c r="N113" s="82">
        <f t="shared" si="46"/>
        <v>6</v>
      </c>
      <c r="O113" s="82">
        <f t="shared" si="74"/>
        <v>6.1623931623932009</v>
      </c>
      <c r="P113" s="82">
        <f t="shared" si="72"/>
        <v>4</v>
      </c>
      <c r="Q113" s="82">
        <f t="shared" si="72"/>
        <v>19.850000000000001</v>
      </c>
      <c r="R113" s="82">
        <f t="shared" si="72"/>
        <v>2</v>
      </c>
      <c r="S113" s="93">
        <f t="shared" si="47"/>
        <v>32.012393162393202</v>
      </c>
      <c r="T113" s="81">
        <v>6</v>
      </c>
      <c r="U113" s="81">
        <v>4</v>
      </c>
      <c r="V113" s="81">
        <v>20</v>
      </c>
      <c r="W113" s="81">
        <v>2</v>
      </c>
      <c r="X113" s="93">
        <f t="shared" si="48"/>
        <v>32</v>
      </c>
      <c r="Y113" s="82">
        <v>6</v>
      </c>
      <c r="Z113" s="82">
        <v>4</v>
      </c>
      <c r="AA113" s="82">
        <v>20</v>
      </c>
      <c r="AB113" s="82">
        <v>2</v>
      </c>
      <c r="AC113" s="82">
        <f t="shared" si="49"/>
        <v>32</v>
      </c>
      <c r="AD113" s="82">
        <f>(Y113*7050+Z113*6485+AA113*5800+AB113*4900)*12</f>
        <v>2328480</v>
      </c>
      <c r="AE113" s="82">
        <f t="shared" si="50"/>
        <v>138240</v>
      </c>
      <c r="AF113" s="82">
        <f t="shared" si="51"/>
        <v>192000</v>
      </c>
      <c r="AG113" s="82">
        <f t="shared" si="52"/>
        <v>76800</v>
      </c>
      <c r="AH113" s="82">
        <f t="shared" si="59"/>
        <v>300800</v>
      </c>
      <c r="AI113" s="82">
        <f t="shared" si="53"/>
        <v>25600</v>
      </c>
      <c r="AJ113" s="82">
        <f t="shared" si="60"/>
        <v>20000</v>
      </c>
      <c r="AK113" s="82">
        <f t="shared" si="61"/>
        <v>30720</v>
      </c>
      <c r="AL113" s="82">
        <f t="shared" si="54"/>
        <v>971313.81</v>
      </c>
      <c r="AM113" s="82">
        <f t="shared" si="55"/>
        <v>4083954</v>
      </c>
      <c r="AN113" s="120"/>
      <c r="AO113" s="121">
        <f t="shared" si="75"/>
        <v>4083954</v>
      </c>
    </row>
    <row r="114" spans="1:41" s="83" customFormat="1" ht="18" customHeight="1">
      <c r="A114" s="79" t="s">
        <v>9</v>
      </c>
      <c r="B114" s="80" t="s">
        <v>731</v>
      </c>
      <c r="C114" s="80" t="s">
        <v>649</v>
      </c>
      <c r="D114" s="81">
        <v>1</v>
      </c>
      <c r="E114" s="90">
        <v>3.427350427350401</v>
      </c>
      <c r="F114" s="91">
        <v>2</v>
      </c>
      <c r="G114" s="90">
        <v>11.987500000000001</v>
      </c>
      <c r="H114" s="91">
        <v>1</v>
      </c>
      <c r="I114" s="82">
        <f t="shared" si="45"/>
        <v>18.414850427350402</v>
      </c>
      <c r="J114" s="81">
        <v>0</v>
      </c>
      <c r="K114" s="81">
        <v>0</v>
      </c>
      <c r="L114" s="81">
        <v>1</v>
      </c>
      <c r="M114" s="81">
        <v>0</v>
      </c>
      <c r="N114" s="82">
        <f t="shared" si="46"/>
        <v>1</v>
      </c>
      <c r="O114" s="82">
        <f t="shared" si="74"/>
        <v>3.427350427350401</v>
      </c>
      <c r="P114" s="82">
        <f t="shared" si="72"/>
        <v>2</v>
      </c>
      <c r="Q114" s="82">
        <f t="shared" si="72"/>
        <v>12.987500000000001</v>
      </c>
      <c r="R114" s="82">
        <f t="shared" si="72"/>
        <v>1</v>
      </c>
      <c r="S114" s="93">
        <f t="shared" si="47"/>
        <v>19.414850427350402</v>
      </c>
      <c r="T114" s="81">
        <v>3</v>
      </c>
      <c r="U114" s="81">
        <v>3</v>
      </c>
      <c r="V114" s="81">
        <v>13</v>
      </c>
      <c r="W114" s="81">
        <v>1</v>
      </c>
      <c r="X114" s="93">
        <f t="shared" si="48"/>
        <v>20</v>
      </c>
      <c r="Y114" s="82">
        <v>3.427350427350401</v>
      </c>
      <c r="Z114" s="82">
        <v>2</v>
      </c>
      <c r="AA114" s="82">
        <v>12.987500000000001</v>
      </c>
      <c r="AB114" s="82">
        <v>1</v>
      </c>
      <c r="AC114" s="82">
        <f t="shared" si="49"/>
        <v>19.414850427350402</v>
      </c>
      <c r="AD114" s="82">
        <f>(Y114*7050+Z114*6485+AA114*5800+AB114*4900)*12</f>
        <v>1408323.8461538439</v>
      </c>
      <c r="AE114" s="82">
        <f t="shared" si="50"/>
        <v>83872.153846153742</v>
      </c>
      <c r="AF114" s="82">
        <f t="shared" si="51"/>
        <v>116489.10256410242</v>
      </c>
      <c r="AG114" s="82">
        <f t="shared" si="52"/>
        <v>46595.641025640965</v>
      </c>
      <c r="AH114" s="82">
        <f t="shared" si="59"/>
        <v>182499.59401709377</v>
      </c>
      <c r="AI114" s="82">
        <f t="shared" si="53"/>
        <v>15531.880341880322</v>
      </c>
      <c r="AJ114" s="82">
        <f t="shared" si="60"/>
        <v>10000</v>
      </c>
      <c r="AK114" s="82">
        <f t="shared" si="61"/>
        <v>18638.256410256385</v>
      </c>
      <c r="AL114" s="82">
        <f t="shared" si="54"/>
        <v>589309.76</v>
      </c>
      <c r="AM114" s="82">
        <f t="shared" si="55"/>
        <v>2471260</v>
      </c>
      <c r="AN114" s="120"/>
      <c r="AO114" s="121">
        <f t="shared" si="75"/>
        <v>2471260</v>
      </c>
    </row>
    <row r="115" spans="1:41" s="85" customFormat="1" ht="18" customHeight="1">
      <c r="A115" s="164"/>
      <c r="B115" s="164" t="s">
        <v>732</v>
      </c>
      <c r="C115" s="164"/>
      <c r="D115" s="84">
        <f>SUM(D101:D114)</f>
        <v>13</v>
      </c>
      <c r="E115" s="84">
        <f t="shared" ref="E115:AO115" si="78">SUM(E101:E114)</f>
        <v>116.10813662334971</v>
      </c>
      <c r="F115" s="84">
        <f t="shared" si="78"/>
        <v>109.5</v>
      </c>
      <c r="G115" s="84">
        <f t="shared" si="78"/>
        <v>140.92500000000001</v>
      </c>
      <c r="H115" s="84">
        <f t="shared" si="78"/>
        <v>74</v>
      </c>
      <c r="I115" s="84">
        <f t="shared" si="78"/>
        <v>440.53313662334972</v>
      </c>
      <c r="J115" s="84">
        <f t="shared" si="78"/>
        <v>34</v>
      </c>
      <c r="K115" s="84">
        <f t="shared" si="78"/>
        <v>8</v>
      </c>
      <c r="L115" s="84">
        <f t="shared" si="78"/>
        <v>9</v>
      </c>
      <c r="M115" s="84">
        <f t="shared" si="78"/>
        <v>4</v>
      </c>
      <c r="N115" s="84">
        <f t="shared" si="78"/>
        <v>55</v>
      </c>
      <c r="O115" s="84">
        <f t="shared" si="78"/>
        <v>150.10813662334971</v>
      </c>
      <c r="P115" s="84">
        <f t="shared" si="78"/>
        <v>117.5</v>
      </c>
      <c r="Q115" s="84">
        <f t="shared" si="78"/>
        <v>149.92500000000001</v>
      </c>
      <c r="R115" s="84">
        <f t="shared" si="78"/>
        <v>78</v>
      </c>
      <c r="S115" s="84">
        <f t="shared" si="78"/>
        <v>495.53313662334972</v>
      </c>
      <c r="T115" s="84">
        <f t="shared" si="78"/>
        <v>77</v>
      </c>
      <c r="U115" s="84">
        <f t="shared" si="78"/>
        <v>70</v>
      </c>
      <c r="V115" s="84">
        <f t="shared" si="78"/>
        <v>143</v>
      </c>
      <c r="W115" s="84">
        <f t="shared" si="78"/>
        <v>57</v>
      </c>
      <c r="X115" s="84">
        <f t="shared" si="78"/>
        <v>347</v>
      </c>
      <c r="Y115" s="84">
        <f t="shared" si="78"/>
        <v>74.675213675213712</v>
      </c>
      <c r="Z115" s="84">
        <f t="shared" si="78"/>
        <v>68</v>
      </c>
      <c r="AA115" s="84">
        <f t="shared" si="78"/>
        <v>143.3125</v>
      </c>
      <c r="AB115" s="84">
        <f t="shared" si="78"/>
        <v>56</v>
      </c>
      <c r="AC115" s="84">
        <f t="shared" si="78"/>
        <v>341.98771367521374</v>
      </c>
      <c r="AD115" s="84">
        <f t="shared" si="78"/>
        <v>25704273.07692308</v>
      </c>
      <c r="AE115" s="84">
        <f t="shared" si="78"/>
        <v>1477386.9230769232</v>
      </c>
      <c r="AF115" s="84">
        <f t="shared" si="78"/>
        <v>2051926.2820512822</v>
      </c>
      <c r="AG115" s="84">
        <f t="shared" si="78"/>
        <v>820770.51282051299</v>
      </c>
      <c r="AH115" s="84">
        <f t="shared" si="78"/>
        <v>3334684.508547009</v>
      </c>
      <c r="AI115" s="84">
        <f t="shared" si="78"/>
        <v>273590.17094017094</v>
      </c>
      <c r="AJ115" s="84">
        <f t="shared" si="78"/>
        <v>130000</v>
      </c>
      <c r="AK115" s="84">
        <f t="shared" si="78"/>
        <v>328308.20512820513</v>
      </c>
      <c r="AL115" s="84">
        <f t="shared" si="78"/>
        <v>10380543.380000001</v>
      </c>
      <c r="AM115" s="84">
        <f t="shared" si="78"/>
        <v>44501482</v>
      </c>
      <c r="AN115" s="84">
        <f t="shared" si="78"/>
        <v>498486.25</v>
      </c>
      <c r="AO115" s="84">
        <f t="shared" si="78"/>
        <v>44999968.25</v>
      </c>
    </row>
    <row r="116" spans="1:41" s="85" customFormat="1" ht="18" customHeight="1">
      <c r="A116" s="164"/>
      <c r="B116" s="164" t="s">
        <v>252</v>
      </c>
      <c r="C116" s="164"/>
      <c r="D116" s="84">
        <f>SUM(D115,D100,D95,D90,D70,D51,D35,D23,D14)</f>
        <v>96</v>
      </c>
      <c r="E116" s="84">
        <f t="shared" ref="E116:AO116" si="79">SUM(E115,E100,E95,E90,E70,E51,E35,E23,E14)</f>
        <v>940.42292460750866</v>
      </c>
      <c r="F116" s="84">
        <f t="shared" si="79"/>
        <v>690.5</v>
      </c>
      <c r="G116" s="84">
        <f t="shared" si="79"/>
        <v>1230.0875000000001</v>
      </c>
      <c r="H116" s="84">
        <f t="shared" si="79"/>
        <v>493</v>
      </c>
      <c r="I116" s="84">
        <f t="shared" si="79"/>
        <v>3354.0104246075089</v>
      </c>
      <c r="J116" s="84">
        <f t="shared" si="79"/>
        <v>200</v>
      </c>
      <c r="K116" s="84">
        <f t="shared" si="79"/>
        <v>58</v>
      </c>
      <c r="L116" s="84">
        <f t="shared" si="79"/>
        <v>70</v>
      </c>
      <c r="M116" s="84">
        <f t="shared" si="79"/>
        <v>29</v>
      </c>
      <c r="N116" s="84">
        <f t="shared" si="79"/>
        <v>357</v>
      </c>
      <c r="O116" s="84">
        <f t="shared" si="79"/>
        <v>1140.4229246075088</v>
      </c>
      <c r="P116" s="84">
        <f t="shared" si="79"/>
        <v>748.5</v>
      </c>
      <c r="Q116" s="84">
        <f t="shared" si="79"/>
        <v>1300.0875000000001</v>
      </c>
      <c r="R116" s="84">
        <f t="shared" si="79"/>
        <v>522</v>
      </c>
      <c r="S116" s="84">
        <f t="shared" si="79"/>
        <v>3711.0104246075089</v>
      </c>
      <c r="T116" s="84">
        <f t="shared" si="79"/>
        <v>404</v>
      </c>
      <c r="U116" s="84">
        <f t="shared" si="79"/>
        <v>420</v>
      </c>
      <c r="V116" s="84">
        <f t="shared" si="79"/>
        <v>1231</v>
      </c>
      <c r="W116" s="84">
        <f t="shared" si="79"/>
        <v>467</v>
      </c>
      <c r="X116" s="84">
        <f t="shared" si="79"/>
        <v>2522</v>
      </c>
      <c r="Y116" s="84">
        <f t="shared" si="79"/>
        <v>400.52136752136749</v>
      </c>
      <c r="Z116" s="84">
        <f t="shared" si="79"/>
        <v>417</v>
      </c>
      <c r="AA116" s="84">
        <f t="shared" si="79"/>
        <v>1228.6000000000001</v>
      </c>
      <c r="AB116" s="84">
        <f t="shared" si="79"/>
        <v>464</v>
      </c>
      <c r="AC116" s="84">
        <f t="shared" si="79"/>
        <v>2510.1213675213676</v>
      </c>
      <c r="AD116" s="84">
        <f t="shared" si="79"/>
        <v>184478047.69230768</v>
      </c>
      <c r="AE116" s="84">
        <f t="shared" si="79"/>
        <v>10843724.307692308</v>
      </c>
      <c r="AF116" s="84">
        <f t="shared" si="79"/>
        <v>15060728.205128204</v>
      </c>
      <c r="AG116" s="84">
        <f t="shared" si="79"/>
        <v>6024291.282051282</v>
      </c>
      <c r="AH116" s="84">
        <f t="shared" si="79"/>
        <v>24339140.854700856</v>
      </c>
      <c r="AI116" s="84">
        <f t="shared" si="79"/>
        <v>2008097.094017094</v>
      </c>
      <c r="AJ116" s="84">
        <f t="shared" si="79"/>
        <v>950000</v>
      </c>
      <c r="AK116" s="84">
        <f t="shared" si="79"/>
        <v>2409716.512820513</v>
      </c>
      <c r="AL116" s="84">
        <f t="shared" si="79"/>
        <v>76191110.63000001</v>
      </c>
      <c r="AM116" s="84">
        <f t="shared" si="79"/>
        <v>322304855</v>
      </c>
      <c r="AN116" s="84">
        <f t="shared" si="79"/>
        <v>2956085.13</v>
      </c>
      <c r="AO116" s="84">
        <f t="shared" si="79"/>
        <v>325260940.13</v>
      </c>
    </row>
  </sheetData>
  <autoFilter ref="A2:AN116">
    <filterColumn colId="4" showButton="0"/>
    <filterColumn colId="5" showButton="0"/>
    <filterColumn colId="6" showButton="0"/>
    <filterColumn colId="7" showButton="0"/>
    <filterColumn colId="9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</autoFilter>
  <mergeCells count="13">
    <mergeCell ref="AN2:AN3"/>
    <mergeCell ref="AO2:AO3"/>
    <mergeCell ref="A1:AO1"/>
    <mergeCell ref="AD2:AM2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E60"/>
  <sheetViews>
    <sheetView topLeftCell="A7" workbookViewId="0">
      <selection sqref="A1:XFD1048576"/>
    </sheetView>
  </sheetViews>
  <sheetFormatPr defaultRowHeight="13.5" outlineLevelRow="2"/>
  <cols>
    <col min="1" max="1" width="9.625" style="183" customWidth="1"/>
    <col min="2" max="2" width="30" style="183" customWidth="1"/>
    <col min="3" max="5" width="15.625" style="183" customWidth="1"/>
    <col min="6" max="16384" width="9" style="183"/>
  </cols>
  <sheetData>
    <row r="1" spans="1:5" ht="35.25" customHeight="1">
      <c r="A1" s="387" t="s">
        <v>1059</v>
      </c>
      <c r="B1" s="387"/>
      <c r="C1" s="387"/>
      <c r="D1" s="388"/>
      <c r="E1" s="388"/>
    </row>
    <row r="2" spans="1:5" s="185" customFormat="1" ht="18" customHeight="1">
      <c r="A2" s="173" t="s">
        <v>1060</v>
      </c>
      <c r="B2" s="184" t="s">
        <v>1061</v>
      </c>
      <c r="C2" s="184" t="s">
        <v>1062</v>
      </c>
      <c r="D2" s="176" t="s">
        <v>1063</v>
      </c>
      <c r="E2" s="176" t="s">
        <v>1064</v>
      </c>
    </row>
    <row r="3" spans="1:5" ht="18" customHeight="1" outlineLevel="2">
      <c r="A3" s="186" t="s">
        <v>1065</v>
      </c>
      <c r="B3" s="187" t="s">
        <v>244</v>
      </c>
      <c r="C3" s="188">
        <v>637.5</v>
      </c>
      <c r="D3" s="189"/>
      <c r="E3" s="189">
        <f>C3-D3</f>
        <v>637.5</v>
      </c>
    </row>
    <row r="4" spans="1:5" ht="18" customHeight="1" outlineLevel="1">
      <c r="A4" s="190" t="s">
        <v>254</v>
      </c>
      <c r="B4" s="187"/>
      <c r="C4" s="188">
        <f t="shared" ref="C4:E4" si="0">SUBTOTAL(9,C3:C3)</f>
        <v>637.5</v>
      </c>
      <c r="D4" s="189">
        <f t="shared" si="0"/>
        <v>0</v>
      </c>
      <c r="E4" s="189">
        <f t="shared" si="0"/>
        <v>637.5</v>
      </c>
    </row>
    <row r="5" spans="1:5" ht="18" customHeight="1" outlineLevel="2">
      <c r="A5" s="186" t="s">
        <v>1066</v>
      </c>
      <c r="B5" s="187" t="s">
        <v>165</v>
      </c>
      <c r="C5" s="188">
        <v>26524</v>
      </c>
      <c r="D5" s="189">
        <v>35062.5</v>
      </c>
      <c r="E5" s="189">
        <f t="shared" ref="E5:E58" si="1">C5-D5</f>
        <v>-8538.5</v>
      </c>
    </row>
    <row r="6" spans="1:5" ht="18" customHeight="1" outlineLevel="2">
      <c r="A6" s="186" t="s">
        <v>1066</v>
      </c>
      <c r="B6" s="187" t="s">
        <v>999</v>
      </c>
      <c r="C6" s="188">
        <v>12252</v>
      </c>
      <c r="D6" s="189">
        <v>29775</v>
      </c>
      <c r="E6" s="189">
        <f t="shared" si="1"/>
        <v>-17523</v>
      </c>
    </row>
    <row r="7" spans="1:5" ht="18" customHeight="1" outlineLevel="1">
      <c r="A7" s="191" t="s">
        <v>255</v>
      </c>
      <c r="B7" s="187"/>
      <c r="C7" s="188">
        <f t="shared" ref="C7:E7" si="2">SUBTOTAL(9,C5:C6)</f>
        <v>38776</v>
      </c>
      <c r="D7" s="189">
        <f t="shared" si="2"/>
        <v>64837.5</v>
      </c>
      <c r="E7" s="189">
        <f t="shared" si="2"/>
        <v>-26061.5</v>
      </c>
    </row>
    <row r="8" spans="1:5" ht="18" customHeight="1" outlineLevel="2">
      <c r="A8" s="186" t="s">
        <v>1067</v>
      </c>
      <c r="B8" s="187" t="s">
        <v>240</v>
      </c>
      <c r="C8" s="188">
        <v>12112.5</v>
      </c>
      <c r="D8" s="188">
        <v>12877.5</v>
      </c>
      <c r="E8" s="188">
        <f>C8-D8</f>
        <v>-765</v>
      </c>
    </row>
    <row r="9" spans="1:5" ht="18" customHeight="1" outlineLevel="2">
      <c r="A9" s="186" t="s">
        <v>1067</v>
      </c>
      <c r="B9" s="187" t="s">
        <v>263</v>
      </c>
      <c r="C9" s="188">
        <v>29327.5</v>
      </c>
      <c r="D9" s="192">
        <v>36465</v>
      </c>
      <c r="E9" s="188">
        <f>C9-D9</f>
        <v>-7137.5</v>
      </c>
    </row>
    <row r="10" spans="1:5" ht="18" customHeight="1" outlineLevel="2">
      <c r="A10" s="186" t="s">
        <v>1067</v>
      </c>
      <c r="B10" s="187" t="s">
        <v>241</v>
      </c>
      <c r="C10" s="188">
        <v>60579.5</v>
      </c>
      <c r="D10" s="193">
        <v>64523.75</v>
      </c>
      <c r="E10" s="189">
        <f t="shared" si="1"/>
        <v>-3944.25</v>
      </c>
    </row>
    <row r="11" spans="1:5" ht="18" customHeight="1" outlineLevel="2">
      <c r="A11" s="186" t="s">
        <v>1067</v>
      </c>
      <c r="B11" s="187" t="s">
        <v>243</v>
      </c>
      <c r="C11" s="188">
        <v>89519.5</v>
      </c>
      <c r="D11" s="193">
        <v>158478</v>
      </c>
      <c r="E11" s="189">
        <f t="shared" si="1"/>
        <v>-68958.5</v>
      </c>
    </row>
    <row r="12" spans="1:5" ht="18" customHeight="1" outlineLevel="2">
      <c r="A12" s="186" t="s">
        <v>1067</v>
      </c>
      <c r="B12" s="187" t="s">
        <v>242</v>
      </c>
      <c r="C12" s="188">
        <v>24416.25</v>
      </c>
      <c r="D12" s="193">
        <v>20400</v>
      </c>
      <c r="E12" s="189">
        <f t="shared" si="1"/>
        <v>4016.25</v>
      </c>
    </row>
    <row r="13" spans="1:5" ht="18" customHeight="1" outlineLevel="2">
      <c r="A13" s="186" t="s">
        <v>1067</v>
      </c>
      <c r="B13" s="187" t="s">
        <v>265</v>
      </c>
      <c r="C13" s="188">
        <v>127179</v>
      </c>
      <c r="D13" s="193">
        <v>114888.75</v>
      </c>
      <c r="E13" s="189">
        <f t="shared" si="1"/>
        <v>12290.25</v>
      </c>
    </row>
    <row r="14" spans="1:5" ht="18" customHeight="1" outlineLevel="2">
      <c r="A14" s="186" t="s">
        <v>1067</v>
      </c>
      <c r="B14" s="187" t="s">
        <v>236</v>
      </c>
      <c r="C14" s="188">
        <v>65282</v>
      </c>
      <c r="D14" s="193">
        <v>97730.75</v>
      </c>
      <c r="E14" s="189">
        <f t="shared" si="1"/>
        <v>-32448.75</v>
      </c>
    </row>
    <row r="15" spans="1:5" ht="18" customHeight="1" outlineLevel="2">
      <c r="A15" s="186" t="s">
        <v>1067</v>
      </c>
      <c r="B15" s="187" t="s">
        <v>237</v>
      </c>
      <c r="C15" s="188">
        <v>61073.5</v>
      </c>
      <c r="D15" s="193">
        <v>239229</v>
      </c>
      <c r="E15" s="189">
        <f t="shared" si="1"/>
        <v>-178155.5</v>
      </c>
    </row>
    <row r="16" spans="1:5" ht="18" customHeight="1" outlineLevel="2">
      <c r="A16" s="186" t="s">
        <v>1067</v>
      </c>
      <c r="B16" s="187" t="s">
        <v>238</v>
      </c>
      <c r="C16" s="188">
        <v>25283.25</v>
      </c>
      <c r="D16" s="193">
        <v>15204.38</v>
      </c>
      <c r="E16" s="189">
        <f t="shared" si="1"/>
        <v>10078.870000000001</v>
      </c>
    </row>
    <row r="17" spans="1:5" ht="18" customHeight="1" outlineLevel="2">
      <c r="A17" s="186" t="s">
        <v>1067</v>
      </c>
      <c r="B17" s="187" t="s">
        <v>239</v>
      </c>
      <c r="C17" s="188">
        <v>3825</v>
      </c>
      <c r="D17" s="188">
        <v>12431.25</v>
      </c>
      <c r="E17" s="189">
        <f t="shared" si="1"/>
        <v>-8606.25</v>
      </c>
    </row>
    <row r="18" spans="1:5" ht="18" customHeight="1" outlineLevel="1">
      <c r="A18" s="191" t="s">
        <v>256</v>
      </c>
      <c r="B18" s="187"/>
      <c r="C18" s="188">
        <f t="shared" ref="C18:E18" si="3">SUBTOTAL(9,C8:C17)</f>
        <v>498598</v>
      </c>
      <c r="D18" s="188">
        <f t="shared" si="3"/>
        <v>772228.38</v>
      </c>
      <c r="E18" s="188">
        <f t="shared" si="3"/>
        <v>-273630.38</v>
      </c>
    </row>
    <row r="19" spans="1:5" ht="18" customHeight="1" outlineLevel="2">
      <c r="A19" s="186" t="s">
        <v>1068</v>
      </c>
      <c r="B19" s="187" t="s">
        <v>231</v>
      </c>
      <c r="C19" s="188">
        <v>115139.5</v>
      </c>
      <c r="D19" s="189">
        <v>125152</v>
      </c>
      <c r="E19" s="189">
        <f t="shared" si="1"/>
        <v>-10012.5</v>
      </c>
    </row>
    <row r="20" spans="1:5" ht="18" customHeight="1" outlineLevel="2">
      <c r="A20" s="186" t="s">
        <v>1068</v>
      </c>
      <c r="B20" s="187" t="s">
        <v>232</v>
      </c>
      <c r="C20" s="188">
        <v>54769</v>
      </c>
      <c r="D20" s="189">
        <v>66087.5</v>
      </c>
      <c r="E20" s="189">
        <f t="shared" si="1"/>
        <v>-11318.5</v>
      </c>
    </row>
    <row r="21" spans="1:5" ht="18" customHeight="1" outlineLevel="2">
      <c r="A21" s="186" t="s">
        <v>1068</v>
      </c>
      <c r="B21" s="187" t="s">
        <v>233</v>
      </c>
      <c r="C21" s="188">
        <v>70194.25</v>
      </c>
      <c r="D21" s="189">
        <v>98406.25</v>
      </c>
      <c r="E21" s="189">
        <f t="shared" si="1"/>
        <v>-28212</v>
      </c>
    </row>
    <row r="22" spans="1:5" ht="18" customHeight="1" outlineLevel="2">
      <c r="A22" s="186" t="s">
        <v>1068</v>
      </c>
      <c r="B22" s="187" t="s">
        <v>234</v>
      </c>
      <c r="C22" s="188">
        <v>189595.75</v>
      </c>
      <c r="D22" s="189">
        <v>68976.25</v>
      </c>
      <c r="E22" s="189">
        <f t="shared" si="1"/>
        <v>120619.5</v>
      </c>
    </row>
    <row r="23" spans="1:5" ht="18" customHeight="1" outlineLevel="2">
      <c r="A23" s="186" t="s">
        <v>1068</v>
      </c>
      <c r="B23" s="187" t="s">
        <v>1011</v>
      </c>
      <c r="C23" s="188">
        <v>24225</v>
      </c>
      <c r="D23" s="189">
        <v>67830</v>
      </c>
      <c r="E23" s="189">
        <f t="shared" si="1"/>
        <v>-43605</v>
      </c>
    </row>
    <row r="24" spans="1:5" ht="18" customHeight="1" outlineLevel="2">
      <c r="A24" s="186" t="s">
        <v>1068</v>
      </c>
      <c r="B24" s="187" t="s">
        <v>230</v>
      </c>
      <c r="C24" s="188">
        <v>38527</v>
      </c>
      <c r="D24" s="189">
        <v>63959.5</v>
      </c>
      <c r="E24" s="189">
        <f t="shared" si="1"/>
        <v>-25432.5</v>
      </c>
    </row>
    <row r="25" spans="1:5" ht="18" customHeight="1" outlineLevel="2">
      <c r="A25" s="186" t="s">
        <v>1068</v>
      </c>
      <c r="B25" s="194" t="s">
        <v>235</v>
      </c>
      <c r="C25" s="188">
        <v>68616.25</v>
      </c>
      <c r="D25" s="189">
        <v>45124</v>
      </c>
      <c r="E25" s="189">
        <f t="shared" si="1"/>
        <v>23492.25</v>
      </c>
    </row>
    <row r="26" spans="1:5" ht="18" customHeight="1" outlineLevel="2">
      <c r="A26" s="186" t="s">
        <v>1068</v>
      </c>
      <c r="B26" s="187" t="s">
        <v>227</v>
      </c>
      <c r="C26" s="188">
        <v>111379</v>
      </c>
      <c r="D26" s="189">
        <v>118953.5</v>
      </c>
      <c r="E26" s="189">
        <f t="shared" si="1"/>
        <v>-7574.5</v>
      </c>
    </row>
    <row r="27" spans="1:5" ht="18" customHeight="1" outlineLevel="2">
      <c r="A27" s="186" t="s">
        <v>1068</v>
      </c>
      <c r="B27" s="187" t="s">
        <v>228</v>
      </c>
      <c r="C27" s="188">
        <v>21568</v>
      </c>
      <c r="D27" s="189">
        <v>70970</v>
      </c>
      <c r="E27" s="189">
        <f t="shared" si="1"/>
        <v>-49402</v>
      </c>
    </row>
    <row r="28" spans="1:5" ht="18" customHeight="1" outlineLevel="2">
      <c r="A28" s="186" t="s">
        <v>1068</v>
      </c>
      <c r="B28" s="187" t="s">
        <v>229</v>
      </c>
      <c r="C28" s="188">
        <v>33544</v>
      </c>
      <c r="D28" s="189">
        <v>16383.75</v>
      </c>
      <c r="E28" s="189">
        <f t="shared" si="1"/>
        <v>17160.25</v>
      </c>
    </row>
    <row r="29" spans="1:5" ht="18" customHeight="1" outlineLevel="1">
      <c r="A29" s="191" t="s">
        <v>257</v>
      </c>
      <c r="B29" s="187"/>
      <c r="C29" s="188">
        <f>SUBTOTAL(9,C19:C28)</f>
        <v>727557.75</v>
      </c>
      <c r="D29" s="189">
        <f>SUBTOTAL(9,D19:D28)</f>
        <v>741842.75</v>
      </c>
      <c r="E29" s="189">
        <f>SUBTOTAL(9,E19:E28)</f>
        <v>-14285</v>
      </c>
    </row>
    <row r="30" spans="1:5" ht="18" customHeight="1" outlineLevel="2">
      <c r="A30" s="186" t="s">
        <v>1069</v>
      </c>
      <c r="B30" s="187" t="s">
        <v>1021</v>
      </c>
      <c r="C30" s="188">
        <v>81413.75</v>
      </c>
      <c r="D30" s="189">
        <v>91103</v>
      </c>
      <c r="E30" s="189">
        <f t="shared" si="1"/>
        <v>-9689.25</v>
      </c>
    </row>
    <row r="31" spans="1:5" ht="18" customHeight="1" outlineLevel="2">
      <c r="A31" s="186" t="s">
        <v>1069</v>
      </c>
      <c r="B31" s="187" t="s">
        <v>1070</v>
      </c>
      <c r="C31" s="188">
        <v>2040</v>
      </c>
      <c r="D31" s="189"/>
      <c r="E31" s="189">
        <f t="shared" si="1"/>
        <v>2040</v>
      </c>
    </row>
    <row r="32" spans="1:5" ht="18" customHeight="1" outlineLevel="2">
      <c r="A32" s="186" t="s">
        <v>1069</v>
      </c>
      <c r="B32" s="177" t="s">
        <v>1019</v>
      </c>
      <c r="C32" s="188">
        <v>11857.5</v>
      </c>
      <c r="D32" s="189">
        <v>17212.5</v>
      </c>
      <c r="E32" s="189">
        <f t="shared" si="1"/>
        <v>-5355</v>
      </c>
    </row>
    <row r="33" spans="1:5" ht="18" customHeight="1" outlineLevel="2">
      <c r="A33" s="186" t="s">
        <v>1069</v>
      </c>
      <c r="B33" s="187" t="s">
        <v>226</v>
      </c>
      <c r="C33" s="188">
        <v>16328</v>
      </c>
      <c r="D33" s="189">
        <v>34499.25</v>
      </c>
      <c r="E33" s="189">
        <f t="shared" si="1"/>
        <v>-18171.25</v>
      </c>
    </row>
    <row r="34" spans="1:5" ht="18" customHeight="1" outlineLevel="2">
      <c r="A34" s="186" t="s">
        <v>1069</v>
      </c>
      <c r="B34" s="177" t="s">
        <v>466</v>
      </c>
      <c r="C34" s="188">
        <v>53465.5</v>
      </c>
      <c r="D34" s="189">
        <v>49126</v>
      </c>
      <c r="E34" s="189">
        <f t="shared" si="1"/>
        <v>4339.5</v>
      </c>
    </row>
    <row r="35" spans="1:5" ht="18" customHeight="1" outlineLevel="2">
      <c r="A35" s="186" t="s">
        <v>1069</v>
      </c>
      <c r="B35" s="187" t="s">
        <v>1020</v>
      </c>
      <c r="C35" s="188">
        <v>69704</v>
      </c>
      <c r="D35" s="189">
        <v>63316</v>
      </c>
      <c r="E35" s="189">
        <f t="shared" si="1"/>
        <v>6388</v>
      </c>
    </row>
    <row r="36" spans="1:5" ht="18" customHeight="1" outlineLevel="1">
      <c r="A36" s="191" t="s">
        <v>258</v>
      </c>
      <c r="B36" s="187"/>
      <c r="C36" s="188">
        <f>SUBTOTAL(9,C30:C35)</f>
        <v>234808.75</v>
      </c>
      <c r="D36" s="189">
        <f>SUBTOTAL(9,D30:D35)</f>
        <v>255256.75</v>
      </c>
      <c r="E36" s="189">
        <f>SUBTOTAL(9,E30:E35)</f>
        <v>-20448</v>
      </c>
    </row>
    <row r="37" spans="1:5" ht="18" customHeight="1" outlineLevel="2">
      <c r="A37" s="186" t="s">
        <v>1071</v>
      </c>
      <c r="B37" s="187" t="s">
        <v>1032</v>
      </c>
      <c r="C37" s="188">
        <v>24038</v>
      </c>
      <c r="D37" s="189">
        <v>31510.25</v>
      </c>
      <c r="E37" s="189">
        <f t="shared" si="1"/>
        <v>-7472.25</v>
      </c>
    </row>
    <row r="38" spans="1:5" ht="18" customHeight="1" outlineLevel="2">
      <c r="A38" s="186" t="s">
        <v>1071</v>
      </c>
      <c r="B38" s="187" t="s">
        <v>266</v>
      </c>
      <c r="C38" s="188">
        <v>141026</v>
      </c>
      <c r="D38" s="189">
        <v>146697.5</v>
      </c>
      <c r="E38" s="189">
        <f t="shared" si="1"/>
        <v>-5671.5</v>
      </c>
    </row>
    <row r="39" spans="1:5" ht="18" customHeight="1" outlineLevel="2">
      <c r="A39" s="186" t="s">
        <v>1071</v>
      </c>
      <c r="B39" s="187" t="s">
        <v>1030</v>
      </c>
      <c r="C39" s="188">
        <v>84887</v>
      </c>
      <c r="D39" s="189">
        <v>64001</v>
      </c>
      <c r="E39" s="189">
        <f t="shared" si="1"/>
        <v>20886</v>
      </c>
    </row>
    <row r="40" spans="1:5" ht="18" customHeight="1" outlineLevel="1">
      <c r="A40" s="191" t="s">
        <v>259</v>
      </c>
      <c r="B40" s="187"/>
      <c r="C40" s="188">
        <f t="shared" ref="C40:E40" si="4">SUBTOTAL(9,C37:C39)</f>
        <v>249951</v>
      </c>
      <c r="D40" s="189">
        <f t="shared" si="4"/>
        <v>242208.75</v>
      </c>
      <c r="E40" s="189">
        <f t="shared" si="4"/>
        <v>7742.25</v>
      </c>
    </row>
    <row r="41" spans="1:5" ht="18" customHeight="1" outlineLevel="2">
      <c r="A41" s="186" t="s">
        <v>1072</v>
      </c>
      <c r="B41" s="187" t="s">
        <v>224</v>
      </c>
      <c r="C41" s="188">
        <v>111842.75</v>
      </c>
      <c r="D41" s="189">
        <v>161001.5</v>
      </c>
      <c r="E41" s="189">
        <f t="shared" si="1"/>
        <v>-49158.75</v>
      </c>
    </row>
    <row r="42" spans="1:5" ht="18" customHeight="1" outlineLevel="2">
      <c r="A42" s="186" t="s">
        <v>1072</v>
      </c>
      <c r="B42" s="187" t="s">
        <v>1040</v>
      </c>
      <c r="C42" s="188">
        <v>1912.5</v>
      </c>
      <c r="D42" s="189"/>
      <c r="E42" s="189">
        <f t="shared" si="1"/>
        <v>1912.5</v>
      </c>
    </row>
    <row r="43" spans="1:5" ht="18" customHeight="1" outlineLevel="2">
      <c r="A43" s="186" t="s">
        <v>1072</v>
      </c>
      <c r="B43" s="187" t="s">
        <v>225</v>
      </c>
      <c r="C43" s="188">
        <v>86015</v>
      </c>
      <c r="D43" s="189">
        <v>131196.5</v>
      </c>
      <c r="E43" s="189">
        <f t="shared" si="1"/>
        <v>-45181.5</v>
      </c>
    </row>
    <row r="44" spans="1:5" ht="18" customHeight="1" outlineLevel="1">
      <c r="A44" s="191" t="s">
        <v>260</v>
      </c>
      <c r="B44" s="187"/>
      <c r="C44" s="188">
        <f t="shared" ref="C44:E44" si="5">SUBTOTAL(9,C41:C43)</f>
        <v>199770.25</v>
      </c>
      <c r="D44" s="189">
        <f t="shared" si="5"/>
        <v>292198</v>
      </c>
      <c r="E44" s="189">
        <f t="shared" si="5"/>
        <v>-92427.75</v>
      </c>
    </row>
    <row r="45" spans="1:5" ht="18" customHeight="1" outlineLevel="2">
      <c r="A45" s="186" t="s">
        <v>1073</v>
      </c>
      <c r="B45" s="187" t="s">
        <v>249</v>
      </c>
      <c r="C45" s="188">
        <v>235209.5</v>
      </c>
      <c r="D45" s="189">
        <v>253414.25</v>
      </c>
      <c r="E45" s="189">
        <f t="shared" si="1"/>
        <v>-18204.75</v>
      </c>
    </row>
    <row r="46" spans="1:5" ht="18" customHeight="1" outlineLevel="2">
      <c r="A46" s="186" t="s">
        <v>1073</v>
      </c>
      <c r="B46" s="187" t="s">
        <v>251</v>
      </c>
      <c r="C46" s="188">
        <v>26520</v>
      </c>
      <c r="D46" s="189">
        <v>37867.5</v>
      </c>
      <c r="E46" s="189">
        <f t="shared" si="1"/>
        <v>-11347.5</v>
      </c>
    </row>
    <row r="47" spans="1:5" ht="18" customHeight="1" outlineLevel="2">
      <c r="A47" s="186" t="s">
        <v>1073</v>
      </c>
      <c r="B47" s="187" t="s">
        <v>248</v>
      </c>
      <c r="C47" s="188">
        <v>66453.5</v>
      </c>
      <c r="D47" s="189">
        <v>44046.5</v>
      </c>
      <c r="E47" s="189">
        <f t="shared" si="1"/>
        <v>22407</v>
      </c>
    </row>
    <row r="48" spans="1:5" ht="18" customHeight="1" outlineLevel="2">
      <c r="A48" s="186" t="s">
        <v>1073</v>
      </c>
      <c r="B48" s="187" t="s">
        <v>246</v>
      </c>
      <c r="C48" s="188">
        <v>71272.5</v>
      </c>
      <c r="D48" s="189">
        <v>49597.5</v>
      </c>
      <c r="E48" s="189">
        <f t="shared" si="1"/>
        <v>21675</v>
      </c>
    </row>
    <row r="49" spans="1:5" ht="18" customHeight="1" outlineLevel="2">
      <c r="A49" s="186" t="s">
        <v>1073</v>
      </c>
      <c r="B49" s="187" t="s">
        <v>1075</v>
      </c>
      <c r="C49" s="188"/>
      <c r="D49" s="189">
        <v>127.5</v>
      </c>
      <c r="E49" s="189">
        <f>C49-D49</f>
        <v>-127.5</v>
      </c>
    </row>
    <row r="50" spans="1:5" ht="18" customHeight="1" outlineLevel="2">
      <c r="A50" s="186" t="s">
        <v>1073</v>
      </c>
      <c r="B50" s="187" t="s">
        <v>245</v>
      </c>
      <c r="C50" s="188">
        <v>39082.5</v>
      </c>
      <c r="D50" s="189">
        <v>70329</v>
      </c>
      <c r="E50" s="189">
        <f t="shared" si="1"/>
        <v>-31246.5</v>
      </c>
    </row>
    <row r="51" spans="1:5" ht="18" customHeight="1" outlineLevel="2">
      <c r="A51" s="186" t="s">
        <v>1073</v>
      </c>
      <c r="B51" s="187" t="s">
        <v>247</v>
      </c>
      <c r="C51" s="188">
        <v>29281.5</v>
      </c>
      <c r="D51" s="189">
        <v>43104</v>
      </c>
      <c r="E51" s="189">
        <f t="shared" si="1"/>
        <v>-13822.5</v>
      </c>
    </row>
    <row r="52" spans="1:5" ht="18" customHeight="1" outlineLevel="2">
      <c r="A52" s="186" t="s">
        <v>1073</v>
      </c>
      <c r="B52" s="187" t="s">
        <v>250</v>
      </c>
      <c r="C52" s="188">
        <v>127.5</v>
      </c>
      <c r="D52" s="189"/>
      <c r="E52" s="189">
        <f t="shared" si="1"/>
        <v>127.5</v>
      </c>
    </row>
    <row r="53" spans="1:5" ht="18" customHeight="1" outlineLevel="1">
      <c r="A53" s="191" t="s">
        <v>261</v>
      </c>
      <c r="B53" s="187"/>
      <c r="C53" s="188">
        <f t="shared" ref="C53:E53" si="6">SUBTOTAL(9,C45:C52)</f>
        <v>467947</v>
      </c>
      <c r="D53" s="189">
        <f t="shared" si="6"/>
        <v>498486.25</v>
      </c>
      <c r="E53" s="189">
        <f t="shared" si="6"/>
        <v>-30539.25</v>
      </c>
    </row>
    <row r="54" spans="1:5" ht="18" customHeight="1" outlineLevel="2">
      <c r="A54" s="186" t="s">
        <v>1074</v>
      </c>
      <c r="B54" s="187" t="s">
        <v>222</v>
      </c>
      <c r="C54" s="188">
        <v>74857.5</v>
      </c>
      <c r="D54" s="189">
        <v>52657.5</v>
      </c>
      <c r="E54" s="189">
        <f t="shared" si="1"/>
        <v>22200</v>
      </c>
    </row>
    <row r="55" spans="1:5" ht="18" customHeight="1" outlineLevel="2">
      <c r="A55" s="186" t="s">
        <v>1074</v>
      </c>
      <c r="B55" s="187" t="s">
        <v>223</v>
      </c>
      <c r="C55" s="188">
        <v>31685.5</v>
      </c>
      <c r="D55" s="189">
        <v>40770</v>
      </c>
      <c r="E55" s="189">
        <f t="shared" si="1"/>
        <v>-9084.5</v>
      </c>
    </row>
    <row r="56" spans="1:5" ht="18" customHeight="1" outlineLevel="2">
      <c r="A56" s="186" t="s">
        <v>1074</v>
      </c>
      <c r="B56" s="177" t="s">
        <v>1052</v>
      </c>
      <c r="C56" s="188">
        <v>2240</v>
      </c>
      <c r="D56" s="189">
        <v>4256</v>
      </c>
      <c r="E56" s="189">
        <f t="shared" si="1"/>
        <v>-2016</v>
      </c>
    </row>
    <row r="57" spans="1:5" ht="18" customHeight="1" outlineLevel="2">
      <c r="A57" s="186" t="s">
        <v>1074</v>
      </c>
      <c r="B57" s="177" t="s">
        <v>654</v>
      </c>
      <c r="C57" s="188">
        <v>765</v>
      </c>
      <c r="D57" s="189">
        <v>7395</v>
      </c>
      <c r="E57" s="189">
        <f t="shared" si="1"/>
        <v>-6630</v>
      </c>
    </row>
    <row r="58" spans="1:5" ht="18" customHeight="1" outlineLevel="2">
      <c r="A58" s="186" t="s">
        <v>1074</v>
      </c>
      <c r="B58" s="187" t="s">
        <v>221</v>
      </c>
      <c r="C58" s="188">
        <v>46321.5</v>
      </c>
      <c r="D58" s="189">
        <v>13723.25</v>
      </c>
      <c r="E58" s="189">
        <f t="shared" si="1"/>
        <v>32598.25</v>
      </c>
    </row>
    <row r="59" spans="1:5" ht="18" customHeight="1" outlineLevel="1">
      <c r="A59" s="191" t="s">
        <v>262</v>
      </c>
      <c r="B59" s="187"/>
      <c r="C59" s="188">
        <f>SUBTOTAL(9,C54:C58)</f>
        <v>155869.5</v>
      </c>
      <c r="D59" s="189">
        <f>SUBTOTAL(9,D54:D58)</f>
        <v>118801.75</v>
      </c>
      <c r="E59" s="189">
        <f>SUBTOTAL(9,E54:E58)</f>
        <v>37067.75</v>
      </c>
    </row>
    <row r="60" spans="1:5" ht="18" customHeight="1">
      <c r="A60" s="191" t="s">
        <v>252</v>
      </c>
      <c r="B60" s="187"/>
      <c r="C60" s="188">
        <f>SUBTOTAL(9,C3:C58)</f>
        <v>2573915.75</v>
      </c>
      <c r="D60" s="189">
        <f>SUBTOTAL(9,D3:D58)</f>
        <v>2985860.13</v>
      </c>
      <c r="E60" s="189">
        <f>SUBTOTAL(9,E3:E58)</f>
        <v>-411944.38</v>
      </c>
    </row>
  </sheetData>
  <mergeCells count="1">
    <mergeCell ref="A1:E1"/>
  </mergeCells>
  <phoneticPr fontId="1" type="noConversion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C6"/>
  <sheetViews>
    <sheetView workbookViewId="0">
      <selection activeCell="A7" sqref="A7:XFD25"/>
    </sheetView>
  </sheetViews>
  <sheetFormatPr defaultColWidth="9" defaultRowHeight="13.5" outlineLevelRow="2"/>
  <cols>
    <col min="1" max="1" width="41.25" style="263" customWidth="1"/>
    <col min="2" max="2" width="31.25" customWidth="1"/>
    <col min="3" max="3" width="33.625" customWidth="1"/>
  </cols>
  <sheetData>
    <row r="1" spans="1:3" ht="24" customHeight="1">
      <c r="A1" s="389" t="s">
        <v>1322</v>
      </c>
      <c r="B1" s="389"/>
      <c r="C1" s="389"/>
    </row>
    <row r="2" spans="1:3" ht="15" customHeight="1">
      <c r="A2" s="260" t="s">
        <v>1</v>
      </c>
      <c r="B2" s="26" t="s">
        <v>1323</v>
      </c>
      <c r="C2" s="26" t="s">
        <v>1324</v>
      </c>
    </row>
    <row r="3" spans="1:3" ht="15" customHeight="1" outlineLevel="2">
      <c r="A3" s="262" t="s">
        <v>1041</v>
      </c>
      <c r="B3" s="26" t="s">
        <v>1325</v>
      </c>
      <c r="C3" s="26">
        <v>141814</v>
      </c>
    </row>
    <row r="4" spans="1:3" ht="15" customHeight="1" outlineLevel="2">
      <c r="A4" s="261" t="s">
        <v>225</v>
      </c>
      <c r="B4" s="260" t="s">
        <v>1325</v>
      </c>
      <c r="C4" s="260">
        <v>270916</v>
      </c>
    </row>
    <row r="5" spans="1:3" ht="15" customHeight="1" outlineLevel="2">
      <c r="A5" s="261" t="s">
        <v>224</v>
      </c>
      <c r="B5" s="26" t="s">
        <v>1325</v>
      </c>
      <c r="C5" s="26">
        <v>157730</v>
      </c>
    </row>
    <row r="6" spans="1:3" ht="15" customHeight="1" outlineLevel="1">
      <c r="A6" s="261"/>
      <c r="B6" s="264" t="s">
        <v>260</v>
      </c>
      <c r="C6" s="26">
        <f>SUBTOTAL(9,C3:C5)</f>
        <v>570460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L10"/>
  <sheetViews>
    <sheetView workbookViewId="0">
      <selection activeCell="A7" sqref="A7:XFD25"/>
    </sheetView>
  </sheetViews>
  <sheetFormatPr defaultRowHeight="15" outlineLevelRow="2"/>
  <cols>
    <col min="1" max="1" width="25.625" style="246" customWidth="1"/>
    <col min="2" max="2" width="11.25" style="246" customWidth="1"/>
    <col min="3" max="3" width="8.625" style="246" customWidth="1"/>
    <col min="4" max="4" width="8.5" style="246" customWidth="1"/>
    <col min="5" max="5" width="30.875" style="246" customWidth="1"/>
    <col min="6" max="6" width="20.5" style="246" customWidth="1"/>
    <col min="7" max="7" width="26.625" style="246" customWidth="1"/>
    <col min="8" max="8" width="7.25" style="246" customWidth="1"/>
    <col min="9" max="9" width="11.625" style="247" customWidth="1"/>
    <col min="10" max="10" width="12.5" style="322" customWidth="1"/>
    <col min="11" max="11" width="9" style="272"/>
    <col min="12" max="12" width="9" style="226"/>
    <col min="13" max="16384" width="9" style="227"/>
  </cols>
  <sheetData>
    <row r="1" spans="1:11" ht="22.5">
      <c r="A1" s="390" t="s">
        <v>1256</v>
      </c>
      <c r="B1" s="390"/>
      <c r="C1" s="390"/>
      <c r="D1" s="390"/>
      <c r="E1" s="390"/>
      <c r="F1" s="390"/>
      <c r="G1" s="390"/>
      <c r="H1" s="390"/>
      <c r="I1" s="390"/>
      <c r="J1" s="390"/>
    </row>
    <row r="2" spans="1:11" ht="29.1" customHeight="1">
      <c r="A2" s="228" t="s">
        <v>632</v>
      </c>
      <c r="B2" s="228" t="s">
        <v>1248</v>
      </c>
      <c r="C2" s="228" t="s">
        <v>955</v>
      </c>
      <c r="D2" s="228" t="s">
        <v>1241</v>
      </c>
      <c r="E2" s="228" t="s">
        <v>13</v>
      </c>
      <c r="F2" s="228" t="s">
        <v>1242</v>
      </c>
      <c r="G2" s="228" t="s">
        <v>1243</v>
      </c>
      <c r="H2" s="228" t="s">
        <v>1244</v>
      </c>
      <c r="I2" s="228" t="s">
        <v>1245</v>
      </c>
      <c r="J2" s="321" t="s">
        <v>1249</v>
      </c>
    </row>
    <row r="3" spans="1:11" ht="29.1" customHeight="1" outlineLevel="2">
      <c r="A3" s="240" t="s">
        <v>1255</v>
      </c>
      <c r="B3" s="241" t="s">
        <v>8</v>
      </c>
      <c r="C3" s="241" t="s">
        <v>464</v>
      </c>
      <c r="D3" s="241" t="s">
        <v>1247</v>
      </c>
      <c r="E3" s="242" t="s">
        <v>1250</v>
      </c>
      <c r="F3" s="229" t="s">
        <v>1251</v>
      </c>
      <c r="G3" s="242" t="s">
        <v>1252</v>
      </c>
      <c r="H3" s="241">
        <v>1</v>
      </c>
      <c r="I3" s="230">
        <v>800000</v>
      </c>
      <c r="J3" s="316">
        <f t="shared" ref="J3" si="0">I3*H3</f>
        <v>800000</v>
      </c>
    </row>
    <row r="4" spans="1:11" ht="29.1" customHeight="1" outlineLevel="2">
      <c r="A4" s="319" t="s">
        <v>1040</v>
      </c>
      <c r="B4" s="320" t="s">
        <v>8</v>
      </c>
      <c r="C4" s="320" t="s">
        <v>1401</v>
      </c>
      <c r="D4" s="320" t="s">
        <v>1403</v>
      </c>
      <c r="E4" s="317" t="s">
        <v>1402</v>
      </c>
      <c r="F4" s="317" t="s">
        <v>1402</v>
      </c>
      <c r="G4" s="317" t="s">
        <v>1402</v>
      </c>
      <c r="H4" s="320">
        <v>1</v>
      </c>
      <c r="I4" s="318">
        <v>90000</v>
      </c>
      <c r="J4" s="318">
        <f>H4*I4</f>
        <v>90000</v>
      </c>
    </row>
    <row r="5" spans="1:11" ht="29.1" customHeight="1" outlineLevel="2">
      <c r="A5" s="319" t="s">
        <v>224</v>
      </c>
      <c r="B5" s="320" t="s">
        <v>8</v>
      </c>
      <c r="C5" s="320" t="s">
        <v>1401</v>
      </c>
      <c r="D5" s="320" t="s">
        <v>1403</v>
      </c>
      <c r="E5" s="317" t="s">
        <v>1402</v>
      </c>
      <c r="F5" s="317" t="s">
        <v>1402</v>
      </c>
      <c r="G5" s="317" t="s">
        <v>1402</v>
      </c>
      <c r="H5" s="320">
        <v>1</v>
      </c>
      <c r="I5" s="318">
        <v>105000</v>
      </c>
      <c r="J5" s="318">
        <f>H5*I5</f>
        <v>105000</v>
      </c>
    </row>
    <row r="6" spans="1:11" ht="29.1" customHeight="1" outlineLevel="2">
      <c r="A6" s="319" t="s">
        <v>225</v>
      </c>
      <c r="B6" s="320" t="s">
        <v>8</v>
      </c>
      <c r="C6" s="320" t="s">
        <v>1401</v>
      </c>
      <c r="D6" s="320" t="s">
        <v>1403</v>
      </c>
      <c r="E6" s="317" t="s">
        <v>1402</v>
      </c>
      <c r="F6" s="317" t="s">
        <v>1402</v>
      </c>
      <c r="G6" s="317" t="s">
        <v>1402</v>
      </c>
      <c r="H6" s="320">
        <v>1</v>
      </c>
      <c r="I6" s="318">
        <v>105000</v>
      </c>
      <c r="J6" s="318">
        <f>H6*I6</f>
        <v>105000</v>
      </c>
    </row>
    <row r="7" spans="1:11" ht="29.1" customHeight="1" outlineLevel="2">
      <c r="A7" s="243" t="s">
        <v>224</v>
      </c>
      <c r="B7" s="232" t="s">
        <v>8</v>
      </c>
      <c r="C7" s="232" t="s">
        <v>958</v>
      </c>
      <c r="D7" s="244" t="s">
        <v>1247</v>
      </c>
      <c r="E7" s="231" t="s">
        <v>1253</v>
      </c>
      <c r="F7" s="231" t="s">
        <v>1253</v>
      </c>
      <c r="G7" s="233" t="s">
        <v>1254</v>
      </c>
      <c r="H7" s="232">
        <v>1</v>
      </c>
      <c r="I7" s="234">
        <v>500000</v>
      </c>
      <c r="J7" s="234">
        <v>500000</v>
      </c>
      <c r="K7" s="273"/>
    </row>
    <row r="8" spans="1:11" ht="29.1" customHeight="1" outlineLevel="2">
      <c r="A8" s="243" t="s">
        <v>1040</v>
      </c>
      <c r="B8" s="232" t="s">
        <v>8</v>
      </c>
      <c r="C8" s="232" t="s">
        <v>958</v>
      </c>
      <c r="D8" s="244" t="s">
        <v>1247</v>
      </c>
      <c r="E8" s="231" t="s">
        <v>1253</v>
      </c>
      <c r="F8" s="231" t="s">
        <v>1253</v>
      </c>
      <c r="G8" s="233" t="s">
        <v>1254</v>
      </c>
      <c r="H8" s="232">
        <v>1</v>
      </c>
      <c r="I8" s="234">
        <v>500000</v>
      </c>
      <c r="J8" s="234">
        <v>500000</v>
      </c>
      <c r="K8" s="273"/>
    </row>
    <row r="9" spans="1:11" ht="29.1" customHeight="1" outlineLevel="2">
      <c r="A9" s="243" t="s">
        <v>225</v>
      </c>
      <c r="B9" s="232" t="s">
        <v>8</v>
      </c>
      <c r="C9" s="232" t="s">
        <v>958</v>
      </c>
      <c r="D9" s="244" t="s">
        <v>1247</v>
      </c>
      <c r="E9" s="231" t="s">
        <v>1253</v>
      </c>
      <c r="F9" s="231" t="s">
        <v>1253</v>
      </c>
      <c r="G9" s="233" t="s">
        <v>1254</v>
      </c>
      <c r="H9" s="232">
        <v>1</v>
      </c>
      <c r="I9" s="234">
        <v>500000</v>
      </c>
      <c r="J9" s="234">
        <v>500000</v>
      </c>
      <c r="K9" s="273"/>
    </row>
    <row r="10" spans="1:11" ht="29.1" customHeight="1" outlineLevel="1">
      <c r="A10" s="100"/>
      <c r="B10" s="236" t="s">
        <v>260</v>
      </c>
      <c r="C10" s="237"/>
      <c r="D10" s="245"/>
      <c r="E10" s="235"/>
      <c r="F10" s="235"/>
      <c r="G10" s="238"/>
      <c r="H10" s="237"/>
      <c r="I10" s="239"/>
      <c r="J10" s="239">
        <f>SUBTOTAL(9,J3:J9)</f>
        <v>2600000</v>
      </c>
      <c r="K10" s="273"/>
    </row>
  </sheetData>
  <autoFilter ref="A2:L10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L9"/>
  <sheetViews>
    <sheetView workbookViewId="0">
      <selection activeCell="A7" sqref="A7:XFD25"/>
    </sheetView>
  </sheetViews>
  <sheetFormatPr defaultRowHeight="13.5"/>
  <cols>
    <col min="1" max="1" width="12.875" style="258" customWidth="1"/>
    <col min="2" max="2" width="11.25" style="258" customWidth="1"/>
    <col min="3" max="3" width="12.625" style="258" customWidth="1"/>
    <col min="4" max="4" width="20.375" style="258" customWidth="1"/>
    <col min="5" max="5" width="10" style="258" customWidth="1"/>
    <col min="6" max="6" width="20.375" style="258" customWidth="1"/>
    <col min="7" max="7" width="22.5" style="258" customWidth="1"/>
    <col min="8" max="8" width="8.5" style="250" bestFit="1" customWidth="1"/>
    <col min="9" max="9" width="10.875" style="258" bestFit="1" customWidth="1"/>
    <col min="10" max="10" width="5.25" style="258" bestFit="1" customWidth="1"/>
    <col min="11" max="11" width="11.75" style="258" bestFit="1" customWidth="1"/>
    <col min="12" max="12" width="15.875" style="258" customWidth="1"/>
    <col min="13" max="13" width="9" style="258"/>
    <col min="14" max="14" width="11.625" style="258" bestFit="1" customWidth="1"/>
    <col min="15" max="16384" width="9" style="258"/>
  </cols>
  <sheetData>
    <row r="1" spans="1:12" s="195" customFormat="1" ht="39.75" customHeight="1">
      <c r="A1" s="391" t="s">
        <v>1334</v>
      </c>
      <c r="B1" s="392"/>
      <c r="C1" s="392"/>
      <c r="D1" s="392"/>
      <c r="E1" s="392"/>
      <c r="F1" s="392"/>
      <c r="G1" s="392"/>
      <c r="H1" s="392"/>
      <c r="I1" s="392"/>
      <c r="J1" s="392"/>
      <c r="K1" s="392"/>
      <c r="L1" s="392"/>
    </row>
    <row r="2" spans="1:12" s="195" customFormat="1" ht="36">
      <c r="A2" s="254" t="s">
        <v>1289</v>
      </c>
      <c r="B2" s="254" t="s">
        <v>1280</v>
      </c>
      <c r="C2" s="254" t="s">
        <v>1281</v>
      </c>
      <c r="D2" s="254" t="s">
        <v>1282</v>
      </c>
      <c r="E2" s="254" t="s">
        <v>1283</v>
      </c>
      <c r="F2" s="254" t="s">
        <v>1284</v>
      </c>
      <c r="G2" s="254" t="s">
        <v>1285</v>
      </c>
      <c r="H2" s="254" t="s">
        <v>1286</v>
      </c>
      <c r="I2" s="254" t="s">
        <v>1245</v>
      </c>
      <c r="J2" s="254" t="s">
        <v>1244</v>
      </c>
      <c r="K2" s="254" t="s">
        <v>1246</v>
      </c>
      <c r="L2" s="254" t="s">
        <v>1287</v>
      </c>
    </row>
    <row r="3" spans="1:12" s="195" customFormat="1" ht="27.95" customHeight="1">
      <c r="A3" s="249" t="s">
        <v>1288</v>
      </c>
      <c r="B3" s="249" t="s">
        <v>1290</v>
      </c>
      <c r="C3" s="255" t="s">
        <v>1291</v>
      </c>
      <c r="D3" s="271" t="s">
        <v>1298</v>
      </c>
      <c r="E3" s="271" t="s">
        <v>1299</v>
      </c>
      <c r="F3" s="271" t="s">
        <v>1300</v>
      </c>
      <c r="G3" s="271" t="s">
        <v>1301</v>
      </c>
      <c r="H3" s="249" t="s">
        <v>1292</v>
      </c>
      <c r="I3" s="256">
        <v>2800000</v>
      </c>
      <c r="J3" s="257">
        <v>1</v>
      </c>
      <c r="K3" s="256">
        <v>0</v>
      </c>
      <c r="L3" s="249" t="s">
        <v>1419</v>
      </c>
    </row>
    <row r="4" spans="1:12" s="195" customFormat="1" ht="27.95" customHeight="1">
      <c r="A4" s="249" t="s">
        <v>1302</v>
      </c>
      <c r="B4" s="249" t="s">
        <v>1297</v>
      </c>
      <c r="C4" s="255" t="s">
        <v>1293</v>
      </c>
      <c r="D4" s="271" t="s">
        <v>1303</v>
      </c>
      <c r="E4" s="271" t="s">
        <v>1304</v>
      </c>
      <c r="F4" s="271" t="s">
        <v>1294</v>
      </c>
      <c r="G4" s="271" t="s">
        <v>1295</v>
      </c>
      <c r="H4" s="249" t="s">
        <v>1296</v>
      </c>
      <c r="I4" s="256">
        <v>7000</v>
      </c>
      <c r="J4" s="257">
        <v>64</v>
      </c>
      <c r="K4" s="256">
        <f t="shared" ref="K4:K8" si="0">I4*J4</f>
        <v>448000</v>
      </c>
      <c r="L4" s="249"/>
    </row>
    <row r="5" spans="1:12" s="195" customFormat="1" ht="27.95" customHeight="1">
      <c r="A5" s="249" t="s">
        <v>1302</v>
      </c>
      <c r="B5" s="249" t="s">
        <v>1297</v>
      </c>
      <c r="C5" s="255" t="s">
        <v>1293</v>
      </c>
      <c r="D5" s="271" t="s">
        <v>1303</v>
      </c>
      <c r="E5" s="271" t="s">
        <v>1305</v>
      </c>
      <c r="F5" s="271" t="s">
        <v>1294</v>
      </c>
      <c r="G5" s="271" t="s">
        <v>1295</v>
      </c>
      <c r="H5" s="249" t="s">
        <v>1296</v>
      </c>
      <c r="I5" s="256">
        <v>7000</v>
      </c>
      <c r="J5" s="257">
        <v>8</v>
      </c>
      <c r="K5" s="256">
        <f t="shared" si="0"/>
        <v>56000</v>
      </c>
      <c r="L5" s="249"/>
    </row>
    <row r="6" spans="1:12" s="195" customFormat="1" ht="27.95" customHeight="1">
      <c r="A6" s="249" t="s">
        <v>1302</v>
      </c>
      <c r="B6" s="249" t="s">
        <v>1297</v>
      </c>
      <c r="C6" s="255" t="s">
        <v>1306</v>
      </c>
      <c r="D6" s="271" t="s">
        <v>1307</v>
      </c>
      <c r="E6" s="271" t="s">
        <v>1308</v>
      </c>
      <c r="F6" s="271" t="s">
        <v>1308</v>
      </c>
      <c r="G6" s="271" t="s">
        <v>1309</v>
      </c>
      <c r="H6" s="249" t="s">
        <v>1310</v>
      </c>
      <c r="I6" s="256">
        <v>147900</v>
      </c>
      <c r="J6" s="257">
        <v>1</v>
      </c>
      <c r="K6" s="256">
        <f t="shared" si="0"/>
        <v>147900</v>
      </c>
      <c r="L6" s="249" t="s">
        <v>1311</v>
      </c>
    </row>
    <row r="7" spans="1:12" s="195" customFormat="1" ht="27.95" customHeight="1">
      <c r="A7" s="249" t="s">
        <v>1312</v>
      </c>
      <c r="B7" s="249" t="s">
        <v>1313</v>
      </c>
      <c r="C7" s="255" t="s">
        <v>1306</v>
      </c>
      <c r="D7" s="271" t="s">
        <v>1314</v>
      </c>
      <c r="E7" s="271" t="s">
        <v>1308</v>
      </c>
      <c r="F7" s="271" t="s">
        <v>1308</v>
      </c>
      <c r="G7" s="271" t="s">
        <v>1315</v>
      </c>
      <c r="H7" s="249" t="s">
        <v>1310</v>
      </c>
      <c r="I7" s="256">
        <v>251000</v>
      </c>
      <c r="J7" s="257">
        <v>1</v>
      </c>
      <c r="K7" s="256">
        <f t="shared" si="0"/>
        <v>251000</v>
      </c>
      <c r="L7" s="249" t="s">
        <v>1311</v>
      </c>
    </row>
    <row r="8" spans="1:12" s="195" customFormat="1" ht="27.95" customHeight="1">
      <c r="A8" s="249" t="s">
        <v>1312</v>
      </c>
      <c r="B8" s="249" t="s">
        <v>1313</v>
      </c>
      <c r="C8" s="255" t="s">
        <v>1316</v>
      </c>
      <c r="D8" s="271" t="s">
        <v>1317</v>
      </c>
      <c r="E8" s="271" t="s">
        <v>1318</v>
      </c>
      <c r="F8" s="271" t="s">
        <v>1319</v>
      </c>
      <c r="G8" s="271" t="s">
        <v>1320</v>
      </c>
      <c r="H8" s="249" t="s">
        <v>1321</v>
      </c>
      <c r="I8" s="256">
        <v>500</v>
      </c>
      <c r="J8" s="257">
        <v>504</v>
      </c>
      <c r="K8" s="256">
        <f t="shared" si="0"/>
        <v>252000</v>
      </c>
      <c r="L8" s="249"/>
    </row>
    <row r="9" spans="1:12" s="195" customFormat="1" ht="27.95" customHeight="1">
      <c r="A9" s="248" t="s">
        <v>949</v>
      </c>
      <c r="B9" s="249"/>
      <c r="C9" s="255"/>
      <c r="D9" s="271"/>
      <c r="E9" s="271"/>
      <c r="F9" s="271"/>
      <c r="G9" s="271"/>
      <c r="H9" s="249"/>
      <c r="I9" s="256"/>
      <c r="J9" s="257"/>
      <c r="K9" s="256">
        <f>SUBTOTAL(9,K3:K8)</f>
        <v>1154900</v>
      </c>
      <c r="L9" s="249"/>
    </row>
  </sheetData>
  <autoFilter ref="A2:N9"/>
  <mergeCells count="1">
    <mergeCell ref="A1:L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J66"/>
  <sheetViews>
    <sheetView topLeftCell="A37" workbookViewId="0">
      <selection activeCell="A7" sqref="A7:XFD25"/>
    </sheetView>
  </sheetViews>
  <sheetFormatPr defaultColWidth="8.875" defaultRowHeight="12"/>
  <cols>
    <col min="1" max="1" width="6.5" style="304" customWidth="1"/>
    <col min="2" max="3" width="9.5" style="304" customWidth="1"/>
    <col min="4" max="4" width="19.25" style="304" customWidth="1"/>
    <col min="5" max="5" width="18.625" style="304" customWidth="1"/>
    <col min="6" max="6" width="6.25" style="304" customWidth="1"/>
    <col min="7" max="7" width="13.5" style="305" customWidth="1"/>
    <col min="8" max="8" width="18.75" style="306" customWidth="1"/>
    <col min="9" max="9" width="19.375" style="307" customWidth="1"/>
    <col min="10" max="10" width="11.5" style="315" customWidth="1"/>
    <col min="11" max="16384" width="8.875" style="274"/>
  </cols>
  <sheetData>
    <row r="1" spans="1:10" ht="25.5" customHeight="1">
      <c r="A1" s="397" t="s">
        <v>1396</v>
      </c>
      <c r="B1" s="398"/>
      <c r="C1" s="398"/>
      <c r="D1" s="398"/>
      <c r="E1" s="398"/>
      <c r="F1" s="398"/>
      <c r="G1" s="398"/>
      <c r="H1" s="398"/>
      <c r="I1" s="398"/>
      <c r="J1" s="399"/>
    </row>
    <row r="2" spans="1:10">
      <c r="A2" s="394" t="s">
        <v>12</v>
      </c>
      <c r="B2" s="394" t="s">
        <v>1259</v>
      </c>
      <c r="C2" s="394" t="s">
        <v>1260</v>
      </c>
      <c r="D2" s="394" t="s">
        <v>1261</v>
      </c>
      <c r="E2" s="394" t="s">
        <v>1262</v>
      </c>
      <c r="F2" s="394" t="s">
        <v>1</v>
      </c>
      <c r="G2" s="395" t="s">
        <v>1335</v>
      </c>
      <c r="H2" s="395"/>
      <c r="I2" s="396"/>
      <c r="J2" s="418" t="s">
        <v>1395</v>
      </c>
    </row>
    <row r="3" spans="1:10">
      <c r="A3" s="394"/>
      <c r="B3" s="394"/>
      <c r="C3" s="394"/>
      <c r="D3" s="394"/>
      <c r="E3" s="394"/>
      <c r="F3" s="394"/>
      <c r="G3" s="163" t="s">
        <v>1263</v>
      </c>
      <c r="H3" s="275" t="s">
        <v>1264</v>
      </c>
      <c r="I3" s="310" t="s">
        <v>1265</v>
      </c>
      <c r="J3" s="418"/>
    </row>
    <row r="4" spans="1:10" s="170" customFormat="1" ht="24">
      <c r="A4" s="393">
        <v>1</v>
      </c>
      <c r="B4" s="393" t="s">
        <v>1397</v>
      </c>
      <c r="C4" s="400" t="s">
        <v>1266</v>
      </c>
      <c r="D4" s="393" t="s">
        <v>1336</v>
      </c>
      <c r="E4" s="277" t="s">
        <v>1337</v>
      </c>
      <c r="F4" s="277" t="s">
        <v>1338</v>
      </c>
      <c r="G4" s="137">
        <v>581.04</v>
      </c>
      <c r="H4" s="278">
        <v>200</v>
      </c>
      <c r="I4" s="312">
        <v>116208</v>
      </c>
      <c r="J4" s="419">
        <f>ROUND(I10*0.8,0)</f>
        <v>292350</v>
      </c>
    </row>
    <row r="5" spans="1:10" s="170" customFormat="1" ht="13.5">
      <c r="A5" s="393"/>
      <c r="B5" s="393"/>
      <c r="C5" s="400"/>
      <c r="D5" s="393"/>
      <c r="E5" s="277" t="s">
        <v>1339</v>
      </c>
      <c r="F5" s="277" t="s">
        <v>1338</v>
      </c>
      <c r="G5" s="416">
        <v>1150</v>
      </c>
      <c r="H5" s="414">
        <v>168</v>
      </c>
      <c r="I5" s="401">
        <v>193200</v>
      </c>
      <c r="J5" s="420"/>
    </row>
    <row r="6" spans="1:10" s="170" customFormat="1" ht="24">
      <c r="A6" s="393"/>
      <c r="B6" s="393"/>
      <c r="C6" s="400"/>
      <c r="D6" s="393"/>
      <c r="E6" s="277" t="s">
        <v>1340</v>
      </c>
      <c r="F6" s="277" t="s">
        <v>1338</v>
      </c>
      <c r="G6" s="417"/>
      <c r="H6" s="415"/>
      <c r="I6" s="402"/>
      <c r="J6" s="420"/>
    </row>
    <row r="7" spans="1:10" s="170" customFormat="1" ht="13.5">
      <c r="A7" s="393"/>
      <c r="B7" s="393"/>
      <c r="C7" s="400"/>
      <c r="D7" s="279" t="s">
        <v>1268</v>
      </c>
      <c r="E7" s="277"/>
      <c r="F7" s="277"/>
      <c r="G7" s="75"/>
      <c r="H7" s="278"/>
      <c r="I7" s="313">
        <v>309408</v>
      </c>
      <c r="J7" s="420"/>
    </row>
    <row r="8" spans="1:10" s="170" customFormat="1" ht="13.5">
      <c r="A8" s="393"/>
      <c r="B8" s="393"/>
      <c r="C8" s="400"/>
      <c r="D8" s="279" t="s">
        <v>1269</v>
      </c>
      <c r="E8" s="277"/>
      <c r="F8" s="277"/>
      <c r="G8" s="137"/>
      <c r="H8" s="278"/>
      <c r="I8" s="313">
        <v>37128.959999999999</v>
      </c>
      <c r="J8" s="420"/>
    </row>
    <row r="9" spans="1:10" s="170" customFormat="1" ht="13.5">
      <c r="A9" s="393"/>
      <c r="B9" s="393"/>
      <c r="C9" s="400"/>
      <c r="D9" s="280" t="s">
        <v>1270</v>
      </c>
      <c r="E9" s="277"/>
      <c r="F9" s="277" t="s">
        <v>1341</v>
      </c>
      <c r="G9" s="281">
        <v>21</v>
      </c>
      <c r="H9" s="282">
        <v>900</v>
      </c>
      <c r="I9" s="312">
        <v>18900</v>
      </c>
      <c r="J9" s="420"/>
    </row>
    <row r="10" spans="1:10" s="170" customFormat="1" ht="13.5">
      <c r="A10" s="393"/>
      <c r="B10" s="393"/>
      <c r="C10" s="400"/>
      <c r="D10" s="279" t="s">
        <v>1272</v>
      </c>
      <c r="E10" s="277"/>
      <c r="F10" s="277"/>
      <c r="G10" s="75"/>
      <c r="H10" s="278"/>
      <c r="I10" s="313">
        <v>365436.96</v>
      </c>
      <c r="J10" s="421"/>
    </row>
    <row r="11" spans="1:10" s="170" customFormat="1" ht="24">
      <c r="A11" s="393">
        <v>2</v>
      </c>
      <c r="B11" s="393" t="s">
        <v>1398</v>
      </c>
      <c r="C11" s="400" t="s">
        <v>1342</v>
      </c>
      <c r="D11" s="393" t="s">
        <v>1336</v>
      </c>
      <c r="E11" s="277" t="s">
        <v>1343</v>
      </c>
      <c r="F11" s="277" t="s">
        <v>1338</v>
      </c>
      <c r="G11" s="137">
        <v>5465</v>
      </c>
      <c r="H11" s="278">
        <v>145</v>
      </c>
      <c r="I11" s="312">
        <v>792425</v>
      </c>
      <c r="J11" s="422">
        <f>ROUND(I15*0.9,0)</f>
        <v>900630</v>
      </c>
    </row>
    <row r="12" spans="1:10" s="170" customFormat="1" ht="13.5">
      <c r="A12" s="393"/>
      <c r="B12" s="393"/>
      <c r="C12" s="400"/>
      <c r="D12" s="393"/>
      <c r="E12" s="277" t="s">
        <v>1344</v>
      </c>
      <c r="F12" s="277" t="s">
        <v>1338</v>
      </c>
      <c r="G12" s="137">
        <v>400</v>
      </c>
      <c r="H12" s="278">
        <v>265.68714999999997</v>
      </c>
      <c r="I12" s="312">
        <v>106274.86</v>
      </c>
      <c r="J12" s="423"/>
    </row>
    <row r="13" spans="1:10" s="170" customFormat="1" ht="13.5">
      <c r="A13" s="393"/>
      <c r="B13" s="393"/>
      <c r="C13" s="400"/>
      <c r="D13" s="279" t="s">
        <v>1268</v>
      </c>
      <c r="E13" s="277"/>
      <c r="F13" s="277"/>
      <c r="G13" s="75"/>
      <c r="H13" s="278"/>
      <c r="I13" s="313">
        <v>898699.86</v>
      </c>
      <c r="J13" s="423"/>
    </row>
    <row r="14" spans="1:10" s="170" customFormat="1" ht="13.5">
      <c r="A14" s="393"/>
      <c r="B14" s="393"/>
      <c r="C14" s="400"/>
      <c r="D14" s="279" t="s">
        <v>1269</v>
      </c>
      <c r="E14" s="277"/>
      <c r="F14" s="277"/>
      <c r="G14" s="137"/>
      <c r="H14" s="278"/>
      <c r="I14" s="313">
        <v>102000</v>
      </c>
      <c r="J14" s="423"/>
    </row>
    <row r="15" spans="1:10" s="170" customFormat="1" ht="13.5">
      <c r="A15" s="393"/>
      <c r="B15" s="393"/>
      <c r="C15" s="400"/>
      <c r="D15" s="279" t="s">
        <v>1272</v>
      </c>
      <c r="E15" s="277"/>
      <c r="F15" s="277"/>
      <c r="G15" s="75"/>
      <c r="H15" s="278"/>
      <c r="I15" s="313">
        <v>1000699.86</v>
      </c>
      <c r="J15" s="424"/>
    </row>
    <row r="16" spans="1:10" s="170" customFormat="1" ht="24">
      <c r="A16" s="393">
        <v>3</v>
      </c>
      <c r="B16" s="393" t="s">
        <v>1399</v>
      </c>
      <c r="C16" s="400" t="s">
        <v>1342</v>
      </c>
      <c r="D16" s="277" t="s">
        <v>1336</v>
      </c>
      <c r="E16" s="277" t="s">
        <v>1345</v>
      </c>
      <c r="F16" s="277" t="s">
        <v>1338</v>
      </c>
      <c r="G16" s="137">
        <v>280</v>
      </c>
      <c r="H16" s="283">
        <v>2719.64</v>
      </c>
      <c r="I16" s="303">
        <v>761506.91</v>
      </c>
      <c r="J16" s="422">
        <f>ROUND(I23*0.8,0)</f>
        <v>1029095</v>
      </c>
    </row>
    <row r="17" spans="1:10" s="170" customFormat="1" ht="24">
      <c r="A17" s="393"/>
      <c r="B17" s="393"/>
      <c r="C17" s="400"/>
      <c r="D17" s="393" t="s">
        <v>1346</v>
      </c>
      <c r="E17" s="277" t="s">
        <v>1347</v>
      </c>
      <c r="F17" s="277" t="s">
        <v>1338</v>
      </c>
      <c r="G17" s="416">
        <v>1150</v>
      </c>
      <c r="H17" s="414">
        <v>319</v>
      </c>
      <c r="I17" s="401">
        <v>366850</v>
      </c>
      <c r="J17" s="423"/>
    </row>
    <row r="18" spans="1:10" s="170" customFormat="1" ht="24">
      <c r="A18" s="393"/>
      <c r="B18" s="393"/>
      <c r="C18" s="400"/>
      <c r="D18" s="393"/>
      <c r="E18" s="277" t="s">
        <v>1348</v>
      </c>
      <c r="F18" s="277" t="s">
        <v>1338</v>
      </c>
      <c r="G18" s="417"/>
      <c r="H18" s="415"/>
      <c r="I18" s="402"/>
      <c r="J18" s="423"/>
    </row>
    <row r="19" spans="1:10" s="170" customFormat="1" ht="13.5">
      <c r="A19" s="393"/>
      <c r="B19" s="393"/>
      <c r="C19" s="400"/>
      <c r="D19" s="393"/>
      <c r="E19" s="277" t="s">
        <v>1349</v>
      </c>
      <c r="F19" s="277" t="s">
        <v>1267</v>
      </c>
      <c r="G19" s="137">
        <v>1</v>
      </c>
      <c r="H19" s="278">
        <v>9661.44</v>
      </c>
      <c r="I19" s="312">
        <v>9661.44</v>
      </c>
      <c r="J19" s="423"/>
    </row>
    <row r="20" spans="1:10" s="170" customFormat="1" ht="13.5">
      <c r="A20" s="393"/>
      <c r="B20" s="393"/>
      <c r="C20" s="400"/>
      <c r="D20" s="279" t="s">
        <v>1268</v>
      </c>
      <c r="E20" s="277"/>
      <c r="F20" s="277"/>
      <c r="G20" s="75"/>
      <c r="H20" s="278"/>
      <c r="I20" s="313">
        <v>1138018.3500000001</v>
      </c>
      <c r="J20" s="423"/>
    </row>
    <row r="21" spans="1:10" s="170" customFormat="1" ht="13.5">
      <c r="A21" s="393"/>
      <c r="B21" s="393"/>
      <c r="C21" s="400"/>
      <c r="D21" s="279" t="s">
        <v>1269</v>
      </c>
      <c r="E21" s="277"/>
      <c r="F21" s="277"/>
      <c r="G21" s="137"/>
      <c r="H21" s="278"/>
      <c r="I21" s="313">
        <v>118350</v>
      </c>
      <c r="J21" s="423"/>
    </row>
    <row r="22" spans="1:10" s="170" customFormat="1" ht="13.5">
      <c r="A22" s="393"/>
      <c r="B22" s="393"/>
      <c r="C22" s="400"/>
      <c r="D22" s="280" t="s">
        <v>1271</v>
      </c>
      <c r="E22" s="277" t="s">
        <v>1350</v>
      </c>
      <c r="F22" s="277" t="s">
        <v>1267</v>
      </c>
      <c r="G22" s="281">
        <v>1</v>
      </c>
      <c r="H22" s="282">
        <v>30000</v>
      </c>
      <c r="I22" s="312">
        <v>30000</v>
      </c>
      <c r="J22" s="423"/>
    </row>
    <row r="23" spans="1:10" s="170" customFormat="1" ht="13.5">
      <c r="A23" s="393"/>
      <c r="B23" s="393"/>
      <c r="C23" s="400"/>
      <c r="D23" s="279" t="s">
        <v>1272</v>
      </c>
      <c r="E23" s="277"/>
      <c r="F23" s="277"/>
      <c r="G23" s="75"/>
      <c r="H23" s="278"/>
      <c r="I23" s="313">
        <v>1286368.3500000001</v>
      </c>
      <c r="J23" s="424"/>
    </row>
    <row r="24" spans="1:10" s="170" customFormat="1" ht="24">
      <c r="A24" s="393">
        <v>4</v>
      </c>
      <c r="B24" s="393" t="s">
        <v>1400</v>
      </c>
      <c r="C24" s="400" t="s">
        <v>1342</v>
      </c>
      <c r="D24" s="393" t="s">
        <v>1336</v>
      </c>
      <c r="E24" s="277" t="s">
        <v>1351</v>
      </c>
      <c r="F24" s="277" t="s">
        <v>1338</v>
      </c>
      <c r="G24" s="137">
        <v>172</v>
      </c>
      <c r="H24" s="278">
        <v>300</v>
      </c>
      <c r="I24" s="312">
        <v>51600</v>
      </c>
      <c r="J24" s="422">
        <f>ROUND(I29*0.8,0)</f>
        <v>410010</v>
      </c>
    </row>
    <row r="25" spans="1:10" s="170" customFormat="1" ht="36">
      <c r="A25" s="393"/>
      <c r="B25" s="393"/>
      <c r="C25" s="400"/>
      <c r="D25" s="393"/>
      <c r="E25" s="277" t="s">
        <v>1352</v>
      </c>
      <c r="F25" s="277" t="s">
        <v>1338</v>
      </c>
      <c r="G25" s="137">
        <v>2800</v>
      </c>
      <c r="H25" s="278">
        <v>25</v>
      </c>
      <c r="I25" s="312">
        <v>70000</v>
      </c>
      <c r="J25" s="423"/>
    </row>
    <row r="26" spans="1:10" s="170" customFormat="1" ht="13.5">
      <c r="A26" s="393"/>
      <c r="B26" s="393"/>
      <c r="C26" s="400"/>
      <c r="D26" s="393"/>
      <c r="E26" s="277" t="s">
        <v>1353</v>
      </c>
      <c r="F26" s="277" t="s">
        <v>1338</v>
      </c>
      <c r="G26" s="137">
        <v>2800</v>
      </c>
      <c r="H26" s="278">
        <v>120</v>
      </c>
      <c r="I26" s="312">
        <v>336000</v>
      </c>
      <c r="J26" s="423"/>
    </row>
    <row r="27" spans="1:10" s="170" customFormat="1" ht="13.5">
      <c r="A27" s="393"/>
      <c r="B27" s="393"/>
      <c r="C27" s="400"/>
      <c r="D27" s="279" t="s">
        <v>1268</v>
      </c>
      <c r="E27" s="277"/>
      <c r="F27" s="277"/>
      <c r="G27" s="75"/>
      <c r="H27" s="278"/>
      <c r="I27" s="313">
        <v>457600</v>
      </c>
      <c r="J27" s="423"/>
    </row>
    <row r="28" spans="1:10" s="170" customFormat="1" ht="13.5">
      <c r="A28" s="393"/>
      <c r="B28" s="393"/>
      <c r="C28" s="400"/>
      <c r="D28" s="279" t="s">
        <v>1269</v>
      </c>
      <c r="E28" s="277"/>
      <c r="F28" s="277"/>
      <c r="G28" s="137"/>
      <c r="H28" s="278"/>
      <c r="I28" s="313">
        <v>54912</v>
      </c>
      <c r="J28" s="423"/>
    </row>
    <row r="29" spans="1:10" s="170" customFormat="1" ht="13.5">
      <c r="A29" s="393"/>
      <c r="B29" s="393"/>
      <c r="C29" s="400"/>
      <c r="D29" s="279" t="s">
        <v>1272</v>
      </c>
      <c r="E29" s="277"/>
      <c r="F29" s="277"/>
      <c r="G29" s="75"/>
      <c r="H29" s="278"/>
      <c r="I29" s="313">
        <v>512512</v>
      </c>
      <c r="J29" s="424"/>
    </row>
    <row r="30" spans="1:10" s="286" customFormat="1">
      <c r="A30" s="403">
        <v>5</v>
      </c>
      <c r="B30" s="403" t="s">
        <v>1278</v>
      </c>
      <c r="C30" s="406" t="s">
        <v>1354</v>
      </c>
      <c r="D30" s="409" t="s">
        <v>1355</v>
      </c>
      <c r="E30" s="137" t="s">
        <v>1356</v>
      </c>
      <c r="F30" s="284" t="s">
        <v>1274</v>
      </c>
      <c r="G30" s="75">
        <v>4</v>
      </c>
      <c r="H30" s="285">
        <v>17970.5</v>
      </c>
      <c r="I30" s="311">
        <v>71882</v>
      </c>
      <c r="J30" s="411">
        <f>ROUND(I65*0.9,0)</f>
        <v>2028146</v>
      </c>
    </row>
    <row r="31" spans="1:10" s="286" customFormat="1">
      <c r="A31" s="404"/>
      <c r="B31" s="404"/>
      <c r="C31" s="407"/>
      <c r="D31" s="409"/>
      <c r="E31" s="137" t="s">
        <v>1357</v>
      </c>
      <c r="F31" s="284" t="s">
        <v>1274</v>
      </c>
      <c r="G31" s="75">
        <v>15</v>
      </c>
      <c r="H31" s="285">
        <v>9605.4</v>
      </c>
      <c r="I31" s="311">
        <v>144081</v>
      </c>
      <c r="J31" s="412"/>
    </row>
    <row r="32" spans="1:10" s="286" customFormat="1">
      <c r="A32" s="404"/>
      <c r="B32" s="404"/>
      <c r="C32" s="407"/>
      <c r="D32" s="409"/>
      <c r="E32" s="287" t="s">
        <v>1358</v>
      </c>
      <c r="F32" s="284" t="s">
        <v>1275</v>
      </c>
      <c r="G32" s="75">
        <v>29</v>
      </c>
      <c r="H32" s="285">
        <v>55</v>
      </c>
      <c r="I32" s="311">
        <v>1595</v>
      </c>
      <c r="J32" s="412"/>
    </row>
    <row r="33" spans="1:10" s="286" customFormat="1">
      <c r="A33" s="404"/>
      <c r="B33" s="404"/>
      <c r="C33" s="407"/>
      <c r="D33" s="409"/>
      <c r="E33" s="287" t="s">
        <v>1359</v>
      </c>
      <c r="F33" s="284" t="s">
        <v>1275</v>
      </c>
      <c r="G33" s="75">
        <v>121</v>
      </c>
      <c r="H33" s="285">
        <v>80</v>
      </c>
      <c r="I33" s="311">
        <v>9680</v>
      </c>
      <c r="J33" s="412"/>
    </row>
    <row r="34" spans="1:10" s="286" customFormat="1">
      <c r="A34" s="404"/>
      <c r="B34" s="404"/>
      <c r="C34" s="407"/>
      <c r="D34" s="409"/>
      <c r="E34" s="287" t="s">
        <v>1360</v>
      </c>
      <c r="F34" s="284" t="s">
        <v>1361</v>
      </c>
      <c r="G34" s="75">
        <v>859.4</v>
      </c>
      <c r="H34" s="285">
        <v>170</v>
      </c>
      <c r="I34" s="311">
        <v>146098</v>
      </c>
      <c r="J34" s="412"/>
    </row>
    <row r="35" spans="1:10" s="286" customFormat="1">
      <c r="A35" s="404"/>
      <c r="B35" s="404"/>
      <c r="C35" s="407"/>
      <c r="D35" s="409"/>
      <c r="E35" s="287" t="s">
        <v>1362</v>
      </c>
      <c r="F35" s="284" t="s">
        <v>1361</v>
      </c>
      <c r="G35" s="75">
        <v>214</v>
      </c>
      <c r="H35" s="285">
        <v>276</v>
      </c>
      <c r="I35" s="311">
        <v>59064</v>
      </c>
      <c r="J35" s="412"/>
    </row>
    <row r="36" spans="1:10" s="286" customFormat="1">
      <c r="A36" s="404"/>
      <c r="B36" s="404"/>
      <c r="C36" s="407"/>
      <c r="D36" s="409"/>
      <c r="E36" s="287" t="s">
        <v>1363</v>
      </c>
      <c r="F36" s="284" t="s">
        <v>1361</v>
      </c>
      <c r="G36" s="75">
        <v>309</v>
      </c>
      <c r="H36" s="285">
        <v>211</v>
      </c>
      <c r="I36" s="311">
        <v>65199</v>
      </c>
      <c r="J36" s="412"/>
    </row>
    <row r="37" spans="1:10" s="286" customFormat="1">
      <c r="A37" s="404"/>
      <c r="B37" s="404"/>
      <c r="C37" s="407"/>
      <c r="D37" s="409"/>
      <c r="E37" s="287" t="s">
        <v>1364</v>
      </c>
      <c r="F37" s="284" t="s">
        <v>1361</v>
      </c>
      <c r="G37" s="75">
        <v>5082</v>
      </c>
      <c r="H37" s="285">
        <v>43.33</v>
      </c>
      <c r="I37" s="311">
        <v>220203.06</v>
      </c>
      <c r="J37" s="412"/>
    </row>
    <row r="38" spans="1:10" s="286" customFormat="1">
      <c r="A38" s="404"/>
      <c r="B38" s="404"/>
      <c r="C38" s="407"/>
      <c r="D38" s="409"/>
      <c r="E38" s="287" t="s">
        <v>1365</v>
      </c>
      <c r="F38" s="284" t="s">
        <v>1361</v>
      </c>
      <c r="G38" s="75">
        <v>1218</v>
      </c>
      <c r="H38" s="285">
        <v>26.85</v>
      </c>
      <c r="I38" s="311">
        <v>32703.3</v>
      </c>
      <c r="J38" s="412"/>
    </row>
    <row r="39" spans="1:10" s="286" customFormat="1">
      <c r="A39" s="404"/>
      <c r="B39" s="404"/>
      <c r="C39" s="407"/>
      <c r="D39" s="409"/>
      <c r="E39" s="287" t="s">
        <v>1366</v>
      </c>
      <c r="F39" s="288" t="s">
        <v>1361</v>
      </c>
      <c r="G39" s="75">
        <v>1200</v>
      </c>
      <c r="H39" s="285">
        <v>25.4</v>
      </c>
      <c r="I39" s="311">
        <v>30480</v>
      </c>
      <c r="J39" s="412"/>
    </row>
    <row r="40" spans="1:10" s="286" customFormat="1">
      <c r="A40" s="404"/>
      <c r="B40" s="404"/>
      <c r="C40" s="407"/>
      <c r="D40" s="409" t="s">
        <v>1367</v>
      </c>
      <c r="E40" s="287" t="s">
        <v>1368</v>
      </c>
      <c r="F40" s="288" t="s">
        <v>1361</v>
      </c>
      <c r="G40" s="75">
        <v>866</v>
      </c>
      <c r="H40" s="285">
        <v>129.25</v>
      </c>
      <c r="I40" s="311">
        <v>111930.5</v>
      </c>
      <c r="J40" s="412"/>
    </row>
    <row r="41" spans="1:10" s="286" customFormat="1">
      <c r="A41" s="404"/>
      <c r="B41" s="404"/>
      <c r="C41" s="407"/>
      <c r="D41" s="409"/>
      <c r="E41" s="287" t="s">
        <v>1369</v>
      </c>
      <c r="F41" s="288" t="s">
        <v>1361</v>
      </c>
      <c r="G41" s="75">
        <v>483</v>
      </c>
      <c r="H41" s="285">
        <v>850.11</v>
      </c>
      <c r="I41" s="311">
        <v>410603.13</v>
      </c>
      <c r="J41" s="412"/>
    </row>
    <row r="42" spans="1:10" s="286" customFormat="1">
      <c r="A42" s="404"/>
      <c r="B42" s="404"/>
      <c r="C42" s="407"/>
      <c r="D42" s="409"/>
      <c r="E42" s="287" t="s">
        <v>1370</v>
      </c>
      <c r="F42" s="288" t="s">
        <v>1361</v>
      </c>
      <c r="G42" s="75">
        <v>114</v>
      </c>
      <c r="H42" s="285">
        <v>357</v>
      </c>
      <c r="I42" s="311">
        <v>40698</v>
      </c>
      <c r="J42" s="412"/>
    </row>
    <row r="43" spans="1:10" s="286" customFormat="1">
      <c r="A43" s="404"/>
      <c r="B43" s="404"/>
      <c r="C43" s="407"/>
      <c r="D43" s="409"/>
      <c r="E43" s="287" t="s">
        <v>1371</v>
      </c>
      <c r="F43" s="288" t="s">
        <v>1361</v>
      </c>
      <c r="G43" s="75">
        <v>107</v>
      </c>
      <c r="H43" s="285">
        <v>568.33000000000004</v>
      </c>
      <c r="I43" s="311">
        <v>60811.31</v>
      </c>
      <c r="J43" s="412"/>
    </row>
    <row r="44" spans="1:10" s="286" customFormat="1">
      <c r="A44" s="404"/>
      <c r="B44" s="404"/>
      <c r="C44" s="407"/>
      <c r="D44" s="409"/>
      <c r="E44" s="287" t="s">
        <v>1372</v>
      </c>
      <c r="F44" s="288" t="s">
        <v>1275</v>
      </c>
      <c r="G44" s="75">
        <v>10</v>
      </c>
      <c r="H44" s="285">
        <v>2000</v>
      </c>
      <c r="I44" s="311">
        <v>20000</v>
      </c>
      <c r="J44" s="412"/>
    </row>
    <row r="45" spans="1:10" s="286" customFormat="1">
      <c r="A45" s="404"/>
      <c r="B45" s="404"/>
      <c r="C45" s="407"/>
      <c r="D45" s="409"/>
      <c r="E45" s="287" t="s">
        <v>1373</v>
      </c>
      <c r="F45" s="288" t="s">
        <v>1267</v>
      </c>
      <c r="G45" s="75">
        <v>1</v>
      </c>
      <c r="H45" s="285">
        <v>10000</v>
      </c>
      <c r="I45" s="311">
        <v>10000</v>
      </c>
      <c r="J45" s="412"/>
    </row>
    <row r="46" spans="1:10" s="286" customFormat="1">
      <c r="A46" s="404"/>
      <c r="B46" s="404"/>
      <c r="C46" s="407"/>
      <c r="D46" s="409"/>
      <c r="E46" s="287" t="s">
        <v>1374</v>
      </c>
      <c r="F46" s="288" t="s">
        <v>1267</v>
      </c>
      <c r="G46" s="75">
        <v>1</v>
      </c>
      <c r="H46" s="285">
        <v>12000</v>
      </c>
      <c r="I46" s="311">
        <v>12000</v>
      </c>
      <c r="J46" s="412"/>
    </row>
    <row r="47" spans="1:10" s="286" customFormat="1">
      <c r="A47" s="403"/>
      <c r="B47" s="403"/>
      <c r="C47" s="406"/>
      <c r="D47" s="410" t="s">
        <v>1375</v>
      </c>
      <c r="E47" s="287" t="s">
        <v>1376</v>
      </c>
      <c r="F47" s="284" t="s">
        <v>1274</v>
      </c>
      <c r="G47" s="75">
        <v>1</v>
      </c>
      <c r="H47" s="285">
        <v>150000</v>
      </c>
      <c r="I47" s="311">
        <v>150000</v>
      </c>
      <c r="J47" s="412"/>
    </row>
    <row r="48" spans="1:10" s="286" customFormat="1">
      <c r="A48" s="404"/>
      <c r="B48" s="404"/>
      <c r="C48" s="407"/>
      <c r="D48" s="410"/>
      <c r="E48" s="287" t="s">
        <v>1377</v>
      </c>
      <c r="F48" s="284" t="s">
        <v>1274</v>
      </c>
      <c r="G48" s="75">
        <v>1</v>
      </c>
      <c r="H48" s="285">
        <v>100000</v>
      </c>
      <c r="I48" s="311">
        <v>100000</v>
      </c>
      <c r="J48" s="412"/>
    </row>
    <row r="49" spans="1:10" s="286" customFormat="1">
      <c r="A49" s="404"/>
      <c r="B49" s="404"/>
      <c r="C49" s="407"/>
      <c r="D49" s="410"/>
      <c r="E49" s="287" t="s">
        <v>1378</v>
      </c>
      <c r="F49" s="284" t="s">
        <v>1274</v>
      </c>
      <c r="G49" s="75">
        <v>5</v>
      </c>
      <c r="H49" s="285">
        <v>45000</v>
      </c>
      <c r="I49" s="311">
        <v>225000</v>
      </c>
      <c r="J49" s="412"/>
    </row>
    <row r="50" spans="1:10" s="286" customFormat="1">
      <c r="A50" s="404"/>
      <c r="B50" s="404"/>
      <c r="C50" s="407"/>
      <c r="D50" s="410"/>
      <c r="E50" s="289" t="s">
        <v>1379</v>
      </c>
      <c r="F50" s="290" t="s">
        <v>1274</v>
      </c>
      <c r="G50" s="291">
        <v>1</v>
      </c>
      <c r="H50" s="292">
        <v>58936</v>
      </c>
      <c r="I50" s="308">
        <v>58936</v>
      </c>
      <c r="J50" s="412"/>
    </row>
    <row r="51" spans="1:10" s="286" customFormat="1">
      <c r="A51" s="404"/>
      <c r="B51" s="404"/>
      <c r="C51" s="407"/>
      <c r="D51" s="410"/>
      <c r="E51" s="289" t="s">
        <v>1380</v>
      </c>
      <c r="F51" s="290" t="s">
        <v>1274</v>
      </c>
      <c r="G51" s="291">
        <v>1</v>
      </c>
      <c r="H51" s="292">
        <v>8000</v>
      </c>
      <c r="I51" s="308">
        <v>8000</v>
      </c>
      <c r="J51" s="412"/>
    </row>
    <row r="52" spans="1:10" s="286" customFormat="1">
      <c r="A52" s="404"/>
      <c r="B52" s="404"/>
      <c r="C52" s="407"/>
      <c r="D52" s="410"/>
      <c r="E52" s="289" t="s">
        <v>1381</v>
      </c>
      <c r="F52" s="290" t="s">
        <v>1361</v>
      </c>
      <c r="G52" s="291">
        <v>12</v>
      </c>
      <c r="H52" s="292">
        <v>495.69</v>
      </c>
      <c r="I52" s="308">
        <v>5948.28</v>
      </c>
      <c r="J52" s="412"/>
    </row>
    <row r="53" spans="1:10" s="286" customFormat="1">
      <c r="A53" s="404"/>
      <c r="B53" s="404"/>
      <c r="C53" s="407"/>
      <c r="D53" s="410"/>
      <c r="E53" s="287" t="s">
        <v>1382</v>
      </c>
      <c r="F53" s="288" t="s">
        <v>1275</v>
      </c>
      <c r="G53" s="75">
        <v>6</v>
      </c>
      <c r="H53" s="285">
        <v>240</v>
      </c>
      <c r="I53" s="311">
        <v>1440</v>
      </c>
      <c r="J53" s="412"/>
    </row>
    <row r="54" spans="1:10" s="286" customFormat="1">
      <c r="A54" s="404"/>
      <c r="B54" s="404"/>
      <c r="C54" s="407"/>
      <c r="D54" s="410"/>
      <c r="E54" s="287" t="s">
        <v>1383</v>
      </c>
      <c r="F54" s="288" t="s">
        <v>1275</v>
      </c>
      <c r="G54" s="75">
        <v>1</v>
      </c>
      <c r="H54" s="285">
        <v>520</v>
      </c>
      <c r="I54" s="311">
        <v>520</v>
      </c>
      <c r="J54" s="412"/>
    </row>
    <row r="55" spans="1:10" s="286" customFormat="1">
      <c r="A55" s="404"/>
      <c r="B55" s="404"/>
      <c r="C55" s="407"/>
      <c r="D55" s="410"/>
      <c r="E55" s="287" t="s">
        <v>1384</v>
      </c>
      <c r="F55" s="288" t="s">
        <v>1275</v>
      </c>
      <c r="G55" s="75">
        <v>6</v>
      </c>
      <c r="H55" s="285">
        <v>76</v>
      </c>
      <c r="I55" s="311">
        <v>456</v>
      </c>
      <c r="J55" s="412"/>
    </row>
    <row r="56" spans="1:10" s="286" customFormat="1">
      <c r="A56" s="404"/>
      <c r="B56" s="404"/>
      <c r="C56" s="407"/>
      <c r="D56" s="410"/>
      <c r="E56" s="287" t="s">
        <v>1385</v>
      </c>
      <c r="F56" s="288" t="s">
        <v>1275</v>
      </c>
      <c r="G56" s="75">
        <v>1</v>
      </c>
      <c r="H56" s="285">
        <v>70</v>
      </c>
      <c r="I56" s="311">
        <v>70</v>
      </c>
      <c r="J56" s="412"/>
    </row>
    <row r="57" spans="1:10" s="286" customFormat="1" ht="24">
      <c r="A57" s="404"/>
      <c r="B57" s="404"/>
      <c r="C57" s="407"/>
      <c r="D57" s="410"/>
      <c r="E57" s="287" t="s">
        <v>1386</v>
      </c>
      <c r="F57" s="288" t="s">
        <v>1273</v>
      </c>
      <c r="G57" s="75">
        <v>41</v>
      </c>
      <c r="H57" s="285">
        <v>200</v>
      </c>
      <c r="I57" s="311">
        <v>8200</v>
      </c>
      <c r="J57" s="412"/>
    </row>
    <row r="58" spans="1:10" s="286" customFormat="1">
      <c r="A58" s="404"/>
      <c r="B58" s="404"/>
      <c r="C58" s="407"/>
      <c r="D58" s="410"/>
      <c r="E58" s="287" t="s">
        <v>1387</v>
      </c>
      <c r="F58" s="288" t="s">
        <v>1273</v>
      </c>
      <c r="G58" s="75">
        <v>1</v>
      </c>
      <c r="H58" s="285">
        <v>1500</v>
      </c>
      <c r="I58" s="311">
        <v>1500</v>
      </c>
      <c r="J58" s="412"/>
    </row>
    <row r="59" spans="1:10" s="286" customFormat="1">
      <c r="A59" s="404"/>
      <c r="B59" s="404"/>
      <c r="C59" s="407"/>
      <c r="D59" s="410"/>
      <c r="E59" s="287" t="s">
        <v>1388</v>
      </c>
      <c r="F59" s="288" t="s">
        <v>1273</v>
      </c>
      <c r="G59" s="75">
        <v>1</v>
      </c>
      <c r="H59" s="285">
        <v>12000</v>
      </c>
      <c r="I59" s="311">
        <v>12000</v>
      </c>
      <c r="J59" s="412"/>
    </row>
    <row r="60" spans="1:10" s="286" customFormat="1">
      <c r="A60" s="404"/>
      <c r="B60" s="404"/>
      <c r="C60" s="407"/>
      <c r="D60" s="410"/>
      <c r="E60" s="277" t="s">
        <v>1389</v>
      </c>
      <c r="F60" s="293" t="s">
        <v>1267</v>
      </c>
      <c r="G60" s="75">
        <v>1</v>
      </c>
      <c r="H60" s="285">
        <v>4225</v>
      </c>
      <c r="I60" s="311">
        <v>4225</v>
      </c>
      <c r="J60" s="412"/>
    </row>
    <row r="61" spans="1:10" s="286" customFormat="1">
      <c r="A61" s="404"/>
      <c r="B61" s="404"/>
      <c r="C61" s="407"/>
      <c r="D61" s="294" t="s">
        <v>1268</v>
      </c>
      <c r="E61" s="279"/>
      <c r="F61" s="295"/>
      <c r="G61" s="259"/>
      <c r="H61" s="296"/>
      <c r="I61" s="309">
        <v>2023323.58</v>
      </c>
      <c r="J61" s="412"/>
    </row>
    <row r="62" spans="1:10" s="286" customFormat="1">
      <c r="A62" s="404"/>
      <c r="B62" s="404"/>
      <c r="C62" s="407"/>
      <c r="D62" s="297" t="s">
        <v>1390</v>
      </c>
      <c r="E62" s="277" t="s">
        <v>1391</v>
      </c>
      <c r="F62" s="293"/>
      <c r="G62" s="75"/>
      <c r="H62" s="298"/>
      <c r="I62" s="311">
        <v>202332.35800000001</v>
      </c>
      <c r="J62" s="412"/>
    </row>
    <row r="63" spans="1:10" s="286" customFormat="1">
      <c r="A63" s="404"/>
      <c r="B63" s="404"/>
      <c r="C63" s="407"/>
      <c r="D63" s="299" t="s">
        <v>1392</v>
      </c>
      <c r="E63" s="300" t="s">
        <v>1393</v>
      </c>
      <c r="F63" s="301"/>
      <c r="G63" s="291">
        <v>96</v>
      </c>
      <c r="H63" s="302">
        <v>290</v>
      </c>
      <c r="I63" s="308">
        <v>27840</v>
      </c>
      <c r="J63" s="412"/>
    </row>
    <row r="64" spans="1:10" s="286" customFormat="1">
      <c r="A64" s="404"/>
      <c r="B64" s="404"/>
      <c r="C64" s="407"/>
      <c r="D64" s="294" t="s">
        <v>1394</v>
      </c>
      <c r="E64" s="279"/>
      <c r="F64" s="295"/>
      <c r="G64" s="259"/>
      <c r="H64" s="296"/>
      <c r="I64" s="309">
        <v>230172.35800000001</v>
      </c>
      <c r="J64" s="412"/>
    </row>
    <row r="65" spans="1:10" s="286" customFormat="1">
      <c r="A65" s="405"/>
      <c r="B65" s="405"/>
      <c r="C65" s="408"/>
      <c r="D65" s="294" t="s">
        <v>1272</v>
      </c>
      <c r="E65" s="279"/>
      <c r="F65" s="295"/>
      <c r="G65" s="259"/>
      <c r="H65" s="296"/>
      <c r="I65" s="309">
        <v>2253495.9380000001</v>
      </c>
      <c r="J65" s="413"/>
    </row>
    <row r="66" spans="1:10" s="170" customFormat="1" ht="13.5">
      <c r="A66" s="276"/>
      <c r="B66" s="276" t="s">
        <v>1288</v>
      </c>
      <c r="C66" s="137"/>
      <c r="D66" s="279" t="s">
        <v>17</v>
      </c>
      <c r="E66" s="277"/>
      <c r="F66" s="277"/>
      <c r="G66" s="75"/>
      <c r="H66" s="278"/>
      <c r="I66" s="313">
        <f>ROUND((I10+I15+I23+I29+I65),2)</f>
        <v>5418513.1100000003</v>
      </c>
      <c r="J66" s="314">
        <f>SUM(J4:J65)</f>
        <v>4660231</v>
      </c>
    </row>
  </sheetData>
  <mergeCells count="42">
    <mergeCell ref="J30:J65"/>
    <mergeCell ref="H17:H18"/>
    <mergeCell ref="I17:I18"/>
    <mergeCell ref="H5:H6"/>
    <mergeCell ref="C4:C10"/>
    <mergeCell ref="D4:D6"/>
    <mergeCell ref="G5:G6"/>
    <mergeCell ref="G17:G18"/>
    <mergeCell ref="J4:J10"/>
    <mergeCell ref="J11:J15"/>
    <mergeCell ref="J16:J23"/>
    <mergeCell ref="J24:J29"/>
    <mergeCell ref="A30:A65"/>
    <mergeCell ref="B30:B65"/>
    <mergeCell ref="C30:C65"/>
    <mergeCell ref="D30:D39"/>
    <mergeCell ref="D40:D46"/>
    <mergeCell ref="D47:D60"/>
    <mergeCell ref="A24:A29"/>
    <mergeCell ref="B24:B29"/>
    <mergeCell ref="C24:C29"/>
    <mergeCell ref="D24:D26"/>
    <mergeCell ref="I5:I6"/>
    <mergeCell ref="A11:A15"/>
    <mergeCell ref="B11:B15"/>
    <mergeCell ref="C11:C15"/>
    <mergeCell ref="D11:D12"/>
    <mergeCell ref="A16:A23"/>
    <mergeCell ref="B16:B23"/>
    <mergeCell ref="C16:C23"/>
    <mergeCell ref="D17:D19"/>
    <mergeCell ref="A4:A10"/>
    <mergeCell ref="B4:B10"/>
    <mergeCell ref="F2:F3"/>
    <mergeCell ref="G2:I2"/>
    <mergeCell ref="A1:J1"/>
    <mergeCell ref="A2:A3"/>
    <mergeCell ref="B2:B3"/>
    <mergeCell ref="C2:C3"/>
    <mergeCell ref="D2:D3"/>
    <mergeCell ref="E2:E3"/>
    <mergeCell ref="J2:J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L4"/>
  <sheetViews>
    <sheetView workbookViewId="0">
      <selection activeCell="A7" sqref="A7:XFD25"/>
    </sheetView>
  </sheetViews>
  <sheetFormatPr defaultColWidth="9" defaultRowHeight="32.1" customHeight="1" outlineLevelRow="2"/>
  <cols>
    <col min="1" max="1" width="16.75" style="251" customWidth="1"/>
    <col min="2" max="2" width="11" style="251" customWidth="1"/>
    <col min="3" max="3" width="19.375" style="251" customWidth="1"/>
    <col min="4" max="4" width="15.875" style="252" customWidth="1"/>
    <col min="5" max="5" width="15.125" style="252" customWidth="1"/>
    <col min="6" max="6" width="15.75" style="252" customWidth="1"/>
    <col min="7" max="7" width="14.125" style="252" customWidth="1"/>
    <col min="8" max="8" width="13.25" style="252" customWidth="1"/>
    <col min="9" max="9" width="13.875" style="252" customWidth="1"/>
    <col min="10" max="10" width="14.125" style="252" customWidth="1"/>
    <col min="11" max="11" width="14.75" style="253" customWidth="1"/>
    <col min="12" max="12" width="15" style="251" hidden="1" customWidth="1"/>
    <col min="13" max="16384" width="9" style="251"/>
  </cols>
  <sheetData>
    <row r="1" spans="1:12" ht="32.1" customHeight="1">
      <c r="A1" s="425" t="s">
        <v>1276</v>
      </c>
      <c r="B1" s="425"/>
      <c r="C1" s="425"/>
      <c r="D1" s="425"/>
      <c r="E1" s="425"/>
      <c r="F1" s="425"/>
      <c r="G1" s="425"/>
      <c r="H1" s="425"/>
      <c r="I1" s="425"/>
      <c r="J1" s="425"/>
      <c r="K1" s="425"/>
    </row>
    <row r="2" spans="1:12" s="268" customFormat="1" ht="30.75" customHeight="1">
      <c r="A2" s="265" t="s">
        <v>632</v>
      </c>
      <c r="B2" s="265" t="s">
        <v>1326</v>
      </c>
      <c r="C2" s="265" t="s">
        <v>13</v>
      </c>
      <c r="D2" s="266" t="s">
        <v>1327</v>
      </c>
      <c r="E2" s="266" t="s">
        <v>1328</v>
      </c>
      <c r="F2" s="266" t="s">
        <v>1329</v>
      </c>
      <c r="G2" s="266" t="s">
        <v>1330</v>
      </c>
      <c r="H2" s="266" t="s">
        <v>1331</v>
      </c>
      <c r="I2" s="266" t="s">
        <v>1332</v>
      </c>
      <c r="J2" s="266" t="s">
        <v>1277</v>
      </c>
      <c r="K2" s="267" t="s">
        <v>1333</v>
      </c>
      <c r="L2" s="265" t="s">
        <v>18</v>
      </c>
    </row>
    <row r="3" spans="1:12" s="268" customFormat="1" ht="27.95" customHeight="1" outlineLevel="2">
      <c r="A3" s="265" t="s">
        <v>1278</v>
      </c>
      <c r="B3" s="265" t="s">
        <v>1072</v>
      </c>
      <c r="C3" s="265" t="s">
        <v>1279</v>
      </c>
      <c r="D3" s="269">
        <v>3605195.18</v>
      </c>
      <c r="E3" s="269">
        <v>3178359.25</v>
      </c>
      <c r="F3" s="269">
        <v>3167873.34</v>
      </c>
      <c r="G3" s="269">
        <v>3163117</v>
      </c>
      <c r="H3" s="269">
        <v>396352</v>
      </c>
      <c r="I3" s="269">
        <f>G3+H3</f>
        <v>3559469</v>
      </c>
      <c r="J3" s="269">
        <v>3566119.34</v>
      </c>
      <c r="K3" s="269">
        <f>I3-J3</f>
        <v>-6650.339999999851</v>
      </c>
      <c r="L3" s="265"/>
    </row>
    <row r="4" spans="1:12" s="268" customFormat="1" ht="27.95" customHeight="1" outlineLevel="1">
      <c r="A4" s="265"/>
      <c r="B4" s="270" t="s">
        <v>260</v>
      </c>
      <c r="C4" s="265"/>
      <c r="D4" s="269">
        <f t="shared" ref="D4:K4" si="0">SUBTOTAL(9,D3:D3)</f>
        <v>3605195.18</v>
      </c>
      <c r="E4" s="269">
        <f t="shared" si="0"/>
        <v>3178359.25</v>
      </c>
      <c r="F4" s="269">
        <f t="shared" si="0"/>
        <v>3167873.34</v>
      </c>
      <c r="G4" s="269">
        <f t="shared" si="0"/>
        <v>3163117</v>
      </c>
      <c r="H4" s="269">
        <f t="shared" si="0"/>
        <v>396352</v>
      </c>
      <c r="I4" s="269">
        <f t="shared" si="0"/>
        <v>3559469</v>
      </c>
      <c r="J4" s="269">
        <f t="shared" si="0"/>
        <v>3566119.34</v>
      </c>
      <c r="K4" s="269">
        <f t="shared" si="0"/>
        <v>-6650.339999999851</v>
      </c>
      <c r="L4" s="265"/>
    </row>
  </sheetData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H4"/>
  <sheetViews>
    <sheetView topLeftCell="A3" workbookViewId="0">
      <selection activeCell="A7" sqref="A7:XFD25"/>
    </sheetView>
  </sheetViews>
  <sheetFormatPr defaultRowHeight="13.5" outlineLevelRow="2"/>
  <cols>
    <col min="1" max="1" width="36.125" customWidth="1"/>
    <col min="4" max="4" width="12.25" customWidth="1"/>
    <col min="7" max="7" width="11.125" customWidth="1"/>
    <col min="8" max="8" width="15" customWidth="1"/>
  </cols>
  <sheetData>
    <row r="1" spans="1:8" ht="38.25" customHeight="1">
      <c r="A1" s="426" t="s">
        <v>1404</v>
      </c>
      <c r="B1" s="427"/>
      <c r="C1" s="427"/>
      <c r="D1" s="427"/>
      <c r="E1" s="427"/>
      <c r="F1" s="427"/>
      <c r="G1" s="427"/>
      <c r="H1" s="427"/>
    </row>
    <row r="2" spans="1:8" ht="20.100000000000001" customHeight="1">
      <c r="A2" s="323" t="s">
        <v>1405</v>
      </c>
      <c r="B2" s="324" t="s">
        <v>1406</v>
      </c>
      <c r="C2" s="325" t="s">
        <v>1407</v>
      </c>
      <c r="D2" s="324" t="s">
        <v>1408</v>
      </c>
      <c r="E2" s="326" t="s">
        <v>1409</v>
      </c>
      <c r="F2" s="327" t="s">
        <v>1410</v>
      </c>
      <c r="G2" s="328" t="s">
        <v>1411</v>
      </c>
      <c r="H2" s="329" t="s">
        <v>1412</v>
      </c>
    </row>
    <row r="3" spans="1:8" ht="20.100000000000001" customHeight="1" outlineLevel="2">
      <c r="A3" s="332" t="s">
        <v>1415</v>
      </c>
      <c r="B3" s="337" t="s">
        <v>1416</v>
      </c>
      <c r="C3" s="333" t="s">
        <v>1413</v>
      </c>
      <c r="D3" s="334" t="s">
        <v>1417</v>
      </c>
      <c r="E3" s="334">
        <v>5</v>
      </c>
      <c r="F3" s="335" t="s">
        <v>1414</v>
      </c>
      <c r="G3" s="330">
        <v>52500</v>
      </c>
      <c r="H3" s="331">
        <v>262500</v>
      </c>
    </row>
    <row r="4" spans="1:8" ht="20.100000000000001" customHeight="1" outlineLevel="1">
      <c r="A4" s="332"/>
      <c r="B4" s="334"/>
      <c r="C4" s="333"/>
      <c r="D4" s="336" t="s">
        <v>949</v>
      </c>
      <c r="E4" s="334"/>
      <c r="F4" s="335"/>
      <c r="G4" s="330"/>
      <c r="H4" s="331">
        <f>SUBTOTAL(9,H3:H3)</f>
        <v>262500</v>
      </c>
    </row>
  </sheetData>
  <mergeCells count="1">
    <mergeCell ref="A1:H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24</vt:i4>
      </vt:variant>
      <vt:variant>
        <vt:lpstr>命名范围</vt:lpstr>
      </vt:variant>
      <vt:variant>
        <vt:i4>33</vt:i4>
      </vt:variant>
    </vt:vector>
  </HeadingPairs>
  <TitlesOfParts>
    <vt:vector size="57" baseType="lpstr">
      <vt:lpstr>华漕镇</vt:lpstr>
      <vt:lpstr>基本支出</vt:lpstr>
      <vt:lpstr>莘庄</vt:lpstr>
      <vt:lpstr>吴泾</vt:lpstr>
      <vt:lpstr>七宝</vt:lpstr>
      <vt:lpstr>马桥</vt:lpstr>
      <vt:lpstr>华漕</vt:lpstr>
      <vt:lpstr>颛桥</vt:lpstr>
      <vt:lpstr>虹桥</vt:lpstr>
      <vt:lpstr>清算2024年绩效</vt:lpstr>
      <vt:lpstr>2024年绩效增量</vt:lpstr>
      <vt:lpstr>补缴年金</vt:lpstr>
      <vt:lpstr>残疾就业保障</vt:lpstr>
      <vt:lpstr>社区教育</vt:lpstr>
      <vt:lpstr>保安经费</vt:lpstr>
      <vt:lpstr>补充公用经费</vt:lpstr>
      <vt:lpstr>清算补充公用经费</vt:lpstr>
      <vt:lpstr>Sheet1</vt:lpstr>
      <vt:lpstr>抚恤金</vt:lpstr>
      <vt:lpstr>中小学教育补充</vt:lpstr>
      <vt:lpstr>2025年设备购置与更新</vt:lpstr>
      <vt:lpstr>2025年校舍维修</vt:lpstr>
      <vt:lpstr>2024年校舍维修尾款</vt:lpstr>
      <vt:lpstr>保安经费追加</vt:lpstr>
      <vt:lpstr>'2024年校舍维修尾款'!Print_Area</vt:lpstr>
      <vt:lpstr>'2025年设备购置与更新'!Print_Area</vt:lpstr>
      <vt:lpstr>'2025年校舍维修'!Print_Area</vt:lpstr>
      <vt:lpstr>保安经费!Print_Area</vt:lpstr>
      <vt:lpstr>保安经费追加!Print_Area</vt:lpstr>
      <vt:lpstr>补充公用经费!Print_Area</vt:lpstr>
      <vt:lpstr>残疾就业保障!Print_Area</vt:lpstr>
      <vt:lpstr>虹桥!Print_Area</vt:lpstr>
      <vt:lpstr>华漕!Print_Area</vt:lpstr>
      <vt:lpstr>基本支出!Print_Area</vt:lpstr>
      <vt:lpstr>马桥!Print_Area</vt:lpstr>
      <vt:lpstr>七宝!Print_Area</vt:lpstr>
      <vt:lpstr>社区教育!Print_Area</vt:lpstr>
      <vt:lpstr>莘庄!Print_Area</vt:lpstr>
      <vt:lpstr>吴泾!Print_Area</vt:lpstr>
      <vt:lpstr>中小学教育补充!Print_Area</vt:lpstr>
      <vt:lpstr>颛桥!Print_Area</vt:lpstr>
      <vt:lpstr>'2024年校舍维修尾款'!Print_Titles</vt:lpstr>
      <vt:lpstr>'2025年设备购置与更新'!Print_Titles</vt:lpstr>
      <vt:lpstr>'2025年校舍维修'!Print_Titles</vt:lpstr>
      <vt:lpstr>保安经费!Print_Titles</vt:lpstr>
      <vt:lpstr>保安经费追加!Print_Titles</vt:lpstr>
      <vt:lpstr>补充公用经费!Print_Titles</vt:lpstr>
      <vt:lpstr>残疾就业保障!Print_Titles</vt:lpstr>
      <vt:lpstr>虹桥!Print_Titles</vt:lpstr>
      <vt:lpstr>华漕!Print_Titles</vt:lpstr>
      <vt:lpstr>基本支出!Print_Titles</vt:lpstr>
      <vt:lpstr>马桥!Print_Titles</vt:lpstr>
      <vt:lpstr>七宝!Print_Titles</vt:lpstr>
      <vt:lpstr>莘庄!Print_Titles</vt:lpstr>
      <vt:lpstr>吴泾!Print_Titles</vt:lpstr>
      <vt:lpstr>中小学教育补充!Print_Titles</vt:lpstr>
      <vt:lpstr>颛桥!Print_Titles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2025-05-06T06:10:16Z</cp:lastPrinted>
  <dcterms:created xsi:type="dcterms:W3CDTF">2022-11-10T02:18:00Z</dcterms:created>
  <dcterms:modified xsi:type="dcterms:W3CDTF">2025-05-06T07:02:23Z</dcterms:modified>
</cp:coreProperties>
</file>